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xml"/>
  <Override PartName="/xl/charts/chart9.xml" ContentType="application/vnd.openxmlformats-officedocument.drawingml.chart+xml"/>
  <Override PartName="/xl/drawings/drawing16.xml" ContentType="application/vnd.openxmlformats-officedocument.drawing+xml"/>
  <Override PartName="/xl/charts/chart10.xml" ContentType="application/vnd.openxmlformats-officedocument.drawingml.chart+xml"/>
  <Override PartName="/xl/drawings/drawing17.xml" ContentType="application/vnd.openxmlformats-officedocument.drawing+xml"/>
  <Override PartName="/xl/charts/chart11.xml" ContentType="application/vnd.openxmlformats-officedocument.drawingml.chart+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charts/chart16.xml" ContentType="application/vnd.openxmlformats-officedocument.drawingml.chart+xml"/>
  <Override PartName="/xl/charts/style6.xml" ContentType="application/vnd.ms-office.chartstyle+xml"/>
  <Override PartName="/xl/charts/colors6.xml" ContentType="application/vnd.ms-office.chartcolorstyle+xml"/>
  <Override PartName="/xl/charts/chart17.xml" ContentType="application/vnd.openxmlformats-officedocument.drawingml.chart+xml"/>
  <Override PartName="/xl/charts/style7.xml" ContentType="application/vnd.ms-office.chartstyle+xml"/>
  <Override PartName="/xl/charts/colors7.xml" ContentType="application/vnd.ms-office.chartcolorstyle+xml"/>
  <Override PartName="/xl/charts/chart18.xml" ContentType="application/vnd.openxmlformats-officedocument.drawingml.chart+xml"/>
  <Override PartName="/xl/charts/style8.xml" ContentType="application/vnd.ms-office.chartstyle+xml"/>
  <Override PartName="/xl/charts/colors8.xml" ContentType="application/vnd.ms-office.chartcolorstyle+xml"/>
  <Override PartName="/xl/charts/chart19.xml" ContentType="application/vnd.openxmlformats-officedocument.drawingml.chart+xml"/>
  <Override PartName="/xl/charts/style9.xml" ContentType="application/vnd.ms-office.chartstyle+xml"/>
  <Override PartName="/xl/charts/colors9.xml" ContentType="application/vnd.ms-office.chartcolorstyle+xml"/>
  <Override PartName="/xl/charts/chart20.xml" ContentType="application/vnd.openxmlformats-officedocument.drawingml.chart+xml"/>
  <Override PartName="/xl/charts/style10.xml" ContentType="application/vnd.ms-office.chartstyle+xml"/>
  <Override PartName="/xl/charts/colors10.xml" ContentType="application/vnd.ms-office.chartcolorstyle+xml"/>
  <Override PartName="/xl/charts/chart21.xml" ContentType="application/vnd.openxmlformats-officedocument.drawingml.chart+xml"/>
  <Override PartName="/xl/charts/style11.xml" ContentType="application/vnd.ms-office.chartstyle+xml"/>
  <Override PartName="/xl/charts/colors11.xml" ContentType="application/vnd.ms-office.chartcolorstyle+xml"/>
  <Override PartName="/xl/charts/chart22.xml" ContentType="application/vnd.openxmlformats-officedocument.drawingml.chart+xml"/>
  <Override PartName="/xl/charts/style12.xml" ContentType="application/vnd.ms-office.chartstyle+xml"/>
  <Override PartName="/xl/charts/colors12.xml" ContentType="application/vnd.ms-office.chartcolorstyle+xml"/>
  <Override PartName="/xl/charts/chart23.xml" ContentType="application/vnd.openxmlformats-officedocument.drawingml.chart+xml"/>
  <Override PartName="/xl/charts/style13.xml" ContentType="application/vnd.ms-office.chartstyle+xml"/>
  <Override PartName="/xl/charts/colors13.xml" ContentType="application/vnd.ms-office.chartcolorstyle+xml"/>
  <Override PartName="/xl/charts/chart24.xml" ContentType="application/vnd.openxmlformats-officedocument.drawingml.chart+xml"/>
  <Override PartName="/xl/charts/style14.xml" ContentType="application/vnd.ms-office.chartstyle+xml"/>
  <Override PartName="/xl/charts/colors14.xml" ContentType="application/vnd.ms-office.chartcolorstyle+xml"/>
  <Override PartName="/xl/charts/chart25.xml" ContentType="application/vnd.openxmlformats-officedocument.drawingml.chart+xml"/>
  <Override PartName="/xl/charts/style15.xml" ContentType="application/vnd.ms-office.chartstyle+xml"/>
  <Override PartName="/xl/charts/colors15.xml" ContentType="application/vnd.ms-office.chartcolorstyle+xml"/>
  <Override PartName="/xl/charts/chart26.xml" ContentType="application/vnd.openxmlformats-officedocument.drawingml.chart+xml"/>
  <Override PartName="/xl/charts/style16.xml" ContentType="application/vnd.ms-office.chartstyle+xml"/>
  <Override PartName="/xl/charts/colors16.xml" ContentType="application/vnd.ms-office.chartcolorstyle+xml"/>
  <Override PartName="/xl/charts/chart27.xml" ContentType="application/vnd.openxmlformats-officedocument.drawingml.chart+xml"/>
  <Override PartName="/xl/charts/style17.xml" ContentType="application/vnd.ms-office.chartstyle+xml"/>
  <Override PartName="/xl/charts/colors17.xml" ContentType="application/vnd.ms-office.chartcolorstyle+xml"/>
  <Override PartName="/xl/charts/chart28.xml" ContentType="application/vnd.openxmlformats-officedocument.drawingml.chart+xml"/>
  <Override PartName="/xl/charts/style18.xml" ContentType="application/vnd.ms-office.chartstyle+xml"/>
  <Override PartName="/xl/charts/colors18.xml" ContentType="application/vnd.ms-office.chartcolorstyle+xml"/>
  <Override PartName="/xl/charts/chart29.xml" ContentType="application/vnd.openxmlformats-officedocument.drawingml.chart+xml"/>
  <Override PartName="/xl/charts/style19.xml" ContentType="application/vnd.ms-office.chartstyle+xml"/>
  <Override PartName="/xl/charts/colors19.xml" ContentType="application/vnd.ms-office.chartcolorstyle+xml"/>
  <Override PartName="/xl/charts/chart30.xml" ContentType="application/vnd.openxmlformats-officedocument.drawingml.chart+xml"/>
  <Override PartName="/xl/charts/style20.xml" ContentType="application/vnd.ms-office.chartstyle+xml"/>
  <Override PartName="/xl/charts/colors20.xml" ContentType="application/vnd.ms-office.chartcolorstyle+xml"/>
  <Override PartName="/xl/charts/chart31.xml" ContentType="application/vnd.openxmlformats-officedocument.drawingml.chart+xml"/>
  <Override PartName="/xl/charts/style21.xml" ContentType="application/vnd.ms-office.chartstyle+xml"/>
  <Override PartName="/xl/charts/colors21.xml" ContentType="application/vnd.ms-office.chartcolorstyle+xml"/>
  <Override PartName="/xl/charts/chart32.xml" ContentType="application/vnd.openxmlformats-officedocument.drawingml.chart+xml"/>
  <Override PartName="/xl/charts/style22.xml" ContentType="application/vnd.ms-office.chartstyle+xml"/>
  <Override PartName="/xl/charts/colors22.xml" ContentType="application/vnd.ms-office.chartcolorsty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style23.xml" ContentType="application/vnd.ms-office.chartstyle+xml"/>
  <Override PartName="/xl/charts/colors23.xml" ContentType="application/vnd.ms-office.chartcolorstyle+xml"/>
  <Override PartName="/xl/charts/chart37.xml" ContentType="application/vnd.openxmlformats-officedocument.drawingml.chart+xml"/>
  <Override PartName="/xl/charts/style24.xml" ContentType="application/vnd.ms-office.chartstyle+xml"/>
  <Override PartName="/xl/charts/colors24.xml" ContentType="application/vnd.ms-office.chartcolorstyle+xml"/>
  <Override PartName="/xl/charts/chart38.xml" ContentType="application/vnd.openxmlformats-officedocument.drawingml.chart+xml"/>
  <Override PartName="/xl/charts/style25.xml" ContentType="application/vnd.ms-office.chartstyle+xml"/>
  <Override PartName="/xl/charts/colors25.xml" ContentType="application/vnd.ms-office.chartcolorstyle+xml"/>
  <Override PartName="/xl/charts/chart39.xml" ContentType="application/vnd.openxmlformats-officedocument.drawingml.chart+xml"/>
  <Override PartName="/xl/charts/style26.xml" ContentType="application/vnd.ms-office.chartstyle+xml"/>
  <Override PartName="/xl/charts/colors26.xml" ContentType="application/vnd.ms-office.chartcolorstyle+xml"/>
  <Override PartName="/xl/charts/chart40.xml" ContentType="application/vnd.openxmlformats-officedocument.drawingml.chart+xml"/>
  <Override PartName="/xl/charts/style27.xml" ContentType="application/vnd.ms-office.chartstyle+xml"/>
  <Override PartName="/xl/charts/colors27.xml" ContentType="application/vnd.ms-office.chartcolorstyle+xml"/>
  <Override PartName="/xl/charts/chart41.xml" ContentType="application/vnd.openxmlformats-officedocument.drawingml.chart+xml"/>
  <Override PartName="/xl/charts/style28.xml" ContentType="application/vnd.ms-office.chartstyle+xml"/>
  <Override PartName="/xl/charts/colors28.xml" ContentType="application/vnd.ms-office.chartcolorstyle+xml"/>
  <Override PartName="/xl/charts/chart42.xml" ContentType="application/vnd.openxmlformats-officedocument.drawingml.chart+xml"/>
  <Override PartName="/xl/charts/style29.xml" ContentType="application/vnd.ms-office.chartstyle+xml"/>
  <Override PartName="/xl/charts/colors29.xml" ContentType="application/vnd.ms-office.chartcolorstyle+xml"/>
  <Override PartName="/xl/charts/chart43.xml" ContentType="application/vnd.openxmlformats-officedocument.drawingml.chart+xml"/>
  <Override PartName="/xl/charts/style30.xml" ContentType="application/vnd.ms-office.chartstyle+xml"/>
  <Override PartName="/xl/charts/colors30.xml" ContentType="application/vnd.ms-office.chartcolorstyle+xml"/>
  <Override PartName="/xl/charts/chart44.xml" ContentType="application/vnd.openxmlformats-officedocument.drawingml.chart+xml"/>
  <Override PartName="/xl/charts/style31.xml" ContentType="application/vnd.ms-office.chartstyle+xml"/>
  <Override PartName="/xl/charts/colors31.xml" ContentType="application/vnd.ms-office.chartcolorstyle+xml"/>
  <Override PartName="/xl/charts/chart45.xml" ContentType="application/vnd.openxmlformats-officedocument.drawingml.chart+xml"/>
  <Override PartName="/xl/charts/style32.xml" ContentType="application/vnd.ms-office.chartstyle+xml"/>
  <Override PartName="/xl/charts/colors32.xml" ContentType="application/vnd.ms-office.chartcolorstyle+xml"/>
  <Override PartName="/xl/charts/chart46.xml" ContentType="application/vnd.openxmlformats-officedocument.drawingml.chart+xml"/>
  <Override PartName="/xl/charts/style33.xml" ContentType="application/vnd.ms-office.chartstyle+xml"/>
  <Override PartName="/xl/charts/colors33.xml" ContentType="application/vnd.ms-office.chartcolorstyle+xml"/>
  <Override PartName="/xl/charts/chart47.xml" ContentType="application/vnd.openxmlformats-officedocument.drawingml.chart+xml"/>
  <Override PartName="/xl/charts/style34.xml" ContentType="application/vnd.ms-office.chartstyle+xml"/>
  <Override PartName="/xl/charts/colors34.xml" ContentType="application/vnd.ms-office.chartcolorstyle+xml"/>
  <Override PartName="/xl/charts/chart48.xml" ContentType="application/vnd.openxmlformats-officedocument.drawingml.chart+xml"/>
  <Override PartName="/xl/charts/style35.xml" ContentType="application/vnd.ms-office.chartstyle+xml"/>
  <Override PartName="/xl/charts/colors35.xml" ContentType="application/vnd.ms-office.chartcolorstyle+xml"/>
  <Override PartName="/xl/charts/chart49.xml" ContentType="application/vnd.openxmlformats-officedocument.drawingml.chart+xml"/>
  <Override PartName="/xl/charts/style36.xml" ContentType="application/vnd.ms-office.chartstyle+xml"/>
  <Override PartName="/xl/charts/colors36.xml" ContentType="application/vnd.ms-office.chartcolorstyle+xml"/>
  <Override PartName="/xl/charts/chart50.xml" ContentType="application/vnd.openxmlformats-officedocument.drawingml.chart+xml"/>
  <Override PartName="/xl/charts/style37.xml" ContentType="application/vnd.ms-office.chartstyle+xml"/>
  <Override PartName="/xl/charts/colors37.xml" ContentType="application/vnd.ms-office.chartcolorstyle+xml"/>
  <Override PartName="/xl/charts/chart51.xml" ContentType="application/vnd.openxmlformats-officedocument.drawingml.chart+xml"/>
  <Override PartName="/xl/charts/style38.xml" ContentType="application/vnd.ms-office.chartstyle+xml"/>
  <Override PartName="/xl/charts/colors38.xml" ContentType="application/vnd.ms-office.chartcolorstyle+xml"/>
  <Override PartName="/xl/charts/chart52.xml" ContentType="application/vnd.openxmlformats-officedocument.drawingml.chart+xml"/>
  <Override PartName="/xl/charts/style39.xml" ContentType="application/vnd.ms-office.chartstyle+xml"/>
  <Override PartName="/xl/charts/colors39.xml" ContentType="application/vnd.ms-office.chartcolorstyle+xml"/>
  <Override PartName="/xl/charts/chart53.xml" ContentType="application/vnd.openxmlformats-officedocument.drawingml.chart+xml"/>
  <Override PartName="/xl/charts/style40.xml" ContentType="application/vnd.ms-office.chartstyle+xml"/>
  <Override PartName="/xl/charts/colors40.xml" ContentType="application/vnd.ms-office.chartcolorstyle+xml"/>
  <Override PartName="/xl/charts/chart54.xml" ContentType="application/vnd.openxmlformats-officedocument.drawingml.chart+xml"/>
  <Override PartName="/xl/charts/style41.xml" ContentType="application/vnd.ms-office.chartstyle+xml"/>
  <Override PartName="/xl/charts/colors41.xml" ContentType="application/vnd.ms-office.chartcolorstyle+xml"/>
  <Override PartName="/xl/charts/chart55.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9.xml" ContentType="application/vnd.openxmlformats-officedocument.drawing+xml"/>
  <Override PartName="/xl/activeX/activeX27.xml" ContentType="application/vnd.ms-office.activeX+xml"/>
  <Override PartName="/xl/activeX/activeX27.bin" ContentType="application/vnd.ms-office.activeX"/>
  <Override PartName="/xl/drawings/drawing20.xml" ContentType="application/vnd.openxmlformats-officedocument.drawing+xml"/>
  <Override PartName="/xl/drawings/drawing21.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2.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23.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24.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25.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6.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C:\Users\jiaxingl\Downloads\"/>
    </mc:Choice>
  </mc:AlternateContent>
  <xr:revisionPtr revIDLastSave="0" documentId="13_ncr:1_{06B79FEE-F61A-4DBC-A725-88E86A11E2E5}" xr6:coauthVersionLast="47" xr6:coauthVersionMax="47" xr10:uidLastSave="{00000000-0000-0000-0000-000000000000}"/>
  <bookViews>
    <workbookView xWindow="-120" yWindow="-120" windowWidth="22020" windowHeight="13440" tabRatio="880" firstSheet="3" activeTab="3" xr2:uid="{00000000-000D-0000-FFFF-FFFF00000000}"/>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SensIt Tornado 2" sheetId="35" r:id="rId8"/>
    <sheet name="SensIt Spider 2" sheetId="36" r:id="rId9"/>
    <sheet name="SensIt Two-Factor Tornado 2" sheetId="37" r:id="rId10"/>
    <sheet name="SensIt Tornado 1" sheetId="32" r:id="rId11"/>
    <sheet name="SensIt Spider 1" sheetId="33" r:id="rId12"/>
    <sheet name="SensIt Two-Factor Tornado 1" sheetId="34" r:id="rId13"/>
    <sheet name="Performance" sheetId="27" r:id="rId14"/>
    <sheet name="Sim-Report" sheetId="21" r:id="rId15"/>
    <sheet name="Monte-Carlo Simulation" sheetId="31" state="hidden" r:id="rId16"/>
    <sheet name="Mktg-Mgt" sheetId="15" r:id="rId17"/>
    <sheet name="Inn-Mgt" sheetId="16" r:id="rId18"/>
    <sheet name="Oper-Mgt" sheetId="30" r:id="rId19"/>
    <sheet name="Fin-Mgt" sheetId="18" r:id="rId20"/>
    <sheet name="Org-Mgt" sheetId="19" r:id="rId21"/>
    <sheet name="Impl-Plan" sheetId="20" r:id="rId22"/>
  </sheets>
  <functionGroups builtInGroupCount="19"/>
  <definedNames>
    <definedName name="Advisor">'Project-ID'!$D$14</definedName>
    <definedName name="breakeven" localSheetId="6">'D-Analysis'!$B$5</definedName>
    <definedName name="BreakEvenValues">'D-Analysis'!$J$17:$J$18</definedName>
    <definedName name="BusinessIndMCS">'Monte-Carlo Simulation'!$A$36:$B$36</definedName>
    <definedName name="capacity">'Project-Start'!$D$344</definedName>
    <definedName name="CapacityD">'Sim-Report'!$A$1062:$B$1062</definedName>
    <definedName name="CapacityDef">'Project-Start'!$B$344:$D$346</definedName>
    <definedName name="CapacityDR">'Sim-Report'!$A$1067:$B$1067</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'Sim-Report'!$A$169:$B$169</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Simulation'!$A$39:$B$39</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Simulation'!$A$127:$B$127</definedName>
    <definedName name="DebtRange">'Project-Start'!$B$96:$H$96</definedName>
    <definedName name="DebtRangeFin">'Fin-Mgt'!$B$56:$H$56</definedName>
    <definedName name="DebtSim">'Sim-Report'!$A$245:$B$245</definedName>
    <definedName name="DebtTotal">'Project-Start'!$B$99:$G$99</definedName>
    <definedName name="DebtTotalFin">'Fin-Mgt'!$B$59:$F$59</definedName>
    <definedName name="DebtTotalMCS">'Monte-Carlo Simulation'!$A$134:$B$134</definedName>
    <definedName name="DebtTotalSim">'Sim-Report'!$A$252</definedName>
    <definedName name="Depreciation">'Project-Start'!$B$103:$F$104</definedName>
    <definedName name="DepreciationMCS">'Monte-Carlo Simulation'!$A$138:$B$138</definedName>
    <definedName name="DepreciationSim">'Sim-Report'!$A$257:$B$257</definedName>
    <definedName name="DescriptionMCS">'Monte-Carlo Simulation'!$C$977:$C$1084</definedName>
    <definedName name="Dist_BR01_01">'Monte-Carlo Simulation'!$D$154</definedName>
    <definedName name="Dist_BR01_02">'Monte-Carlo Simulation'!$D$166</definedName>
    <definedName name="Dist_BR01_03">'Monte-Carlo Simulation'!$D$178</definedName>
    <definedName name="Dist_BR01_04">'Monte-Carlo Simulation'!$D$190</definedName>
    <definedName name="Dist_BR01_05">'Monte-Carlo Simulation'!$D$202</definedName>
    <definedName name="Dist_BR01_06">'Monte-Carlo Simulation'!$D$214</definedName>
    <definedName name="Dist_BR01_07">'Monte-Carlo Simulation'!$D$226</definedName>
    <definedName name="Dist_BR01_08">'Monte-Carlo Simulation'!$D$238</definedName>
    <definedName name="Dist_BR01_09">'Monte-Carlo Simulation'!$D$250</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Simulation'!$A$51:$B$51</definedName>
    <definedName name="EmployeesRange">'Project-Start'!$B$44:$G$47</definedName>
    <definedName name="EmployeesRangeFin">'Fin-Mgt'!$B$9:$G$12</definedName>
    <definedName name="EmployeesRangeOrg">'Org-Mgt'!$B$9:$G$12</definedName>
    <definedName name="EmployeesSim">'Sim-Report'!$A$147:$B$147</definedName>
    <definedName name="EmployeesTotal">'Project-Start'!$B$49:$F$49</definedName>
    <definedName name="EmployeesTotalFin">'Fin-Mgt'!$B$15:$F$15</definedName>
    <definedName name="EmployeesTotalMCS">'Monte-Carlo Simulation'!$A$68:$B$68</definedName>
    <definedName name="EmployeesTotalOrg">'Org-Mgt'!$B$15:$F$15</definedName>
    <definedName name="EmployeesTotalSim">'Sim-Report'!$A$165</definedName>
    <definedName name="EmptyRow">'Sim-Report'!$72:$72</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Simulation'!$A$149:$B$149</definedName>
    <definedName name="FeesRange">'Project-Start'!$B$118:$D$118</definedName>
    <definedName name="FeesRangeFin">'Fin-Mgt'!$B$70:$D$70</definedName>
    <definedName name="FeesSim">'Sim-Report'!$A$272:$B$272</definedName>
    <definedName name="FeesTotal">'Project-Start'!$B$120:$D$120</definedName>
    <definedName name="FeesTotalMCS">'Monte-Carlo Simulation'!$A$151:$B$151</definedName>
    <definedName name="FeesTotalSim">'Sim-Report'!$A$274</definedName>
    <definedName name="FinMarketFin">'Fin-Mgt'!$B$76:$E$76</definedName>
    <definedName name="FinMarketReport">'Sim-Report'!$A$265:$B$265</definedName>
    <definedName name="FinMarketStart">'Project-Start'!$B$107:$E$108</definedName>
    <definedName name="FinPrMCS">'Monte-Carlo Simulation'!$B$977:$F$1084</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Simulation'!$D$977:$D$1084</definedName>
    <definedName name="FY2MCS">'Monte-Carlo Simulation'!$E$977:$E$1084</definedName>
    <definedName name="FY3MCS">'Monte-Carlo Simulation'!$F$977:$F$1084</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13">Performance!$A$36</definedName>
    <definedName name="KeyPI">'Sim-Report'!$A$73:$B$73</definedName>
    <definedName name="keysuccess" localSheetId="13">Performance!$B$5</definedName>
    <definedName name="KeySuccIndicPT" localSheetId="13">Performance!$A$5</definedName>
    <definedName name="KPI_Retail_FY_1">'Monte-Carlo Simulation'!$K$42</definedName>
    <definedName name="KPI_Retail_FY_2">'Monte-Carlo Simulation'!$K$43</definedName>
    <definedName name="KPI_Retail_FY_3">'Monte-Carlo Simulation'!$K$44</definedName>
    <definedName name="KPI_Retail_FY1_FY2_FY3">'Monte-Carlo Simulation'!$K$45</definedName>
    <definedName name="KPI_Wholesale_FY_1">'Monte-Carlo Simulation'!$K$46</definedName>
    <definedName name="KPI_Wholesale_FY_2">'Monte-Carlo Simulation'!$K$47</definedName>
    <definedName name="KPI_Wholesale_FY_3">'Monte-Carlo Simulation'!$K$48</definedName>
    <definedName name="KPI_Wholesale_FY1_FY2_FY3">'Monte-Carlo Simulation'!$K$49</definedName>
    <definedName name="KPIMkt">'Mktg-Mgt'!$G$7:$K$20</definedName>
    <definedName name="KPIndicators">'Project-Start'!$A$12</definedName>
    <definedName name="KPIndicatorsMCS">'Monte-Carlo Simulation'!$A$41:$B$41</definedName>
    <definedName name="KPIPerformance">Performance!$H$64:$J$64,Performance!$H$67:$J$67</definedName>
    <definedName name="KPStartTable">'Project-Start'!$G$15:$K$28</definedName>
    <definedName name="LastCycleEnd">'Sim-Navigator'!$R$6</definedName>
    <definedName name="MarketingC">'Sim-Report'!$A$208:$B$208</definedName>
    <definedName name="marketingcosts">'Mktg-Mgt'!$A$22</definedName>
    <definedName name="MarketingMCS">'Monte-Carlo Simulation'!$A$93:$B$93</definedName>
    <definedName name="MarketingTotal">'Project-Start'!$B$81:$F$81</definedName>
    <definedName name="MarketingTotalFin">'Fin-Mgt'!$B$41:$F$41</definedName>
    <definedName name="MarketingTotalMCS">'Monte-Carlo Simulation'!$A$113:$B$113</definedName>
    <definedName name="MarketingTotalMkt">'Mktg-Mgt'!$B$33:$F$33</definedName>
    <definedName name="MarketingTotalSim">'Sim-Report'!$A$231</definedName>
    <definedName name="Material_BR01_01_FY_1">'Monte-Carlo Simulation'!$K$156</definedName>
    <definedName name="Material_BR01_01_FY_2">'Monte-Carlo Simulation'!$K$264</definedName>
    <definedName name="Material_BR01_01_FY_3">'Monte-Carlo Simulation'!$K$293</definedName>
    <definedName name="Material_BR01_02_FY_1">'Monte-Carlo Simulation'!$K$168</definedName>
    <definedName name="Material_BR01_02_FY_2">'Monte-Carlo Simulation'!$K$267</definedName>
    <definedName name="Material_BR01_02_FY_3">'Monte-Carlo Simulation'!$K$296</definedName>
    <definedName name="Material_BR01_03_FY_1">'Monte-Carlo Simulation'!$K$180</definedName>
    <definedName name="Material_BR01_03_FY_2">'Monte-Carlo Simulation'!$K$270</definedName>
    <definedName name="Material_BR01_03_FY_3">'Monte-Carlo Simulation'!$K$299</definedName>
    <definedName name="Material_BR01_04_FY_1">'Monte-Carlo Simulation'!$K$192</definedName>
    <definedName name="Material_BR01_04_FY_2">'Monte-Carlo Simulation'!$K$273</definedName>
    <definedName name="Material_BR01_04_FY_3">'Monte-Carlo Simulation'!$K$302</definedName>
    <definedName name="Material_BR01_05_FY_1">'Monte-Carlo Simulation'!$K$204</definedName>
    <definedName name="Material_BR01_05_FY_2">'Monte-Carlo Simulation'!$K$276</definedName>
    <definedName name="Material_BR01_05_FY_3">'Monte-Carlo Simulation'!$K$305</definedName>
    <definedName name="Material_BR01_06_FY_1">'Monte-Carlo Simulation'!$K$216</definedName>
    <definedName name="Material_BR01_06_FY_2">'Monte-Carlo Simulation'!$K$279</definedName>
    <definedName name="Material_BR01_06_FY_3">'Monte-Carlo Simulation'!$K$308</definedName>
    <definedName name="Material_BR01_07_FY_1">'Monte-Carlo Simulation'!$K$228</definedName>
    <definedName name="Material_BR01_07_FY_2">'Monte-Carlo Simulation'!$K$282</definedName>
    <definedName name="Material_BR01_07_FY_3">'Monte-Carlo Simulation'!$K$311</definedName>
    <definedName name="Material_BR01_08_FY_1">'Monte-Carlo Simulation'!$K$240</definedName>
    <definedName name="Material_BR01_08_FY_2">'Monte-Carlo Simulation'!$K$285</definedName>
    <definedName name="Material_BR01_08_FY_3">'Monte-Carlo Simulation'!$K$314</definedName>
    <definedName name="Material_BR01_09_FY_1">'Monte-Carlo Simulation'!$K$252</definedName>
    <definedName name="Material_BR01_09_FY_2">'Monte-Carlo Simulation'!$K$288</definedName>
    <definedName name="Material_BR01_09_FY_3">'Monte-Carlo Simulation'!$K$317</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Simulation'!$C$1103</definedName>
    <definedName name="MCSCycleCurrent">'Monte-Carlo Simulation'!$C$1107</definedName>
    <definedName name="MCSFinPr">'Monte-Carlo Simulation'!$A$974:$B$974</definedName>
    <definedName name="MCSInt">'Monte-Carlo Simulation'!$C$1105</definedName>
    <definedName name="MCSNumberRun">'Monte-Carlo Simulation'!$C$1106</definedName>
    <definedName name="MCSRun">'Monte-Carlo Simulation'!$C$1104</definedName>
    <definedName name="Name_BR01_01">'Monte-Carlo Simulation'!$D$155</definedName>
    <definedName name="Name_BR01_02">'Monte-Carlo Simulation'!$D$167</definedName>
    <definedName name="Name_BR01_03">'Monte-Carlo Simulation'!$D$179</definedName>
    <definedName name="Name_BR01_04">'Monte-Carlo Simulation'!$D$191</definedName>
    <definedName name="Name_BR01_05">'Monte-Carlo Simulation'!$D$203</definedName>
    <definedName name="Name_BR01_06">'Monte-Carlo Simulation'!$D$215</definedName>
    <definedName name="Name_BR01_07">'Monte-Carlo Simulation'!$D$227</definedName>
    <definedName name="Name_BR01_08">'Monte-Carlo Simulation'!$D$239</definedName>
    <definedName name="Name_BR01_09">'Monte-Carlo Simulation'!$D$251</definedName>
    <definedName name="optimazation">'D-Analysis'!$A$239</definedName>
    <definedName name="ParametersPresetMCS">'Monte-Carlo Simulation'!$B$7:$I$33</definedName>
    <definedName name="Password">'Sim-Navigator'!$R$14:$R$16</definedName>
    <definedName name="Permission2Printouts">'Sim-Navigator'!$R$12</definedName>
    <definedName name="PermissionNCycle">'Sim-Navigator'!$R$4</definedName>
    <definedName name="PIFin">'Fin-Mgt'!$D$60</definedName>
    <definedName name="PISim">'Sim-Report'!$A$145:$B$145</definedName>
    <definedName name="PMD_FY_1_BR01_01_Apr">'Monte-Carlo Simulation'!$K$357</definedName>
    <definedName name="PMD_FY_1_BR01_01_Aug">'Monte-Carlo Simulation'!$K$361</definedName>
    <definedName name="PMD_FY_1_BR01_01_Dec">'Monte-Carlo Simulation'!$K$365</definedName>
    <definedName name="PMD_FY_1_BR01_01_Feb">'Monte-Carlo Simulation'!$K$355</definedName>
    <definedName name="PMD_FY_1_BR01_01_Jan">'Monte-Carlo Simulation'!$K$354</definedName>
    <definedName name="PMD_FY_1_BR01_01_Jul">'Monte-Carlo Simulation'!$K$360</definedName>
    <definedName name="PMD_FY_1_BR01_01_Jun">'Monte-Carlo Simulation'!$K$359</definedName>
    <definedName name="PMD_FY_1_BR01_01_Mar">'Monte-Carlo Simulation'!$K$356</definedName>
    <definedName name="PMD_FY_1_BR01_01_May">'Monte-Carlo Simulation'!$K$358</definedName>
    <definedName name="PMD_FY_1_BR01_01_Nov">'Monte-Carlo Simulation'!$K$364</definedName>
    <definedName name="PMD_FY_1_BR01_01_Oct">'Monte-Carlo Simulation'!$K$363</definedName>
    <definedName name="PMD_FY_1_BR01_01_Sep">'Monte-Carlo Simulation'!$K$362</definedName>
    <definedName name="PMD_FY_1_BR01_02_Apr">'Monte-Carlo Simulation'!$K$369</definedName>
    <definedName name="PMD_FY_1_BR01_02_Aug">'Monte-Carlo Simulation'!$K$373</definedName>
    <definedName name="PMD_FY_1_BR01_02_Dec">'Monte-Carlo Simulation'!$K$377</definedName>
    <definedName name="PMD_FY_1_BR01_02_Feb">'Monte-Carlo Simulation'!$K$367</definedName>
    <definedName name="PMD_FY_1_BR01_02_Jan">'Monte-Carlo Simulation'!$K$366</definedName>
    <definedName name="PMD_FY_1_BR01_02_Jul">'Monte-Carlo Simulation'!$K$372</definedName>
    <definedName name="PMD_FY_1_BR01_02_Jun">'Monte-Carlo Simulation'!$K$371</definedName>
    <definedName name="PMD_FY_1_BR01_02_Mar">'Monte-Carlo Simulation'!$K$368</definedName>
    <definedName name="PMD_FY_1_BR01_02_May">'Monte-Carlo Simulation'!$K$370</definedName>
    <definedName name="PMD_FY_1_BR01_02_Nov">'Monte-Carlo Simulation'!$K$376</definedName>
    <definedName name="PMD_FY_1_BR01_02_Oct">'Monte-Carlo Simulation'!$K$375</definedName>
    <definedName name="PMD_FY_1_BR01_02_Sep">'Monte-Carlo Simulation'!$K$374</definedName>
    <definedName name="PMD_FY_1_BR01_03_Apr">'Monte-Carlo Simulation'!$K$381</definedName>
    <definedName name="PMD_FY_1_BR01_03_Aug">'Monte-Carlo Simulation'!$K$385</definedName>
    <definedName name="PMD_FY_1_BR01_03_Dec">'Monte-Carlo Simulation'!$K$389</definedName>
    <definedName name="PMD_FY_1_BR01_03_Feb">'Monte-Carlo Simulation'!$K$379</definedName>
    <definedName name="PMD_FY_1_BR01_03_Jan">'Monte-Carlo Simulation'!$K$378</definedName>
    <definedName name="PMD_FY_1_BR01_03_Jul">'Monte-Carlo Simulation'!$K$384</definedName>
    <definedName name="PMD_FY_1_BR01_03_Jun">'Monte-Carlo Simulation'!$K$383</definedName>
    <definedName name="PMD_FY_1_BR01_03_Mar">'Monte-Carlo Simulation'!$K$380</definedName>
    <definedName name="PMD_FY_1_BR01_03_May">'Monte-Carlo Simulation'!$K$382</definedName>
    <definedName name="PMD_FY_1_BR01_03_Nov">'Monte-Carlo Simulation'!$K$388</definedName>
    <definedName name="PMD_FY_1_BR01_03_Oct">'Monte-Carlo Simulation'!$K$387</definedName>
    <definedName name="PMD_FY_1_BR01_03_Sep">'Monte-Carlo Simulation'!$K$386</definedName>
    <definedName name="PMD_FY_1_BR01_04_Apr">'Monte-Carlo Simulation'!$K$393</definedName>
    <definedName name="PMD_FY_1_BR01_04_Aug">'Monte-Carlo Simulation'!$K$397</definedName>
    <definedName name="PMD_FY_1_BR01_04_Dec">'Monte-Carlo Simulation'!$K$401</definedName>
    <definedName name="PMD_FY_1_BR01_04_Feb">'Monte-Carlo Simulation'!$K$391</definedName>
    <definedName name="PMD_FY_1_BR01_04_Jan">'Monte-Carlo Simulation'!$K$390</definedName>
    <definedName name="PMD_FY_1_BR01_04_Jul">'Monte-Carlo Simulation'!$K$396</definedName>
    <definedName name="PMD_FY_1_BR01_04_Jun">'Monte-Carlo Simulation'!$K$395</definedName>
    <definedName name="PMD_FY_1_BR01_04_Mar">'Monte-Carlo Simulation'!$K$392</definedName>
    <definedName name="PMD_FY_1_BR01_04_May">'Monte-Carlo Simulation'!$K$394</definedName>
    <definedName name="PMD_FY_1_BR01_04_Nov">'Monte-Carlo Simulation'!$K$400</definedName>
    <definedName name="PMD_FY_1_BR01_04_Oct">'Monte-Carlo Simulation'!$K$399</definedName>
    <definedName name="PMD_FY_1_BR01_04_Sep">'Monte-Carlo Simulation'!$K$398</definedName>
    <definedName name="PMD_FY_1_BR01_05_Apr">'Monte-Carlo Simulation'!$K$405</definedName>
    <definedName name="PMD_FY_1_BR01_05_Aug">'Monte-Carlo Simulation'!$K$409</definedName>
    <definedName name="PMD_FY_1_BR01_05_Dec">'Monte-Carlo Simulation'!$K$413</definedName>
    <definedName name="PMD_FY_1_BR01_05_Feb">'Monte-Carlo Simulation'!$K$403</definedName>
    <definedName name="PMD_FY_1_BR01_05_Jan">'Monte-Carlo Simulation'!$K$402</definedName>
    <definedName name="PMD_FY_1_BR01_05_Jul">'Monte-Carlo Simulation'!$K$408</definedName>
    <definedName name="PMD_FY_1_BR01_05_Jun">'Monte-Carlo Simulation'!$K$407</definedName>
    <definedName name="PMD_FY_1_BR01_05_Mar">'Monte-Carlo Simulation'!$K$404</definedName>
    <definedName name="PMD_FY_1_BR01_05_May">'Monte-Carlo Simulation'!$K$406</definedName>
    <definedName name="PMD_FY_1_BR01_05_Nov">'Monte-Carlo Simulation'!$K$412</definedName>
    <definedName name="PMD_FY_1_BR01_05_Oct">'Monte-Carlo Simulation'!$K$411</definedName>
    <definedName name="PMD_FY_1_BR01_05_Sep">'Monte-Carlo Simulation'!$K$410</definedName>
    <definedName name="PMD_FY_1_BR01_06_Apr">'Monte-Carlo Simulation'!$K$417</definedName>
    <definedName name="PMD_FY_1_BR01_06_Aug">'Monte-Carlo Simulation'!$K$421</definedName>
    <definedName name="PMD_FY_1_BR01_06_Dec">'Monte-Carlo Simulation'!$K$425</definedName>
    <definedName name="PMD_FY_1_BR01_06_Feb">'Monte-Carlo Simulation'!$K$415</definedName>
    <definedName name="PMD_FY_1_BR01_06_Jan">'Monte-Carlo Simulation'!$K$414</definedName>
    <definedName name="PMD_FY_1_BR01_06_Jul">'Monte-Carlo Simulation'!$K$420</definedName>
    <definedName name="PMD_FY_1_BR01_06_Jun">'Monte-Carlo Simulation'!$K$419</definedName>
    <definedName name="PMD_FY_1_BR01_06_Mar">'Monte-Carlo Simulation'!$K$416</definedName>
    <definedName name="PMD_FY_1_BR01_06_May">'Monte-Carlo Simulation'!$K$418</definedName>
    <definedName name="PMD_FY_1_BR01_06_Nov">'Monte-Carlo Simulation'!$K$424</definedName>
    <definedName name="PMD_FY_1_BR01_06_Oct">'Monte-Carlo Simulation'!$K$423</definedName>
    <definedName name="PMD_FY_1_BR01_06_Sep">'Monte-Carlo Simulation'!$K$422</definedName>
    <definedName name="PMD_FY_1_BR01_07_Apr">'Monte-Carlo Simulation'!$K$429</definedName>
    <definedName name="PMD_FY_1_BR01_07_Aug">'Monte-Carlo Simulation'!$K$433</definedName>
    <definedName name="PMD_FY_1_BR01_07_Dec">'Monte-Carlo Simulation'!$K$437</definedName>
    <definedName name="PMD_FY_1_BR01_07_Feb">'Monte-Carlo Simulation'!$K$427</definedName>
    <definedName name="PMD_FY_1_BR01_07_Jan">'Monte-Carlo Simulation'!$K$426</definedName>
    <definedName name="PMD_FY_1_BR01_07_Jul">'Monte-Carlo Simulation'!$K$432</definedName>
    <definedName name="PMD_FY_1_BR01_07_Jun">'Monte-Carlo Simulation'!$K$431</definedName>
    <definedName name="PMD_FY_1_BR01_07_Mar">'Monte-Carlo Simulation'!$K$428</definedName>
    <definedName name="PMD_FY_1_BR01_07_May">'Monte-Carlo Simulation'!$K$430</definedName>
    <definedName name="PMD_FY_1_BR01_07_Nov">'Monte-Carlo Simulation'!$K$436</definedName>
    <definedName name="PMD_FY_1_BR01_07_Oct">'Monte-Carlo Simulation'!$K$435</definedName>
    <definedName name="PMD_FY_1_BR01_07_Sep">'Monte-Carlo Simulation'!$K$434</definedName>
    <definedName name="PMD_FY_1_BR01_08_Apr">'Monte-Carlo Simulation'!$K$441</definedName>
    <definedName name="PMD_FY_1_BR01_08_Aug">'Monte-Carlo Simulation'!$K$445</definedName>
    <definedName name="PMD_FY_1_BR01_08_Dec">'Monte-Carlo Simulation'!$K$449</definedName>
    <definedName name="PMD_FY_1_BR01_08_Feb">'Monte-Carlo Simulation'!$K$439</definedName>
    <definedName name="PMD_FY_1_BR01_08_Jan">'Monte-Carlo Simulation'!$K$438</definedName>
    <definedName name="PMD_FY_1_BR01_08_Jul">'Monte-Carlo Simulation'!$K$444</definedName>
    <definedName name="PMD_FY_1_BR01_08_Jun">'Monte-Carlo Simulation'!$K$443</definedName>
    <definedName name="PMD_FY_1_BR01_08_Mar">'Monte-Carlo Simulation'!$K$440</definedName>
    <definedName name="PMD_FY_1_BR01_08_May">'Monte-Carlo Simulation'!$K$442</definedName>
    <definedName name="PMD_FY_1_BR01_08_Nov">'Monte-Carlo Simulation'!$K$448</definedName>
    <definedName name="PMD_FY_1_BR01_08_Oct">'Monte-Carlo Simulation'!$K$447</definedName>
    <definedName name="PMD_FY_1_BR01_08_Sep">'Monte-Carlo Simulation'!$K$446</definedName>
    <definedName name="PMD_FY_2_BR01_01_Apr">'Monte-Carlo Simulation'!$K$455</definedName>
    <definedName name="PMD_FY_2_BR01_01_Aug">'Monte-Carlo Simulation'!$K$459</definedName>
    <definedName name="PMD_FY_2_BR01_01_Dec">'Monte-Carlo Simulation'!$K$463</definedName>
    <definedName name="PMD_FY_2_BR01_01_Feb">'Monte-Carlo Simulation'!$K$453</definedName>
    <definedName name="PMD_FY_2_BR01_01_Jan">'Monte-Carlo Simulation'!$K$452</definedName>
    <definedName name="PMD_FY_2_BR01_01_Jul">'Monte-Carlo Simulation'!$K$458</definedName>
    <definedName name="PMD_FY_2_BR01_01_Jun">'Monte-Carlo Simulation'!$K$457</definedName>
    <definedName name="PMD_FY_2_BR01_01_Mar">'Monte-Carlo Simulation'!$K$454</definedName>
    <definedName name="PMD_FY_2_BR01_01_May">'Monte-Carlo Simulation'!$K$456</definedName>
    <definedName name="PMD_FY_2_BR01_01_Nov">'Monte-Carlo Simulation'!$K$462</definedName>
    <definedName name="PMD_FY_2_BR01_01_Oct">'Monte-Carlo Simulation'!$K$461</definedName>
    <definedName name="PMD_FY_2_BR01_01_Sep">'Monte-Carlo Simulation'!$K$460</definedName>
    <definedName name="PMD_FY_2_BR01_02_Apr">'Monte-Carlo Simulation'!$K$467</definedName>
    <definedName name="PMD_FY_2_BR01_02_Aug">'Monte-Carlo Simulation'!$K$471</definedName>
    <definedName name="PMD_FY_2_BR01_02_Dec">'Monte-Carlo Simulation'!$K$475</definedName>
    <definedName name="PMD_FY_2_BR01_02_Feb">'Monte-Carlo Simulation'!$K$465</definedName>
    <definedName name="PMD_FY_2_BR01_02_Jan">'Monte-Carlo Simulation'!$K$464</definedName>
    <definedName name="PMD_FY_2_BR01_02_Jul">'Monte-Carlo Simulation'!$K$470</definedName>
    <definedName name="PMD_FY_2_BR01_02_Jun">'Monte-Carlo Simulation'!$K$469</definedName>
    <definedName name="PMD_FY_2_BR01_02_Mar">'Monte-Carlo Simulation'!$K$466</definedName>
    <definedName name="PMD_FY_2_BR01_02_May">'Monte-Carlo Simulation'!$K$468</definedName>
    <definedName name="PMD_FY_2_BR01_02_Nov">'Monte-Carlo Simulation'!$K$474</definedName>
    <definedName name="PMD_FY_2_BR01_02_Oct">'Monte-Carlo Simulation'!$K$473</definedName>
    <definedName name="PMD_FY_2_BR01_02_Sep">'Monte-Carlo Simulation'!$K$472</definedName>
    <definedName name="PMD_FY_2_BR01_03_Apr">'Monte-Carlo Simulation'!$K$479</definedName>
    <definedName name="PMD_FY_2_BR01_03_Aug">'Monte-Carlo Simulation'!$K$483</definedName>
    <definedName name="PMD_FY_2_BR01_03_Dec">'Monte-Carlo Simulation'!$K$487</definedName>
    <definedName name="PMD_FY_2_BR01_03_Feb">'Monte-Carlo Simulation'!$K$477</definedName>
    <definedName name="PMD_FY_2_BR01_03_Jan">'Monte-Carlo Simulation'!$K$476</definedName>
    <definedName name="PMD_FY_2_BR01_03_Jul">'Monte-Carlo Simulation'!$K$482</definedName>
    <definedName name="PMD_FY_2_BR01_03_Jun">'Monte-Carlo Simulation'!$K$481</definedName>
    <definedName name="PMD_FY_2_BR01_03_Mar">'Monte-Carlo Simulation'!$K$478</definedName>
    <definedName name="PMD_FY_2_BR01_03_May">'Monte-Carlo Simulation'!$K$480</definedName>
    <definedName name="PMD_FY_2_BR01_03_Nov">'Monte-Carlo Simulation'!$K$486</definedName>
    <definedName name="PMD_FY_2_BR01_03_Oct">'Monte-Carlo Simulation'!$K$485</definedName>
    <definedName name="PMD_FY_2_BR01_03_Sep">'Monte-Carlo Simulation'!$K$484</definedName>
    <definedName name="PMD_FY_2_BR01_04_Apr">'Monte-Carlo Simulation'!$K$491</definedName>
    <definedName name="PMD_FY_2_BR01_04_Aug">'Monte-Carlo Simulation'!$K$495</definedName>
    <definedName name="PMD_FY_2_BR01_04_Dec">'Monte-Carlo Simulation'!$K$499</definedName>
    <definedName name="PMD_FY_2_BR01_04_Feb">'Monte-Carlo Simulation'!$K$489</definedName>
    <definedName name="PMD_FY_2_BR01_04_Jan">'Monte-Carlo Simulation'!$K$488</definedName>
    <definedName name="PMD_FY_2_BR01_04_Jul">'Monte-Carlo Simulation'!$K$494</definedName>
    <definedName name="PMD_FY_2_BR01_04_Jun">'Monte-Carlo Simulation'!$K$493</definedName>
    <definedName name="PMD_FY_2_BR01_04_Mar">'Monte-Carlo Simulation'!$K$490</definedName>
    <definedName name="PMD_FY_2_BR01_04_May">'Monte-Carlo Simulation'!$K$492</definedName>
    <definedName name="PMD_FY_2_BR01_04_Nov">'Monte-Carlo Simulation'!$K$498</definedName>
    <definedName name="PMD_FY_2_BR01_04_Oct">'Monte-Carlo Simulation'!$K$497</definedName>
    <definedName name="PMD_FY_2_BR01_04_Sep">'Monte-Carlo Simulation'!$K$496</definedName>
    <definedName name="PMD_FY_2_BR01_05_Apr">'Monte-Carlo Simulation'!$K$503</definedName>
    <definedName name="PMD_FY_2_BR01_05_Aug">'Monte-Carlo Simulation'!$K$507</definedName>
    <definedName name="PMD_FY_2_BR01_05_Dec">'Monte-Carlo Simulation'!$K$511</definedName>
    <definedName name="PMD_FY_2_BR01_05_Feb">'Monte-Carlo Simulation'!$K$501</definedName>
    <definedName name="PMD_FY_2_BR01_05_Jan">'Monte-Carlo Simulation'!$K$500</definedName>
    <definedName name="PMD_FY_2_BR01_05_Jul">'Monte-Carlo Simulation'!$K$506</definedName>
    <definedName name="PMD_FY_2_BR01_05_Jun">'Monte-Carlo Simulation'!$K$505</definedName>
    <definedName name="PMD_FY_2_BR01_05_Mar">'Monte-Carlo Simulation'!$K$502</definedName>
    <definedName name="PMD_FY_2_BR01_05_May">'Monte-Carlo Simulation'!$K$504</definedName>
    <definedName name="PMD_FY_2_BR01_05_Nov">'Monte-Carlo Simulation'!$K$510</definedName>
    <definedName name="PMD_FY_2_BR01_05_Oct">'Monte-Carlo Simulation'!$K$509</definedName>
    <definedName name="PMD_FY_2_BR01_05_Sep">'Monte-Carlo Simulation'!$K$508</definedName>
    <definedName name="PMD_FY_2_BR01_06_Apr">'Monte-Carlo Simulation'!$K$515</definedName>
    <definedName name="PMD_FY_2_BR01_06_Aug">'Monte-Carlo Simulation'!$K$519</definedName>
    <definedName name="PMD_FY_2_BR01_06_Dec">'Monte-Carlo Simulation'!$K$523</definedName>
    <definedName name="PMD_FY_2_BR01_06_Feb">'Monte-Carlo Simulation'!$K$513</definedName>
    <definedName name="PMD_FY_2_BR01_06_Jan">'Monte-Carlo Simulation'!$K$512</definedName>
    <definedName name="PMD_FY_2_BR01_06_Jul">'Monte-Carlo Simulation'!$K$518</definedName>
    <definedName name="PMD_FY_2_BR01_06_Jun">'Monte-Carlo Simulation'!$K$517</definedName>
    <definedName name="PMD_FY_2_BR01_06_Mar">'Monte-Carlo Simulation'!$K$514</definedName>
    <definedName name="PMD_FY_2_BR01_06_May">'Monte-Carlo Simulation'!$K$516</definedName>
    <definedName name="PMD_FY_2_BR01_06_Nov">'Monte-Carlo Simulation'!$K$522</definedName>
    <definedName name="PMD_FY_2_BR01_06_Oct">'Monte-Carlo Simulation'!$K$521</definedName>
    <definedName name="PMD_FY_2_BR01_06_Sep">'Monte-Carlo Simulation'!$K$520</definedName>
    <definedName name="PMD_FY_2_BR01_07_Apr">'Monte-Carlo Simulation'!$K$527</definedName>
    <definedName name="PMD_FY_2_BR01_07_Aug">'Monte-Carlo Simulation'!$K$531</definedName>
    <definedName name="PMD_FY_2_BR01_07_Dec">'Monte-Carlo Simulation'!$K$535</definedName>
    <definedName name="PMD_FY_2_BR01_07_Feb">'Monte-Carlo Simulation'!$K$525</definedName>
    <definedName name="PMD_FY_2_BR01_07_Jan">'Monte-Carlo Simulation'!$K$524</definedName>
    <definedName name="PMD_FY_2_BR01_07_Jul">'Monte-Carlo Simulation'!$K$530</definedName>
    <definedName name="PMD_FY_2_BR01_07_Jun">'Monte-Carlo Simulation'!$K$529</definedName>
    <definedName name="PMD_FY_2_BR01_07_Mar">'Monte-Carlo Simulation'!$K$526</definedName>
    <definedName name="PMD_FY_2_BR01_07_May">'Monte-Carlo Simulation'!$K$528</definedName>
    <definedName name="PMD_FY_2_BR01_07_Nov">'Monte-Carlo Simulation'!$K$534</definedName>
    <definedName name="PMD_FY_2_BR01_07_Oct">'Monte-Carlo Simulation'!$K$533</definedName>
    <definedName name="PMD_FY_2_BR01_07_Sep">'Monte-Carlo Simulation'!$K$532</definedName>
    <definedName name="PMD_FY_2_BR01_08_Apr">'Monte-Carlo Simulation'!$K$539</definedName>
    <definedName name="PMD_FY_2_BR01_08_Aug">'Monte-Carlo Simulation'!$K$543</definedName>
    <definedName name="PMD_FY_2_BR01_08_Dec">'Monte-Carlo Simulation'!$K$547</definedName>
    <definedName name="PMD_FY_2_BR01_08_Feb">'Monte-Carlo Simulation'!$K$537</definedName>
    <definedName name="PMD_FY_2_BR01_08_Jan">'Monte-Carlo Simulation'!$K$536</definedName>
    <definedName name="PMD_FY_2_BR01_08_Jul">'Monte-Carlo Simulation'!$K$542</definedName>
    <definedName name="PMD_FY_2_BR01_08_Jun">'Monte-Carlo Simulation'!$K$541</definedName>
    <definedName name="PMD_FY_2_BR01_08_Mar">'Monte-Carlo Simulation'!$K$538</definedName>
    <definedName name="PMD_FY_2_BR01_08_May">'Monte-Carlo Simulation'!$K$540</definedName>
    <definedName name="PMD_FY_2_BR01_08_Nov">'Monte-Carlo Simulation'!$K$546</definedName>
    <definedName name="PMD_FY_2_BR01_08_Oct">'Monte-Carlo Simulation'!$K$545</definedName>
    <definedName name="PMD_FY_2_BR01_08_Sep">'Monte-Carlo Simulation'!$K$544</definedName>
    <definedName name="PMD_FY_3_BR01_01_Apr">'Monte-Carlo Simulation'!$K$553</definedName>
    <definedName name="PMD_FY_3_BR01_01_Aug">'Monte-Carlo Simulation'!$K$557</definedName>
    <definedName name="PMD_FY_3_BR01_01_Dec">'Monte-Carlo Simulation'!$K$561</definedName>
    <definedName name="PMD_FY_3_BR01_01_Feb">'Monte-Carlo Simulation'!$K$551</definedName>
    <definedName name="PMD_FY_3_BR01_01_Jan">'Monte-Carlo Simulation'!$K$550</definedName>
    <definedName name="PMD_FY_3_BR01_01_Jul">'Monte-Carlo Simulation'!$K$556</definedName>
    <definedName name="PMD_FY_3_BR01_01_Jun">'Monte-Carlo Simulation'!$K$555</definedName>
    <definedName name="PMD_FY_3_BR01_01_Mar">'Monte-Carlo Simulation'!$K$552</definedName>
    <definedName name="PMD_FY_3_BR01_01_May">'Monte-Carlo Simulation'!$K$554</definedName>
    <definedName name="PMD_FY_3_BR01_01_Nov">'Monte-Carlo Simulation'!$K$560</definedName>
    <definedName name="PMD_FY_3_BR01_01_Oct">'Monte-Carlo Simulation'!$K$559</definedName>
    <definedName name="PMD_FY_3_BR01_01_Sep">'Monte-Carlo Simulation'!$K$558</definedName>
    <definedName name="PMD_FY_3_BR01_02_Apr">'Monte-Carlo Simulation'!$K$565</definedName>
    <definedName name="PMD_FY_3_BR01_02_Aug">'Monte-Carlo Simulation'!$K$569</definedName>
    <definedName name="PMD_FY_3_BR01_02_Dec">'Monte-Carlo Simulation'!$K$573</definedName>
    <definedName name="PMD_FY_3_BR01_02_Feb">'Monte-Carlo Simulation'!$K$563</definedName>
    <definedName name="PMD_FY_3_BR01_02_Jan">'Monte-Carlo Simulation'!$K$562</definedName>
    <definedName name="PMD_FY_3_BR01_02_Jul">'Monte-Carlo Simulation'!$K$568</definedName>
    <definedName name="PMD_FY_3_BR01_02_Jun">'Monte-Carlo Simulation'!$K$567</definedName>
    <definedName name="PMD_FY_3_BR01_02_Mar">'Monte-Carlo Simulation'!$K$564</definedName>
    <definedName name="PMD_FY_3_BR01_02_May">'Monte-Carlo Simulation'!$K$566</definedName>
    <definedName name="PMD_FY_3_BR01_02_Nov">'Monte-Carlo Simulation'!$K$572</definedName>
    <definedName name="PMD_FY_3_BR01_02_Oct">'Monte-Carlo Simulation'!$K$571</definedName>
    <definedName name="PMD_FY_3_BR01_02_Sep">'Monte-Carlo Simulation'!$K$570</definedName>
    <definedName name="PMD_FY_3_BR01_03_Apr">'Monte-Carlo Simulation'!$K$577</definedName>
    <definedName name="PMD_FY_3_BR01_03_Aug">'Monte-Carlo Simulation'!$K$581</definedName>
    <definedName name="PMD_FY_3_BR01_03_Dec">'Monte-Carlo Simulation'!$K$585</definedName>
    <definedName name="PMD_FY_3_BR01_03_Feb">'Monte-Carlo Simulation'!$K$575</definedName>
    <definedName name="PMD_FY_3_BR01_03_Jan">'Monte-Carlo Simulation'!$K$574</definedName>
    <definedName name="PMD_FY_3_BR01_03_Jul">'Monte-Carlo Simulation'!$K$580</definedName>
    <definedName name="PMD_FY_3_BR01_03_Jun">'Monte-Carlo Simulation'!$K$579</definedName>
    <definedName name="PMD_FY_3_BR01_03_Mar">'Monte-Carlo Simulation'!$K$576</definedName>
    <definedName name="PMD_FY_3_BR01_03_May">'Monte-Carlo Simulation'!$K$578</definedName>
    <definedName name="PMD_FY_3_BR01_03_Nov">'Monte-Carlo Simulation'!$K$584</definedName>
    <definedName name="PMD_FY_3_BR01_03_Oct">'Monte-Carlo Simulation'!$K$583</definedName>
    <definedName name="PMD_FY_3_BR01_03_Sep">'Monte-Carlo Simulation'!$K$582</definedName>
    <definedName name="PMD_FY_3_BR01_04_Apr">'Monte-Carlo Simulation'!$K$589</definedName>
    <definedName name="PMD_FY_3_BR01_04_Aug">'Monte-Carlo Simulation'!$K$593</definedName>
    <definedName name="PMD_FY_3_BR01_04_Dec">'Monte-Carlo Simulation'!$K$597</definedName>
    <definedName name="PMD_FY_3_BR01_04_Feb">'Monte-Carlo Simulation'!$K$587</definedName>
    <definedName name="PMD_FY_3_BR01_04_Jan">'Monte-Carlo Simulation'!$K$586</definedName>
    <definedName name="PMD_FY_3_BR01_04_Jul">'Monte-Carlo Simulation'!$K$592</definedName>
    <definedName name="PMD_FY_3_BR01_04_Jun">'Monte-Carlo Simulation'!$K$591</definedName>
    <definedName name="PMD_FY_3_BR01_04_Mar">'Monte-Carlo Simulation'!$K$588</definedName>
    <definedName name="PMD_FY_3_BR01_04_May">'Monte-Carlo Simulation'!$K$590</definedName>
    <definedName name="PMD_FY_3_BR01_04_Nov">'Monte-Carlo Simulation'!$K$596</definedName>
    <definedName name="PMD_FY_3_BR01_04_Oct">'Monte-Carlo Simulation'!$K$595</definedName>
    <definedName name="PMD_FY_3_BR01_04_Sep">'Monte-Carlo Simulation'!$K$594</definedName>
    <definedName name="PMD_FY_3_BR01_05_Apr">'Monte-Carlo Simulation'!$K$601</definedName>
    <definedName name="PMD_FY_3_BR01_05_Aug">'Monte-Carlo Simulation'!$K$605</definedName>
    <definedName name="PMD_FY_3_BR01_05_Dec">'Monte-Carlo Simulation'!$K$609</definedName>
    <definedName name="PMD_FY_3_BR01_05_Feb">'Monte-Carlo Simulation'!$K$599</definedName>
    <definedName name="PMD_FY_3_BR01_05_Jan">'Monte-Carlo Simulation'!$K$598</definedName>
    <definedName name="PMD_FY_3_BR01_05_Jul">'Monte-Carlo Simulation'!$K$604</definedName>
    <definedName name="PMD_FY_3_BR01_05_Jun">'Monte-Carlo Simulation'!$K$603</definedName>
    <definedName name="PMD_FY_3_BR01_05_Mar">'Monte-Carlo Simulation'!$K$600</definedName>
    <definedName name="PMD_FY_3_BR01_05_May">'Monte-Carlo Simulation'!$K$602</definedName>
    <definedName name="PMD_FY_3_BR01_05_Nov">'Monte-Carlo Simulation'!$K$608</definedName>
    <definedName name="PMD_FY_3_BR01_05_Oct">'Monte-Carlo Simulation'!$K$607</definedName>
    <definedName name="PMD_FY_3_BR01_05_Sep">'Monte-Carlo Simulation'!$K$606</definedName>
    <definedName name="PMD_FY_3_BR01_06_Apr">'Monte-Carlo Simulation'!$K$613</definedName>
    <definedName name="PMD_FY_3_BR01_06_Aug">'Monte-Carlo Simulation'!$K$617</definedName>
    <definedName name="PMD_FY_3_BR01_06_Dec">'Monte-Carlo Simulation'!$K$621</definedName>
    <definedName name="PMD_FY_3_BR01_06_Feb">'Monte-Carlo Simulation'!$K$611</definedName>
    <definedName name="PMD_FY_3_BR01_06_Jan">'Monte-Carlo Simulation'!$K$610</definedName>
    <definedName name="PMD_FY_3_BR01_06_Jul">'Monte-Carlo Simulation'!$K$616</definedName>
    <definedName name="PMD_FY_3_BR01_06_Jun">'Monte-Carlo Simulation'!$K$615</definedName>
    <definedName name="PMD_FY_3_BR01_06_Mar">'Monte-Carlo Simulation'!$K$612</definedName>
    <definedName name="PMD_FY_3_BR01_06_May">'Monte-Carlo Simulation'!$K$614</definedName>
    <definedName name="PMD_FY_3_BR01_06_Nov">'Monte-Carlo Simulation'!$K$620</definedName>
    <definedName name="PMD_FY_3_BR01_06_Oct">'Monte-Carlo Simulation'!$K$619</definedName>
    <definedName name="PMD_FY_3_BR01_06_Sep">'Monte-Carlo Simulation'!$K$618</definedName>
    <definedName name="PMD_FY_3_BR01_07_Apr">'Monte-Carlo Simulation'!$K$625</definedName>
    <definedName name="PMD_FY_3_BR01_07_Aug">'Monte-Carlo Simulation'!$K$629</definedName>
    <definedName name="PMD_FY_3_BR01_07_Dec">'Monte-Carlo Simulation'!$K$633</definedName>
    <definedName name="PMD_FY_3_BR01_07_Feb">'Monte-Carlo Simulation'!$K$623</definedName>
    <definedName name="PMD_FY_3_BR01_07_Jan">'Monte-Carlo Simulation'!$K$622</definedName>
    <definedName name="PMD_FY_3_BR01_07_Jul">'Monte-Carlo Simulation'!$K$628</definedName>
    <definedName name="PMD_FY_3_BR01_07_Jun">'Monte-Carlo Simulation'!$K$627</definedName>
    <definedName name="PMD_FY_3_BR01_07_Mar">'Monte-Carlo Simulation'!$K$624</definedName>
    <definedName name="PMD_FY_3_BR01_07_May">'Monte-Carlo Simulation'!$K$626</definedName>
    <definedName name="PMD_FY_3_BR01_07_Nov">'Monte-Carlo Simulation'!$K$632</definedName>
    <definedName name="PMD_FY_3_BR01_07_Oct">'Monte-Carlo Simulation'!$K$631</definedName>
    <definedName name="PMD_FY_3_BR01_07_Sep">'Monte-Carlo Simulation'!$K$630</definedName>
    <definedName name="PMD_FY_3_BR01_08_Apr">'Monte-Carlo Simulation'!$K$637</definedName>
    <definedName name="PMD_FY_3_BR01_08_Aug">'Monte-Carlo Simulation'!$K$641</definedName>
    <definedName name="PMD_FY_3_BR01_08_Dec">'Monte-Carlo Simulation'!$K$645</definedName>
    <definedName name="PMD_FY_3_BR01_08_Feb">'Monte-Carlo Simulation'!$K$635</definedName>
    <definedName name="PMD_FY_3_BR01_08_Jan">'Monte-Carlo Simulation'!$K$634</definedName>
    <definedName name="PMD_FY_3_BR01_08_Jul">'Monte-Carlo Simulation'!$K$640</definedName>
    <definedName name="PMD_FY_3_BR01_08_Jun">'Monte-Carlo Simulation'!$K$639</definedName>
    <definedName name="PMD_FY_3_BR01_08_Mar">'Monte-Carlo Simulation'!$K$636</definedName>
    <definedName name="PMD_FY_3_BR01_08_May">'Monte-Carlo Simulation'!$K$638</definedName>
    <definedName name="PMD_FY_3_BR01_08_Nov">'Monte-Carlo Simulation'!$K$644</definedName>
    <definedName name="PMD_FY_3_BR01_08_Oct">'Monte-Carlo Simulation'!$K$643</definedName>
    <definedName name="PMD_FY_3_BR01_08_Sep">'Monte-Carlo Simulation'!$K$642</definedName>
    <definedName name="pricesvariableoper">'Oper-Mgt'!$A$37</definedName>
    <definedName name="_xlnm.Print_Area" localSheetId="5">'36-Mo-Fin-Pr'!$A$5:$Q$394</definedName>
    <definedName name="_xlnm.Print_Area" localSheetId="6">'D-Analysis'!$A$5:$T$367</definedName>
    <definedName name="_xlnm.Print_Area" localSheetId="19">'Fin-Mgt'!$A$4:$R$75</definedName>
    <definedName name="_xlnm.Print_Area" localSheetId="2">Help!$A$1:$I$2</definedName>
    <definedName name="_xlnm.Print_Area" localSheetId="21">'Impl-Plan'!$A$3:$G$82</definedName>
    <definedName name="_xlnm.Print_Area" localSheetId="17">'Inn-Mgt'!$B$4:$U$14</definedName>
    <definedName name="_xlnm.Print_Area" localSheetId="15">'Monte-Carlo Simulation'!$A$3:$I$33</definedName>
    <definedName name="_xlnm.Print_Area" localSheetId="18">'Oper-Mgt'!$A$4:$R$218</definedName>
    <definedName name="_xlnm.Print_Area" localSheetId="20">'Org-Mgt'!$A$4:$R$17</definedName>
    <definedName name="_xlnm.Print_Area" localSheetId="13">Performance!$A$5:$Q$273</definedName>
    <definedName name="_xlnm.Print_Area" localSheetId="0">'Project-ID'!$A$1:$G$1</definedName>
    <definedName name="_xlnm.Print_Area" localSheetId="4">'Project-Start'!$A$5:$L$121</definedName>
    <definedName name="_xlnm.Print_Area" localSheetId="11">'SensIt Spider 1'!$A$1:$K$50</definedName>
    <definedName name="_xlnm.Print_Area" localSheetId="8">'SensIt Spider 2'!$A$1:$K$50</definedName>
    <definedName name="_xlnm.Print_Area" localSheetId="10">'SensIt Tornado 1'!$A$1:$I$41</definedName>
    <definedName name="_xlnm.Print_Area" localSheetId="7">'SensIt Tornado 2'!$A$1:$I$41</definedName>
    <definedName name="_xlnm.Print_Area" localSheetId="12">'SensIt Two-Factor Tornado 1'!$A$1:$H$101</definedName>
    <definedName name="_xlnm.Print_Area" localSheetId="9">'SensIt Two-Factor Tornado 2'!$A$1:$H$101</definedName>
    <definedName name="_xlnm.Print_Area" localSheetId="3">'Sim-Navigator'!$A$1:$N$1</definedName>
    <definedName name="_xlnm.Print_Area" localSheetId="14">'Sim-Report'!$A$2:$S$49</definedName>
    <definedName name="_xlnm.Print_Area" localSheetId="1">'Title-Page'!$A$1:$H$54</definedName>
    <definedName name="productnamedesp">'Mktg-Mgt'!$A$37</definedName>
    <definedName name="ProductND">'Sim-Report'!$A$276:$B$276</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Simulation'!$A$153:$B$153</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Simulation'!$A$263:$B$263</definedName>
    <definedName name="ProductsVC3MCS">'Monte-Carlo Simulation'!$A$292:$B$292</definedName>
    <definedName name="ProfitMCS">'Monte-Carlo Simulation'!$C$1097:$G$1097</definedName>
    <definedName name="projectlocation">'Project-ID'!$D$9</definedName>
    <definedName name="ProjectTitle">'Project-ID'!$D$7</definedName>
    <definedName name="RangeMCS">'Monte-Carlo Simulation'!$C$1110:$F$1111</definedName>
    <definedName name="Re">'Fin-Mgt'!$A$44</definedName>
    <definedName name="RecordMCS">'Monte-Carlo Simulation'!$A$1114:$B$1114</definedName>
    <definedName name="Rent">'Project-Start'!$A$84</definedName>
    <definedName name="Rent_org">'Org-Mgt'!$A$33</definedName>
    <definedName name="RentFin">'Fin-Mgt'!$B$47:$G$47</definedName>
    <definedName name="RentMCS">'Monte-Carlo Simulation'!$A$117:$B$117</definedName>
    <definedName name="RentRange">'Project-Start'!$B$87:$G$88</definedName>
    <definedName name="RentRangeOrg">'Org-Mgt'!$B$36:$G$36</definedName>
    <definedName name="RentSim">'Sim-Report'!$A$235:$B$235</definedName>
    <definedName name="RentTotal">'Project-Start'!$B$91:$F$91</definedName>
    <definedName name="RentTotalFin">'Fin-Mgt'!$B$50:$F$50</definedName>
    <definedName name="RentTotalMCS">'Monte-Carlo Simulation'!$A$123:$B$123</definedName>
    <definedName name="RentTotalOrg">'Org-Mgt'!$B$39:$F$39</definedName>
    <definedName name="RentTotalSim">'Sim-Report'!$A$241</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Simulation'!$A$647:$B$647</definedName>
    <definedName name="SalesNov">'36-Mo-Fin-Pr'!$N$10:$N$36</definedName>
    <definedName name="SalesOct">'36-Mo-Fin-Pr'!$M$10:$M$36</definedName>
    <definedName name="SalesP">'Sim-Report'!$A$442:$B$442</definedName>
    <definedName name="SalesPM1">'Sim-Report'!$A$768</definedName>
    <definedName name="SalesPM1MCS">'Monte-Carlo Simulation'!$A$353:$B$353</definedName>
    <definedName name="SalesPM2">'Sim-Report'!$A$866</definedName>
    <definedName name="SalesPM2MCS">'Monte-Carlo Simulation'!$A$451:$B$451</definedName>
    <definedName name="SalesPM3">'Sim-Report'!$A$964</definedName>
    <definedName name="SalesPM3MCS">'Monte-Carlo Simulation'!$A$549:$B$549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'Sim-Report'!$C$6:$O$45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'D-Analysis'!$E$259:$N$259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cvg" localSheetId="6" hidden="1">0.0001</definedName>
    <definedName name="solver_dia" localSheetId="6" hidden="1">5</definedName>
    <definedName name="solver_drv" localSheetId="6" hidden="1">2</definedName>
    <definedName name="solver_eng" localSheetId="6" hidden="1">1</definedName>
    <definedName name="solver_est" localSheetId="6" hidden="1">1</definedName>
    <definedName name="solver_iao" localSheetId="6" hidden="1">0</definedName>
    <definedName name="solver_int" localSheetId="6" hidden="1">0</definedName>
    <definedName name="solver_irs" localSheetId="6" hidden="1">0</definedName>
    <definedName name="solver_ism" localSheetId="6" hidden="1">0</definedName>
    <definedName name="solver_itr" localSheetId="6" hidden="1">2147483647</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0" localSheetId="6" hidden="1">'D-Analysis'!$E$259</definedName>
    <definedName name="solver_lhs1" localSheetId="6" hidden="1">'D-Analysis'!$D$274</definedName>
    <definedName name="solver_lhs2" localSheetId="6" hidden="1">'D-Analysis'!$D$274</definedName>
    <definedName name="solver_lhs3" localSheetId="6" hidden="1">'D-Analysis'!$E$259:$L$259</definedName>
    <definedName name="solver_lhs4" localSheetId="6" hidden="1">'D-Analysis'!$E$259:$L$259</definedName>
    <definedName name="solver_mda" localSheetId="6" hidden="1">4</definedName>
    <definedName name="solver_mip" localSheetId="6" hidden="1">2147483647</definedName>
    <definedName name="solver_mni" localSheetId="6" hidden="1">30</definedName>
    <definedName name="solver_mod" localSheetId="6" hidden="1">3</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tr" localSheetId="6" hidden="1">0</definedName>
    <definedName name="solver_ntri" hidden="1">1000</definedName>
    <definedName name="solver_num" localSheetId="6" hidden="1">4</definedName>
    <definedName name="solver_nwt" localSheetId="6" hidden="1">1</definedName>
    <definedName name="solver_obc" localSheetId="6" hidden="1">0</definedName>
    <definedName name="solver_obp" localSheetId="6" hidden="1">0</definedName>
    <definedName name="solver_opt" localSheetId="6" hidden="1">'D-Analysis'!$D$276</definedName>
    <definedName name="solver_opt_ob" localSheetId="6" hidden="1">1</definedName>
    <definedName name="solver_pre" localSheetId="6" hidden="1">0.000001</definedName>
    <definedName name="solver_psi" localSheetId="6" hidden="1">0</definedName>
    <definedName name="solver_rbv" localSheetId="6" hidden="1">2</definedName>
    <definedName name="solver_rdp" localSheetId="6" hidden="1">0</definedName>
    <definedName name="solver_rel0" localSheetId="6" hidden="1">3</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0" localSheetId="6" hidden="1">'D-Analysis'!$E$257</definedName>
    <definedName name="solver_rhs1" localSheetId="6" hidden="1">'D-Analysis'!$D$275</definedName>
    <definedName name="solver_rhs2" localSheetId="6" hidden="1">'D-Analysis'!$D$273</definedName>
    <definedName name="solver_rhs3" localSheetId="6" hidden="1">'D-Analysis'!$E$260:$L$260</definedName>
    <definedName name="solver_rhs4" localSheetId="6" hidden="1">'D-Analysis'!$E$257:$L$257</definedName>
    <definedName name="solver_rlx" localSheetId="6" hidden="1">2</definedName>
    <definedName name="solver_rsd"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cl" localSheetId="6" hidden="1">2</definedName>
    <definedName name="solver_seed" hidden="1">0</definedName>
    <definedName name="solver_sel" localSheetId="6" hidden="1">1</definedName>
    <definedName name="solver_sho" localSheetId="6" hidden="1">2</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ssz" localSheetId="6" hidden="1">100</definedName>
    <definedName name="solver_tim" localSheetId="6" hidden="1">2147483647</definedName>
    <definedName name="solver_tol" localSheetId="6" hidden="1">0.01</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3</definedName>
    <definedName name="solver_vir" localSheetId="6" hidden="1">1</definedName>
    <definedName name="solver_vol" localSheetId="6" hidden="1">0</definedName>
    <definedName name="solver_vst" localSheetId="6" hidden="1">0</definedName>
    <definedName name="SpO_BR01_01">'Monte-Carlo Simulation'!$K$255</definedName>
    <definedName name="SpO_BR01_02">'Monte-Carlo Simulation'!$K$255</definedName>
    <definedName name="SpO_BR01_03">'Monte-Carlo Simulation'!$K$255</definedName>
    <definedName name="SpO_BR01_04">'Monte-Carlo Simulation'!$K$255</definedName>
    <definedName name="SpO_BR01_05">'Monte-Carlo Simulation'!$K$255</definedName>
    <definedName name="SpO_BR01_06">'Monte-Carlo Simulation'!$K$255</definedName>
    <definedName name="SpO_BR01_07">'Monte-Carlo Simulation'!$K$255</definedName>
    <definedName name="SpO_BR01_08">'Monte-Carlo Simulation'!$K$255</definedName>
    <definedName name="SpO_BR01_09">'Monte-Carlo Simulation'!$K$255</definedName>
    <definedName name="Start_BR01_01_FY_1">'Monte-Carlo Simulation'!$C$648</definedName>
    <definedName name="Start_BR01_01_FY_2">'Monte-Carlo Simulation'!$C$660</definedName>
    <definedName name="Start_BR01_01_FY_3">'Monte-Carlo Simulation'!$C$672</definedName>
    <definedName name="Start_BR01_02_FY_1">'Monte-Carlo Simulation'!$C$684</definedName>
    <definedName name="Start_BR01_02_FY_2">'Monte-Carlo Simulation'!$C$696</definedName>
    <definedName name="Start_BR01_02_FY_3">'Monte-Carlo Simulation'!$C$708</definedName>
    <definedName name="Start_BR01_03_FY_1">'Monte-Carlo Simulation'!$C$720</definedName>
    <definedName name="Start_BR01_03_FY_2">'Monte-Carlo Simulation'!$C$732</definedName>
    <definedName name="Start_BR01_03_FY_3">'Monte-Carlo Simulation'!$C$744</definedName>
    <definedName name="Start_BR01_04_FY_1">'Monte-Carlo Simulation'!$C$756</definedName>
    <definedName name="Start_BR01_04_FY_2">'Monte-Carlo Simulation'!$C$768</definedName>
    <definedName name="Start_BR01_04_FY_3">'Monte-Carlo Simulation'!$C$780</definedName>
    <definedName name="Start_BR01_05_FY_1">'Monte-Carlo Simulation'!$C$792</definedName>
    <definedName name="Start_BR01_05_FY_2">'Monte-Carlo Simulation'!$C$804</definedName>
    <definedName name="Start_BR01_05_FY_3">'Monte-Carlo Simulation'!$C$816</definedName>
    <definedName name="Start_BR01_06_FY_1">'Monte-Carlo Simulation'!$C$828</definedName>
    <definedName name="Start_BR01_06_FY_2">'Monte-Carlo Simulation'!$C$840</definedName>
    <definedName name="Start_BR01_06_FY_3">'Monte-Carlo Simulation'!$C$852</definedName>
    <definedName name="Start_BR01_07_FY_1">'Monte-Carlo Simulation'!$C$864</definedName>
    <definedName name="Start_BR01_07_FY_2">'Monte-Carlo Simulation'!$C$876</definedName>
    <definedName name="Start_BR01_07_FY_3">'Monte-Carlo Simulation'!$C$888</definedName>
    <definedName name="Start_BR01_08_FY_1">'Monte-Carlo Simulation'!$C$900</definedName>
    <definedName name="Start_BR01_08_FY_2">'Monte-Carlo Simulation'!$C$912</definedName>
    <definedName name="Start_BR01_08_FY_3">'Monte-Carlo Simulation'!$C$924</definedName>
    <definedName name="Start_BR01_09_FY_1">'Monte-Carlo Simulation'!$C$936</definedName>
    <definedName name="Start_BR01_09_FY_2">'Monte-Carlo Simulation'!$C$948</definedName>
    <definedName name="Start_BR01_09_FY_3">'Monte-Carlo Simulation'!$C$960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Simulation'!$A$321:$B$321</definedName>
    <definedName name="TargetedMSMkt">'Mktg-Mgt'!$B$59:$O$67</definedName>
    <definedName name="TargetedMSo">'Oper-Mgt'!$B$26:$O$34</definedName>
    <definedName name="targetmarketsiZe">'Mktg-Mgt'!$A$53</definedName>
    <definedName name="TargMS_BR01_01_FY_1">'Monte-Carlo Simulation'!$K$322</definedName>
    <definedName name="TargMS_BR01_01_FY_2">'Monte-Carlo Simulation'!$K$323</definedName>
    <definedName name="TargMS_BR01_01_FY_3">'Monte-Carlo Simulation'!$K$324</definedName>
    <definedName name="TargMS_BR01_02_FY_1">'Monte-Carlo Simulation'!$K$325</definedName>
    <definedName name="TargMS_BR01_02_FY_2">'Monte-Carlo Simulation'!$K$326</definedName>
    <definedName name="TargMS_BR01_02_FY_3">'Monte-Carlo Simulation'!$K$327</definedName>
    <definedName name="TargMS_BR01_03_FY_1">'Monte-Carlo Simulation'!$K$328</definedName>
    <definedName name="TargMS_BR01_03_FY_2">'Monte-Carlo Simulation'!$K$329</definedName>
    <definedName name="TargMS_BR01_03_FY_3">'Monte-Carlo Simulation'!$K$330</definedName>
    <definedName name="TargMS_BR01_04_FY_1">'Monte-Carlo Simulation'!$K$331</definedName>
    <definedName name="TargMS_BR01_04_FY_2">'Monte-Carlo Simulation'!$K$332</definedName>
    <definedName name="TargMS_BR01_04_FY_3">'Monte-Carlo Simulation'!$K$333</definedName>
    <definedName name="TargMS_BR01_05_FY_1">'Monte-Carlo Simulation'!$K$334</definedName>
    <definedName name="TargMS_BR01_05_FY_2">'Monte-Carlo Simulation'!$K$335</definedName>
    <definedName name="TargMS_BR01_05_FY_3">'Monte-Carlo Simulation'!$K$336</definedName>
    <definedName name="TargMS_BR01_06_FY_1">'Monte-Carlo Simulation'!$K$337</definedName>
    <definedName name="TargMS_BR01_06_FY_2">'Monte-Carlo Simulation'!$K$338</definedName>
    <definedName name="TargMS_BR01_06_FY_3">'Monte-Carlo Simulation'!$K$339</definedName>
    <definedName name="TargMS_BR01_07_FY_1">'Monte-Carlo Simulation'!$K$340</definedName>
    <definedName name="TargMS_BR01_07_FY_2">'Monte-Carlo Simulation'!$K$341</definedName>
    <definedName name="TargMS_BR01_07_FY_3">'Monte-Carlo Simulation'!$K$342</definedName>
    <definedName name="TargMS_BR01_08_FY_1">'Monte-Carlo Simulation'!$K$343</definedName>
    <definedName name="TargMS_BR01_08_FY_2">'Monte-Carlo Simulation'!$K$344</definedName>
    <definedName name="TargMS_BR01_08_FY_3">'Monte-Carlo Simulation'!$K$345</definedName>
    <definedName name="TargMS_BR01_09_FY_1">'Monte-Carlo Simulation'!$K$347</definedName>
    <definedName name="TargMS_BR01_09_FY_2">'Monte-Carlo Simulation'!$K$349</definedName>
    <definedName name="TargMS_BR01_09_FY_3">'Monte-Carlo Simulation'!$K$351</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Simulation'!$A$146:$B$146</definedName>
    <definedName name="TaxesRange">'Project-Start'!$B$113:$D$113</definedName>
    <definedName name="TaxesRangeFin">'Fin-Mgt'!$B$65:$D$65</definedName>
    <definedName name="TaxesSim">'Sim-Report'!$A$269:$B$269</definedName>
    <definedName name="TMSize">'Sim-Report'!$A$386:$B$386</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'Sim-Report'!$A$187:$B$187</definedName>
    <definedName name="UtilitiesFin">'Fin-Mgt'!$B$21:$F$25</definedName>
    <definedName name="UtilitiesMCS">'Monte-Carlo Simulation'!$A$72:$B$72</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Simulation'!$A$89:$B$89</definedName>
    <definedName name="UtilitiesTotalOrg">'Org-Mgt'!$B$30:$F$30</definedName>
    <definedName name="UtilitiesTotalSim">'Sim-Report'!$A$204</definedName>
    <definedName name="VarCostByProduct">'36-Mo-Fin-Pr'!$B$50:$I$58</definedName>
    <definedName name="whatif">'D-Analysis'!$A$59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8" i="21" l="1"/>
  <c r="O37" i="21"/>
  <c r="O32" i="21"/>
  <c r="O31" i="21"/>
  <c r="O24" i="21"/>
  <c r="O23" i="21"/>
  <c r="M266" i="28"/>
  <c r="M279" i="28" s="1"/>
  <c r="M272" i="28"/>
  <c r="M270" i="28"/>
  <c r="M230" i="28"/>
  <c r="M232" i="28" s="1"/>
  <c r="M231" i="28" s="1"/>
  <c r="M234" i="28" s="1"/>
  <c r="M252" i="28"/>
  <c r="M250" i="28"/>
  <c r="M253" i="28" s="1"/>
  <c r="M248" i="28"/>
  <c r="M247" i="28"/>
  <c r="M212" i="28"/>
  <c r="M210" i="28"/>
  <c r="M213" i="28" s="1"/>
  <c r="M208" i="28"/>
  <c r="M207" i="28"/>
  <c r="M187" i="28"/>
  <c r="M190" i="28" s="1"/>
  <c r="M186" i="28"/>
  <c r="M185" i="28"/>
  <c r="M184" i="28"/>
  <c r="M183" i="28"/>
  <c r="M173" i="28"/>
  <c r="M176" i="28" s="1"/>
  <c r="M172" i="28"/>
  <c r="M171" i="28"/>
  <c r="M170" i="28"/>
  <c r="M169" i="28"/>
  <c r="M164" i="28"/>
  <c r="M162" i="28"/>
  <c r="M165" i="28" s="1"/>
  <c r="M160" i="28"/>
  <c r="M159" i="28"/>
  <c r="M142" i="28"/>
  <c r="M145" i="28" s="1"/>
  <c r="M141" i="28"/>
  <c r="M144" i="28" s="1"/>
  <c r="M140" i="28"/>
  <c r="M139" i="28"/>
  <c r="M138" i="28"/>
  <c r="M137" i="28"/>
  <c r="M127" i="28"/>
  <c r="M128" i="28" s="1"/>
  <c r="M126" i="28"/>
  <c r="M125" i="28"/>
  <c r="M124" i="28"/>
  <c r="M123" i="28"/>
  <c r="M118" i="28"/>
  <c r="M116" i="28"/>
  <c r="M119" i="28" s="1"/>
  <c r="M114" i="28"/>
  <c r="M113" i="28"/>
  <c r="M96" i="28"/>
  <c r="M99" i="28" s="1"/>
  <c r="M95" i="28"/>
  <c r="M94" i="28"/>
  <c r="M93" i="28"/>
  <c r="M92" i="28"/>
  <c r="M82" i="28"/>
  <c r="M85" i="28" s="1"/>
  <c r="M81" i="28"/>
  <c r="M80" i="28"/>
  <c r="M79" i="28"/>
  <c r="M78" i="28"/>
  <c r="M73" i="28"/>
  <c r="M71" i="28"/>
  <c r="M74" i="28" s="1"/>
  <c r="M69" i="28"/>
  <c r="M68" i="28"/>
  <c r="L266" i="28"/>
  <c r="L279" i="28" s="1"/>
  <c r="L276" i="28"/>
  <c r="L272" i="28"/>
  <c r="L271" i="28" s="1"/>
  <c r="L270" i="28"/>
  <c r="L232" i="28"/>
  <c r="L231" i="28" s="1"/>
  <c r="L234" i="28" s="1"/>
  <c r="L230" i="28"/>
  <c r="L252" i="28"/>
  <c r="L250" i="28"/>
  <c r="L253" i="28" s="1"/>
  <c r="L248" i="28"/>
  <c r="L247" i="28"/>
  <c r="L212" i="28"/>
  <c r="L210" i="28"/>
  <c r="L213" i="28" s="1"/>
  <c r="L208" i="28"/>
  <c r="L207" i="28"/>
  <c r="L188" i="28"/>
  <c r="L191" i="28" s="1"/>
  <c r="L187" i="28"/>
  <c r="L190" i="28" s="1"/>
  <c r="L186" i="28"/>
  <c r="L185" i="28"/>
  <c r="L184" i="28"/>
  <c r="L183" i="28"/>
  <c r="L174" i="28"/>
  <c r="L177" i="28" s="1"/>
  <c r="L173" i="28"/>
  <c r="L176" i="28" s="1"/>
  <c r="L172" i="28"/>
  <c r="L171" i="28"/>
  <c r="L170" i="28"/>
  <c r="L169" i="28"/>
  <c r="L164" i="28"/>
  <c r="L162" i="28"/>
  <c r="L165" i="28" s="1"/>
  <c r="L160" i="28"/>
  <c r="L159" i="28"/>
  <c r="L141" i="28"/>
  <c r="L144" i="28" s="1"/>
  <c r="L140" i="28"/>
  <c r="L139" i="28"/>
  <c r="L138" i="28"/>
  <c r="L137" i="28"/>
  <c r="L127" i="28"/>
  <c r="L130" i="28" s="1"/>
  <c r="L126" i="28"/>
  <c r="L125" i="28"/>
  <c r="L124" i="28"/>
  <c r="L123" i="28"/>
  <c r="L118" i="28"/>
  <c r="L116" i="28"/>
  <c r="L119" i="28" s="1"/>
  <c r="L114" i="28"/>
  <c r="L113" i="28"/>
  <c r="L97" i="28"/>
  <c r="L100" i="28" s="1"/>
  <c r="L96" i="28"/>
  <c r="L99" i="28" s="1"/>
  <c r="L95" i="28"/>
  <c r="L94" i="28"/>
  <c r="L93" i="28"/>
  <c r="L92" i="28"/>
  <c r="L82" i="28"/>
  <c r="L83" i="28" s="1"/>
  <c r="L81" i="28"/>
  <c r="L80" i="28"/>
  <c r="L79" i="28"/>
  <c r="L78" i="28"/>
  <c r="L73" i="28"/>
  <c r="L71" i="28"/>
  <c r="L74" i="28" s="1"/>
  <c r="L69" i="28"/>
  <c r="L68" i="28"/>
  <c r="K266" i="28"/>
  <c r="K276" i="28"/>
  <c r="K272" i="28"/>
  <c r="K271" i="28" s="1"/>
  <c r="K270" i="28"/>
  <c r="K232" i="28"/>
  <c r="K231" i="28" s="1"/>
  <c r="K234" i="28" s="1"/>
  <c r="K252" i="28"/>
  <c r="K250" i="28"/>
  <c r="K253" i="28" s="1"/>
  <c r="K248" i="28"/>
  <c r="K247" i="28"/>
  <c r="K212" i="28"/>
  <c r="K210" i="28"/>
  <c r="K213" i="28" s="1"/>
  <c r="K208" i="28"/>
  <c r="K207" i="28"/>
  <c r="K188" i="28"/>
  <c r="K191" i="28" s="1"/>
  <c r="K187" i="28"/>
  <c r="K190" i="28" s="1"/>
  <c r="K186" i="28"/>
  <c r="K185" i="28"/>
  <c r="K184" i="28"/>
  <c r="K183" i="28"/>
  <c r="K174" i="28"/>
  <c r="K177" i="28" s="1"/>
  <c r="K173" i="28"/>
  <c r="K176" i="28" s="1"/>
  <c r="K172" i="28"/>
  <c r="K171" i="28"/>
  <c r="K170" i="28"/>
  <c r="K169" i="28"/>
  <c r="K164" i="28"/>
  <c r="K162" i="28"/>
  <c r="K165" i="28" s="1"/>
  <c r="K160" i="28"/>
  <c r="K159" i="28"/>
  <c r="K141" i="28"/>
  <c r="K144" i="28" s="1"/>
  <c r="K140" i="28"/>
  <c r="K139" i="28"/>
  <c r="K138" i="28"/>
  <c r="K137" i="28"/>
  <c r="K127" i="28"/>
  <c r="K130" i="28" s="1"/>
  <c r="K126" i="28"/>
  <c r="K125" i="28"/>
  <c r="K124" i="28"/>
  <c r="K123" i="28"/>
  <c r="K118" i="28"/>
  <c r="K116" i="28"/>
  <c r="K119" i="28" s="1"/>
  <c r="K114" i="28"/>
  <c r="K113" i="28"/>
  <c r="K97" i="28"/>
  <c r="K100" i="28" s="1"/>
  <c r="K96" i="28"/>
  <c r="K99" i="28" s="1"/>
  <c r="K95" i="28"/>
  <c r="K94" i="28"/>
  <c r="K93" i="28"/>
  <c r="K92" i="28"/>
  <c r="K82" i="28"/>
  <c r="K83" i="28" s="1"/>
  <c r="K81" i="28"/>
  <c r="K80" i="28"/>
  <c r="K79" i="28"/>
  <c r="K78" i="28"/>
  <c r="K73" i="28"/>
  <c r="K71" i="28"/>
  <c r="K74" i="28" s="1"/>
  <c r="K69" i="28"/>
  <c r="K68" i="28"/>
  <c r="J266" i="28"/>
  <c r="J272" i="28"/>
  <c r="J270" i="28"/>
  <c r="J230" i="28"/>
  <c r="J232" i="28" s="1"/>
  <c r="J231" i="28" s="1"/>
  <c r="J234" i="28" s="1"/>
  <c r="J252" i="28"/>
  <c r="J250" i="28"/>
  <c r="J253" i="28" s="1"/>
  <c r="J248" i="28"/>
  <c r="J247" i="28"/>
  <c r="J212" i="28"/>
  <c r="J210" i="28"/>
  <c r="J213" i="28" s="1"/>
  <c r="J208" i="28"/>
  <c r="J207" i="28"/>
  <c r="J187" i="28"/>
  <c r="J190" i="28" s="1"/>
  <c r="J186" i="28"/>
  <c r="J185" i="28"/>
  <c r="J184" i="28"/>
  <c r="J183" i="28"/>
  <c r="J173" i="28"/>
  <c r="J176" i="28" s="1"/>
  <c r="J172" i="28"/>
  <c r="J171" i="28"/>
  <c r="J170" i="28"/>
  <c r="J169" i="28"/>
  <c r="J164" i="28"/>
  <c r="J162" i="28"/>
  <c r="J165" i="28" s="1"/>
  <c r="J160" i="28"/>
  <c r="J159" i="28"/>
  <c r="J141" i="28"/>
  <c r="J142" i="28" s="1"/>
  <c r="J140" i="28"/>
  <c r="J139" i="28"/>
  <c r="J138" i="28"/>
  <c r="J137" i="28"/>
  <c r="J127" i="28"/>
  <c r="J128" i="28" s="1"/>
  <c r="J126" i="28"/>
  <c r="J125" i="28"/>
  <c r="J124" i="28"/>
  <c r="J123" i="28"/>
  <c r="J118" i="28"/>
  <c r="J116" i="28"/>
  <c r="J119" i="28" s="1"/>
  <c r="J114" i="28"/>
  <c r="J113" i="28"/>
  <c r="J96" i="28"/>
  <c r="J99" i="28" s="1"/>
  <c r="J95" i="28"/>
  <c r="J94" i="28"/>
  <c r="J93" i="28"/>
  <c r="J92" i="28"/>
  <c r="J82" i="28"/>
  <c r="J85" i="28" s="1"/>
  <c r="J81" i="28"/>
  <c r="J80" i="28"/>
  <c r="J79" i="28"/>
  <c r="J78" i="28"/>
  <c r="J73" i="28"/>
  <c r="J71" i="28"/>
  <c r="J74" i="28" s="1"/>
  <c r="J69" i="28"/>
  <c r="J68" i="28"/>
  <c r="I266" i="28"/>
  <c r="I272" i="28"/>
  <c r="I271" i="28" s="1"/>
  <c r="I276" i="28" s="1"/>
  <c r="I270" i="28"/>
  <c r="I230" i="28"/>
  <c r="I232" i="28" s="1"/>
  <c r="I231" i="28" s="1"/>
  <c r="I234" i="28" s="1"/>
  <c r="I252" i="28"/>
  <c r="I250" i="28"/>
  <c r="I253" i="28" s="1"/>
  <c r="I248" i="28"/>
  <c r="I247" i="28"/>
  <c r="I212" i="28"/>
  <c r="I210" i="28"/>
  <c r="I213" i="28" s="1"/>
  <c r="I208" i="28"/>
  <c r="I207" i="28"/>
  <c r="I188" i="28"/>
  <c r="I191" i="28" s="1"/>
  <c r="I187" i="28"/>
  <c r="I190" i="28" s="1"/>
  <c r="I186" i="28"/>
  <c r="I185" i="28"/>
  <c r="I184" i="28"/>
  <c r="I183" i="28"/>
  <c r="I173" i="28"/>
  <c r="I174" i="28" s="1"/>
  <c r="I172" i="28"/>
  <c r="I171" i="28"/>
  <c r="I170" i="28"/>
  <c r="I169" i="28"/>
  <c r="I164" i="28"/>
  <c r="I162" i="28"/>
  <c r="I165" i="28" s="1"/>
  <c r="I160" i="28"/>
  <c r="I159" i="28"/>
  <c r="I141" i="28"/>
  <c r="I144" i="28" s="1"/>
  <c r="I140" i="28"/>
  <c r="I139" i="28"/>
  <c r="I138" i="28"/>
  <c r="I137" i="28"/>
  <c r="I127" i="28"/>
  <c r="I130" i="28" s="1"/>
  <c r="I126" i="28"/>
  <c r="I125" i="28"/>
  <c r="I124" i="28"/>
  <c r="I123" i="28"/>
  <c r="I118" i="28"/>
  <c r="I116" i="28"/>
  <c r="I119" i="28" s="1"/>
  <c r="I114" i="28"/>
  <c r="I113" i="28"/>
  <c r="I97" i="28"/>
  <c r="I100" i="28" s="1"/>
  <c r="I96" i="28"/>
  <c r="I99" i="28" s="1"/>
  <c r="I95" i="28"/>
  <c r="I94" i="28"/>
  <c r="I93" i="28"/>
  <c r="I92" i="28"/>
  <c r="I83" i="28"/>
  <c r="I86" i="28" s="1"/>
  <c r="I82" i="28"/>
  <c r="I85" i="28" s="1"/>
  <c r="I81" i="28"/>
  <c r="I80" i="28"/>
  <c r="I79" i="28"/>
  <c r="I78" i="28"/>
  <c r="I73" i="28"/>
  <c r="I71" i="28"/>
  <c r="I74" i="28" s="1"/>
  <c r="I69" i="28"/>
  <c r="I68" i="28"/>
  <c r="H266" i="28"/>
  <c r="H272" i="28"/>
  <c r="H270" i="28"/>
  <c r="H230" i="28"/>
  <c r="H232" i="28" s="1"/>
  <c r="H231" i="28" s="1"/>
  <c r="H234" i="28" s="1"/>
  <c r="H252" i="28"/>
  <c r="H250" i="28"/>
  <c r="H253" i="28" s="1"/>
  <c r="H248" i="28"/>
  <c r="H247" i="28"/>
  <c r="H212" i="28"/>
  <c r="H210" i="28"/>
  <c r="H213" i="28" s="1"/>
  <c r="H208" i="28"/>
  <c r="H207" i="28"/>
  <c r="H187" i="28"/>
  <c r="H190" i="28" s="1"/>
  <c r="H186" i="28"/>
  <c r="H185" i="28"/>
  <c r="H184" i="28"/>
  <c r="H183" i="28"/>
  <c r="H173" i="28"/>
  <c r="H176" i="28" s="1"/>
  <c r="H172" i="28"/>
  <c r="H171" i="28"/>
  <c r="H170" i="28"/>
  <c r="H169" i="28"/>
  <c r="H164" i="28"/>
  <c r="H162" i="28"/>
  <c r="H165" i="28" s="1"/>
  <c r="H160" i="28"/>
  <c r="H159" i="28"/>
  <c r="H142" i="28"/>
  <c r="H145" i="28" s="1"/>
  <c r="H141" i="28"/>
  <c r="H144" i="28" s="1"/>
  <c r="H140" i="28"/>
  <c r="H139" i="28"/>
  <c r="H138" i="28"/>
  <c r="H137" i="28"/>
  <c r="H128" i="28"/>
  <c r="H131" i="28" s="1"/>
  <c r="H127" i="28"/>
  <c r="H130" i="28" s="1"/>
  <c r="H126" i="28"/>
  <c r="H125" i="28"/>
  <c r="H124" i="28"/>
  <c r="H123" i="28"/>
  <c r="H118" i="28"/>
  <c r="H116" i="28"/>
  <c r="H119" i="28" s="1"/>
  <c r="H114" i="28"/>
  <c r="H113" i="28"/>
  <c r="H96" i="28"/>
  <c r="H99" i="28" s="1"/>
  <c r="H95" i="28"/>
  <c r="H94" i="28"/>
  <c r="H93" i="28"/>
  <c r="H92" i="28"/>
  <c r="H82" i="28"/>
  <c r="H85" i="28" s="1"/>
  <c r="H81" i="28"/>
  <c r="H80" i="28"/>
  <c r="H79" i="28"/>
  <c r="H78" i="28"/>
  <c r="H73" i="28"/>
  <c r="H71" i="28"/>
  <c r="H74" i="28" s="1"/>
  <c r="H69" i="28"/>
  <c r="H68" i="28"/>
  <c r="G266" i="28"/>
  <c r="G272" i="28"/>
  <c r="G271" i="28" s="1"/>
  <c r="G276" i="28" s="1"/>
  <c r="G270" i="28"/>
  <c r="G230" i="28"/>
  <c r="G232" i="28" s="1"/>
  <c r="G231" i="28" s="1"/>
  <c r="G234" i="28" s="1"/>
  <c r="G252" i="28"/>
  <c r="G250" i="28"/>
  <c r="G253" i="28" s="1"/>
  <c r="G248" i="28"/>
  <c r="G247" i="28"/>
  <c r="G212" i="28"/>
  <c r="G210" i="28"/>
  <c r="G213" i="28" s="1"/>
  <c r="G208" i="28"/>
  <c r="G207" i="28"/>
  <c r="G188" i="28"/>
  <c r="G191" i="28" s="1"/>
  <c r="G187" i="28"/>
  <c r="G190" i="28" s="1"/>
  <c r="G186" i="28"/>
  <c r="G185" i="28"/>
  <c r="G184" i="28"/>
  <c r="G183" i="28"/>
  <c r="G173" i="28"/>
  <c r="G174" i="28" s="1"/>
  <c r="G172" i="28"/>
  <c r="G171" i="28"/>
  <c r="G170" i="28"/>
  <c r="G169" i="28"/>
  <c r="G164" i="28"/>
  <c r="G162" i="28"/>
  <c r="G165" i="28" s="1"/>
  <c r="G160" i="28"/>
  <c r="G159" i="28"/>
  <c r="G141" i="28"/>
  <c r="G144" i="28" s="1"/>
  <c r="G140" i="28"/>
  <c r="G139" i="28"/>
  <c r="G138" i="28"/>
  <c r="G137" i="28"/>
  <c r="G127" i="28"/>
  <c r="G130" i="28" s="1"/>
  <c r="G126" i="28"/>
  <c r="G125" i="28"/>
  <c r="G124" i="28"/>
  <c r="G123" i="28"/>
  <c r="G118" i="28"/>
  <c r="G116" i="28"/>
  <c r="G119" i="28" s="1"/>
  <c r="G114" i="28"/>
  <c r="G113" i="28"/>
  <c r="G96" i="28"/>
  <c r="G97" i="28" s="1"/>
  <c r="G95" i="28"/>
  <c r="G94" i="28"/>
  <c r="G93" i="28"/>
  <c r="G92" i="28"/>
  <c r="G82" i="28"/>
  <c r="G83" i="28" s="1"/>
  <c r="G81" i="28"/>
  <c r="G80" i="28"/>
  <c r="G79" i="28"/>
  <c r="G78" i="28"/>
  <c r="G73" i="28"/>
  <c r="G71" i="28"/>
  <c r="G74" i="28" s="1"/>
  <c r="G69" i="28"/>
  <c r="G68" i="28"/>
  <c r="F266" i="28"/>
  <c r="F272" i="28"/>
  <c r="F270" i="28"/>
  <c r="F230" i="28"/>
  <c r="F232" i="28" s="1"/>
  <c r="F231" i="28" s="1"/>
  <c r="F234" i="28" s="1"/>
  <c r="F252" i="28"/>
  <c r="F250" i="28"/>
  <c r="F253" i="28" s="1"/>
  <c r="F248" i="28"/>
  <c r="F247" i="28"/>
  <c r="F212" i="28"/>
  <c r="F210" i="28"/>
  <c r="F213" i="28" s="1"/>
  <c r="F208" i="28"/>
  <c r="F207" i="28"/>
  <c r="F188" i="28"/>
  <c r="F187" i="28"/>
  <c r="F190" i="28" s="1"/>
  <c r="F186" i="28"/>
  <c r="F185" i="28"/>
  <c r="F184" i="28"/>
  <c r="F183" i="28"/>
  <c r="F173" i="28"/>
  <c r="F176" i="28" s="1"/>
  <c r="F172" i="28"/>
  <c r="F171" i="28"/>
  <c r="F170" i="28"/>
  <c r="F169" i="28"/>
  <c r="F164" i="28"/>
  <c r="F162" i="28"/>
  <c r="F165" i="28" s="1"/>
  <c r="F160" i="28"/>
  <c r="F159" i="28"/>
  <c r="F142" i="28"/>
  <c r="F145" i="28" s="1"/>
  <c r="F141" i="28"/>
  <c r="F144" i="28" s="1"/>
  <c r="F140" i="28"/>
  <c r="F139" i="28"/>
  <c r="F138" i="28"/>
  <c r="F137" i="28"/>
  <c r="F127" i="28"/>
  <c r="F128" i="28" s="1"/>
  <c r="F126" i="28"/>
  <c r="F125" i="28"/>
  <c r="F124" i="28"/>
  <c r="F123" i="28"/>
  <c r="F118" i="28"/>
  <c r="F116" i="28"/>
  <c r="F119" i="28" s="1"/>
  <c r="F114" i="28"/>
  <c r="F113" i="28"/>
  <c r="F97" i="28"/>
  <c r="F96" i="28"/>
  <c r="F99" i="28" s="1"/>
  <c r="F95" i="28"/>
  <c r="F94" i="28"/>
  <c r="F93" i="28"/>
  <c r="F92" i="28"/>
  <c r="F82" i="28"/>
  <c r="F85" i="28" s="1"/>
  <c r="F81" i="28"/>
  <c r="F80" i="28"/>
  <c r="F79" i="28"/>
  <c r="F78" i="28"/>
  <c r="F73" i="28"/>
  <c r="F71" i="28"/>
  <c r="F74" i="28" s="1"/>
  <c r="F69" i="28"/>
  <c r="F68" i="28"/>
  <c r="E266" i="28"/>
  <c r="E272" i="28"/>
  <c r="E271" i="28" s="1"/>
  <c r="E276" i="28" s="1"/>
  <c r="E270" i="28"/>
  <c r="E230" i="28"/>
  <c r="E232" i="28" s="1"/>
  <c r="E231" i="28" s="1"/>
  <c r="E234" i="28" s="1"/>
  <c r="E252" i="28"/>
  <c r="E250" i="28"/>
  <c r="E253" i="28" s="1"/>
  <c r="E248" i="28"/>
  <c r="E247" i="28"/>
  <c r="E212" i="28"/>
  <c r="E210" i="28"/>
  <c r="E213" i="28" s="1"/>
  <c r="E208" i="28"/>
  <c r="E207" i="28"/>
  <c r="E188" i="28"/>
  <c r="E191" i="28" s="1"/>
  <c r="E187" i="28"/>
  <c r="E190" i="28" s="1"/>
  <c r="E186" i="28"/>
  <c r="E185" i="28"/>
  <c r="E184" i="28"/>
  <c r="E183" i="28"/>
  <c r="E173" i="28"/>
  <c r="E174" i="28" s="1"/>
  <c r="E172" i="28"/>
  <c r="E171" i="28"/>
  <c r="E170" i="28"/>
  <c r="E169" i="28"/>
  <c r="E164" i="28"/>
  <c r="E162" i="28"/>
  <c r="E165" i="28" s="1"/>
  <c r="E160" i="28"/>
  <c r="E159" i="28"/>
  <c r="E141" i="28"/>
  <c r="E144" i="28" s="1"/>
  <c r="E140" i="28"/>
  <c r="E139" i="28"/>
  <c r="E138" i="28"/>
  <c r="E137" i="28"/>
  <c r="E127" i="28"/>
  <c r="E130" i="28" s="1"/>
  <c r="E126" i="28"/>
  <c r="E125" i="28"/>
  <c r="E124" i="28"/>
  <c r="E123" i="28"/>
  <c r="E118" i="28"/>
  <c r="E116" i="28"/>
  <c r="E119" i="28" s="1"/>
  <c r="E114" i="28"/>
  <c r="E113" i="28"/>
  <c r="E97" i="28"/>
  <c r="E100" i="28" s="1"/>
  <c r="E96" i="28"/>
  <c r="E99" i="28" s="1"/>
  <c r="E95" i="28"/>
  <c r="E94" i="28"/>
  <c r="E93" i="28"/>
  <c r="E92" i="28"/>
  <c r="E83" i="28"/>
  <c r="E86" i="28" s="1"/>
  <c r="E82" i="28"/>
  <c r="E85" i="28" s="1"/>
  <c r="E81" i="28"/>
  <c r="E80" i="28"/>
  <c r="E79" i="28"/>
  <c r="E78" i="28"/>
  <c r="E73" i="28"/>
  <c r="E71" i="28"/>
  <c r="E74" i="28" s="1"/>
  <c r="E69" i="28"/>
  <c r="E68" i="28"/>
  <c r="N15" i="28"/>
  <c r="M15" i="28"/>
  <c r="L15" i="28"/>
  <c r="K15" i="28"/>
  <c r="J15" i="28"/>
  <c r="I15" i="28"/>
  <c r="H15" i="28"/>
  <c r="G15" i="28"/>
  <c r="F15"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O39" i="21"/>
  <c r="O35" i="21"/>
  <c r="O34" i="21"/>
  <c r="G60" i="19"/>
  <c r="L60" i="19"/>
  <c r="J60" i="19"/>
  <c r="H60" i="19"/>
  <c r="L75" i="19"/>
  <c r="J75" i="19"/>
  <c r="H75" i="19"/>
  <c r="M271" i="28" l="1"/>
  <c r="M276" i="28" s="1"/>
  <c r="M174" i="28"/>
  <c r="M177" i="28" s="1"/>
  <c r="M188" i="28"/>
  <c r="M191" i="28" s="1"/>
  <c r="M131" i="28"/>
  <c r="M130" i="28"/>
  <c r="M83" i="28"/>
  <c r="M86" i="28" s="1"/>
  <c r="M97" i="28"/>
  <c r="M100" i="28" s="1"/>
  <c r="L128" i="28"/>
  <c r="L131" i="28" s="1"/>
  <c r="L142" i="28"/>
  <c r="L145" i="28" s="1"/>
  <c r="L86" i="28"/>
  <c r="L85" i="28"/>
  <c r="K279" i="28"/>
  <c r="K230" i="28"/>
  <c r="K128" i="28"/>
  <c r="K131" i="28" s="1"/>
  <c r="K142" i="28"/>
  <c r="K145" i="28" s="1"/>
  <c r="K86" i="28"/>
  <c r="K85" i="28"/>
  <c r="J271" i="28"/>
  <c r="J276" i="28" s="1"/>
  <c r="J174" i="28"/>
  <c r="J177" i="28" s="1"/>
  <c r="J188" i="28"/>
  <c r="J191" i="28" s="1"/>
  <c r="J130" i="28"/>
  <c r="J131" i="28" s="1"/>
  <c r="J144" i="28"/>
  <c r="J145" i="28" s="1"/>
  <c r="J83" i="28"/>
  <c r="J86" i="28" s="1"/>
  <c r="J97" i="28"/>
  <c r="J100" i="28" s="1"/>
  <c r="I177" i="28"/>
  <c r="I176" i="28"/>
  <c r="I128" i="28"/>
  <c r="I131" i="28" s="1"/>
  <c r="I142" i="28"/>
  <c r="I145" i="28" s="1"/>
  <c r="H271" i="28"/>
  <c r="H276" i="28" s="1"/>
  <c r="H174" i="28"/>
  <c r="H177" i="28" s="1"/>
  <c r="H188" i="28"/>
  <c r="H191" i="28" s="1"/>
  <c r="H83" i="28"/>
  <c r="H86" i="28" s="1"/>
  <c r="H97" i="28"/>
  <c r="H100" i="28" s="1"/>
  <c r="G177" i="28"/>
  <c r="G176" i="28"/>
  <c r="G128" i="28"/>
  <c r="G131" i="28" s="1"/>
  <c r="G142" i="28"/>
  <c r="G145" i="28" s="1"/>
  <c r="G85" i="28"/>
  <c r="G86" i="28" s="1"/>
  <c r="G99" i="28"/>
  <c r="G100" i="28" s="1"/>
  <c r="F271" i="28"/>
  <c r="F276" i="28" s="1"/>
  <c r="F191" i="28"/>
  <c r="F174" i="28"/>
  <c r="F177" i="28" s="1"/>
  <c r="F131" i="28"/>
  <c r="F130" i="28"/>
  <c r="F100" i="28"/>
  <c r="F83" i="28"/>
  <c r="F86" i="28" s="1"/>
  <c r="E177" i="28"/>
  <c r="E176" i="28"/>
  <c r="E128" i="28"/>
  <c r="E131" i="28" s="1"/>
  <c r="E142" i="28"/>
  <c r="E145" i="28" s="1"/>
  <c r="I279" i="28"/>
  <c r="H279" i="28"/>
  <c r="G279" i="28"/>
  <c r="F279" i="28"/>
  <c r="E279" i="28"/>
  <c r="J279" i="28" l="1"/>
  <c r="N38" i="21" l="1"/>
  <c r="N32" i="21"/>
  <c r="N31" i="21"/>
  <c r="N24" i="21"/>
  <c r="N23" i="21"/>
  <c r="M38" i="21"/>
  <c r="M32" i="21"/>
  <c r="M31" i="21"/>
  <c r="M24" i="21"/>
  <c r="M23" i="21"/>
  <c r="L38" i="21"/>
  <c r="L32" i="21"/>
  <c r="L31" i="21"/>
  <c r="L24" i="21"/>
  <c r="L23" i="21"/>
  <c r="O10" i="36"/>
  <c r="K38" i="21"/>
  <c r="K32" i="21"/>
  <c r="K31" i="21"/>
  <c r="K24" i="21"/>
  <c r="K23" i="21"/>
  <c r="J38" i="21"/>
  <c r="J32" i="21"/>
  <c r="J31" i="21"/>
  <c r="J24" i="21"/>
  <c r="J23" i="21"/>
  <c r="I38" i="21"/>
  <c r="I32" i="21"/>
  <c r="I31" i="21"/>
  <c r="I24" i="21"/>
  <c r="I23" i="2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L148" i="30" s="1"/>
  <c r="K158" i="30"/>
  <c r="J158" i="30"/>
  <c r="J156" i="30" s="1"/>
  <c r="I158" i="30"/>
  <c r="I154" i="30" s="1"/>
  <c r="H158" i="30"/>
  <c r="H156" i="30" s="1"/>
  <c r="G158" i="30"/>
  <c r="G151" i="30" s="1"/>
  <c r="F158" i="30"/>
  <c r="F155" i="30" s="1"/>
  <c r="E158" i="30"/>
  <c r="E147" i="30" s="1"/>
  <c r="D158" i="30"/>
  <c r="D155" i="30" s="1"/>
  <c r="D157" i="30"/>
  <c r="L156" i="30"/>
  <c r="K156" i="30"/>
  <c r="D156" i="30"/>
  <c r="H155" i="30"/>
  <c r="G155" i="30"/>
  <c r="J154" i="30"/>
  <c r="D154" i="30"/>
  <c r="H153" i="30"/>
  <c r="G153" i="30"/>
  <c r="D153" i="30"/>
  <c r="L152" i="30"/>
  <c r="F152" i="30"/>
  <c r="D152" i="30"/>
  <c r="H151" i="30"/>
  <c r="I150" i="30"/>
  <c r="G150" i="30"/>
  <c r="D150" i="30"/>
  <c r="J149" i="30"/>
  <c r="H149" i="30"/>
  <c r="D149" i="30"/>
  <c r="I148" i="30"/>
  <c r="G148" i="30"/>
  <c r="D148" i="30"/>
  <c r="J147" i="30"/>
  <c r="H147" i="30"/>
  <c r="G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L111" i="30" s="1"/>
  <c r="K113" i="30"/>
  <c r="K106" i="30" s="1"/>
  <c r="J113" i="30"/>
  <c r="J102" i="30" s="1"/>
  <c r="I113" i="30"/>
  <c r="I109" i="30" s="1"/>
  <c r="H113" i="30"/>
  <c r="H110" i="30" s="1"/>
  <c r="G113" i="30"/>
  <c r="G110" i="30" s="1"/>
  <c r="F113" i="30"/>
  <c r="F110" i="30" s="1"/>
  <c r="E113" i="30"/>
  <c r="E102" i="30" s="1"/>
  <c r="D113" i="30"/>
  <c r="D110" i="30" s="1"/>
  <c r="J112" i="30"/>
  <c r="G112" i="30"/>
  <c r="F112" i="30"/>
  <c r="E112" i="30"/>
  <c r="D112" i="30"/>
  <c r="G111" i="30"/>
  <c r="D111" i="30"/>
  <c r="J110" i="30"/>
  <c r="K109" i="30"/>
  <c r="J109" i="30"/>
  <c r="G109" i="30"/>
  <c r="F109" i="30"/>
  <c r="E109" i="30"/>
  <c r="D109" i="30"/>
  <c r="D108" i="30"/>
  <c r="J107" i="30"/>
  <c r="G107" i="30"/>
  <c r="D107" i="30"/>
  <c r="G106" i="30"/>
  <c r="F106" i="30"/>
  <c r="L105" i="30"/>
  <c r="J105" i="30"/>
  <c r="E105" i="30"/>
  <c r="D105" i="30"/>
  <c r="K104" i="30"/>
  <c r="G104" i="30"/>
  <c r="D104" i="30"/>
  <c r="G103" i="30"/>
  <c r="F103" i="30"/>
  <c r="D103" i="30"/>
  <c r="L102" i="30"/>
  <c r="G102" i="30"/>
  <c r="D102" i="30"/>
  <c r="K101" i="30"/>
  <c r="G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L66" i="30" s="1"/>
  <c r="K68" i="30"/>
  <c r="K66" i="30" s="1"/>
  <c r="J68" i="30"/>
  <c r="J58" i="30" s="1"/>
  <c r="I68" i="30"/>
  <c r="I59" i="30" s="1"/>
  <c r="H68" i="30"/>
  <c r="H56" i="30" s="1"/>
  <c r="G68" i="30"/>
  <c r="G63" i="30" s="1"/>
  <c r="F68" i="30"/>
  <c r="F57" i="30" s="1"/>
  <c r="E68" i="30"/>
  <c r="E65" i="30" s="1"/>
  <c r="D68" i="30"/>
  <c r="D65" i="30" s="1"/>
  <c r="I67" i="30"/>
  <c r="F67" i="30"/>
  <c r="D67" i="30"/>
  <c r="F65" i="30"/>
  <c r="I64" i="30"/>
  <c r="D64" i="30"/>
  <c r="D63" i="30"/>
  <c r="I62" i="30"/>
  <c r="F62" i="30"/>
  <c r="L61" i="30"/>
  <c r="J61" i="30"/>
  <c r="E61" i="30"/>
  <c r="I60" i="30"/>
  <c r="D60" i="30"/>
  <c r="F59" i="30"/>
  <c r="D59" i="30"/>
  <c r="I58" i="30"/>
  <c r="I57" i="30"/>
  <c r="K56" i="30"/>
  <c r="F56" i="30"/>
  <c r="D56" i="30"/>
  <c r="L54" i="30"/>
  <c r="K54" i="30"/>
  <c r="J54" i="30"/>
  <c r="I54" i="30"/>
  <c r="H54" i="30"/>
  <c r="G54" i="30"/>
  <c r="F54" i="30"/>
  <c r="E54" i="30"/>
  <c r="D54" i="30"/>
  <c r="K172" i="30"/>
  <c r="I172" i="30"/>
  <c r="G172" i="30"/>
  <c r="E172" i="30"/>
  <c r="L171" i="30"/>
  <c r="J171" i="30"/>
  <c r="H171" i="30"/>
  <c r="F171" i="30"/>
  <c r="D171" i="30"/>
  <c r="K170" i="30"/>
  <c r="I170" i="30"/>
  <c r="G170" i="30"/>
  <c r="E170" i="30"/>
  <c r="L169" i="30"/>
  <c r="J169" i="30"/>
  <c r="H169" i="30"/>
  <c r="F169" i="30"/>
  <c r="D169" i="30"/>
  <c r="K168" i="30"/>
  <c r="I168" i="30"/>
  <c r="G168" i="30"/>
  <c r="E168" i="30"/>
  <c r="L167" i="30"/>
  <c r="J167" i="30"/>
  <c r="H167" i="30"/>
  <c r="F167" i="30"/>
  <c r="D167" i="30"/>
  <c r="K166" i="30"/>
  <c r="I166" i="30"/>
  <c r="G166" i="30"/>
  <c r="E166" i="30"/>
  <c r="L165" i="30"/>
  <c r="J165" i="30"/>
  <c r="H165" i="30"/>
  <c r="F165" i="30"/>
  <c r="D165" i="30"/>
  <c r="K164" i="30"/>
  <c r="I164" i="30"/>
  <c r="G164" i="30"/>
  <c r="E164" i="30"/>
  <c r="L163" i="30"/>
  <c r="J163" i="30"/>
  <c r="H163" i="30"/>
  <c r="F163" i="30"/>
  <c r="D163" i="30"/>
  <c r="K162" i="30"/>
  <c r="I162" i="30"/>
  <c r="G162" i="30"/>
  <c r="E162" i="30"/>
  <c r="L161" i="30"/>
  <c r="J161" i="30"/>
  <c r="H161" i="30"/>
  <c r="F161" i="30"/>
  <c r="D161" i="30"/>
  <c r="K127" i="30"/>
  <c r="I127" i="30"/>
  <c r="G127" i="30"/>
  <c r="E127" i="30"/>
  <c r="L126" i="30"/>
  <c r="J126" i="30"/>
  <c r="H126" i="30"/>
  <c r="F126" i="30"/>
  <c r="D126" i="30"/>
  <c r="K125" i="30"/>
  <c r="I125" i="30"/>
  <c r="G125" i="30"/>
  <c r="E125" i="30"/>
  <c r="L124" i="30"/>
  <c r="J124" i="30"/>
  <c r="H124" i="30"/>
  <c r="F124" i="30"/>
  <c r="D124" i="30"/>
  <c r="K123" i="30"/>
  <c r="I123" i="30"/>
  <c r="G123" i="30"/>
  <c r="E123" i="30"/>
  <c r="L122" i="30"/>
  <c r="J122" i="30"/>
  <c r="H122" i="30"/>
  <c r="F122" i="30"/>
  <c r="D122" i="30"/>
  <c r="K121" i="30"/>
  <c r="I121" i="30"/>
  <c r="G121" i="30"/>
  <c r="E121" i="30"/>
  <c r="L120" i="30"/>
  <c r="J120" i="30"/>
  <c r="H120" i="30"/>
  <c r="F120" i="30"/>
  <c r="D120" i="30"/>
  <c r="K119" i="30"/>
  <c r="I119" i="30"/>
  <c r="G119" i="30"/>
  <c r="E119" i="30"/>
  <c r="L118" i="30"/>
  <c r="J118" i="30"/>
  <c r="H118" i="30"/>
  <c r="F118" i="30"/>
  <c r="D118" i="30"/>
  <c r="K117" i="30"/>
  <c r="I117" i="30"/>
  <c r="G117" i="30"/>
  <c r="E117" i="30"/>
  <c r="L116" i="30"/>
  <c r="J116" i="30"/>
  <c r="H116" i="30"/>
  <c r="F116" i="30"/>
  <c r="D116" i="30"/>
  <c r="K82" i="30"/>
  <c r="I82" i="30"/>
  <c r="G82" i="30"/>
  <c r="E82" i="30"/>
  <c r="L81" i="30"/>
  <c r="J81" i="30"/>
  <c r="H81" i="30"/>
  <c r="F81" i="30"/>
  <c r="D81" i="30"/>
  <c r="K80" i="30"/>
  <c r="I80" i="30"/>
  <c r="G80" i="30"/>
  <c r="E80" i="30"/>
  <c r="L79" i="30"/>
  <c r="J79" i="30"/>
  <c r="H79" i="30"/>
  <c r="F79" i="30"/>
  <c r="D79" i="30"/>
  <c r="K78" i="30"/>
  <c r="I78" i="30"/>
  <c r="G78" i="30"/>
  <c r="E78" i="30"/>
  <c r="L77" i="30"/>
  <c r="J77" i="30"/>
  <c r="H77" i="30"/>
  <c r="F77" i="30"/>
  <c r="D77" i="30"/>
  <c r="K76" i="30"/>
  <c r="I76" i="30"/>
  <c r="G76" i="30"/>
  <c r="E76" i="30"/>
  <c r="L75" i="30"/>
  <c r="J75" i="30"/>
  <c r="H75" i="30"/>
  <c r="F75" i="30"/>
  <c r="D75" i="30"/>
  <c r="K74" i="30"/>
  <c r="I74" i="30"/>
  <c r="G74" i="30"/>
  <c r="E74" i="30"/>
  <c r="L73" i="30"/>
  <c r="J73" i="30"/>
  <c r="H73" i="30"/>
  <c r="F73" i="30"/>
  <c r="D73" i="30"/>
  <c r="K72" i="30"/>
  <c r="I72" i="30"/>
  <c r="G72" i="30"/>
  <c r="E72" i="30"/>
  <c r="L71" i="30"/>
  <c r="J71" i="30"/>
  <c r="H71" i="30"/>
  <c r="F71" i="30"/>
  <c r="D71" i="30"/>
  <c r="J172" i="30"/>
  <c r="H172" i="30"/>
  <c r="D172" i="30"/>
  <c r="I171" i="30"/>
  <c r="E171" i="30"/>
  <c r="J170" i="30"/>
  <c r="H170" i="30"/>
  <c r="D170" i="30"/>
  <c r="I169" i="30"/>
  <c r="E169" i="30"/>
  <c r="J168" i="30"/>
  <c r="H168" i="30"/>
  <c r="D168" i="30"/>
  <c r="I167" i="30"/>
  <c r="E167" i="30"/>
  <c r="L166" i="30"/>
  <c r="H166" i="30"/>
  <c r="D166" i="30"/>
  <c r="I165" i="30"/>
  <c r="E165" i="30"/>
  <c r="J164" i="30"/>
  <c r="H164" i="30"/>
  <c r="D164" i="30"/>
  <c r="I163" i="30"/>
  <c r="E163" i="30"/>
  <c r="L162" i="30"/>
  <c r="H162" i="30"/>
  <c r="D162" i="30"/>
  <c r="I161" i="30"/>
  <c r="E161" i="30"/>
  <c r="J127" i="30"/>
  <c r="H127" i="30"/>
  <c r="D127" i="30"/>
  <c r="I126" i="30"/>
  <c r="E126" i="30"/>
  <c r="L125" i="30"/>
  <c r="H125" i="30"/>
  <c r="D125" i="30"/>
  <c r="I124" i="30"/>
  <c r="E124" i="30"/>
  <c r="L123" i="30"/>
  <c r="H123" i="30"/>
  <c r="D123" i="30"/>
  <c r="I122" i="30"/>
  <c r="E122" i="30"/>
  <c r="L121" i="30"/>
  <c r="H121" i="30"/>
  <c r="D121" i="30"/>
  <c r="I120" i="30"/>
  <c r="E120" i="30"/>
  <c r="L119" i="30"/>
  <c r="H119" i="30"/>
  <c r="D119" i="30"/>
  <c r="I118" i="30"/>
  <c r="E118" i="30"/>
  <c r="L117" i="30"/>
  <c r="H117" i="30"/>
  <c r="D117" i="30"/>
  <c r="I116" i="30"/>
  <c r="E116" i="30"/>
  <c r="L82" i="30"/>
  <c r="H82" i="30"/>
  <c r="D82" i="30"/>
  <c r="I81" i="30"/>
  <c r="E81" i="30"/>
  <c r="L80" i="30"/>
  <c r="H80" i="30"/>
  <c r="D80" i="30"/>
  <c r="I79" i="30"/>
  <c r="G79" i="30"/>
  <c r="L78" i="30"/>
  <c r="H78" i="30"/>
  <c r="D78" i="30"/>
  <c r="I77" i="30"/>
  <c r="E77" i="30"/>
  <c r="J76" i="30"/>
  <c r="H76" i="30"/>
  <c r="D76" i="30"/>
  <c r="I75" i="30"/>
  <c r="E75" i="30"/>
  <c r="L74" i="30"/>
  <c r="L172" i="30"/>
  <c r="F172" i="30"/>
  <c r="K171" i="30"/>
  <c r="G171" i="30"/>
  <c r="L170" i="30"/>
  <c r="F170" i="30"/>
  <c r="K169" i="30"/>
  <c r="G169" i="30"/>
  <c r="L168" i="30"/>
  <c r="F168" i="30"/>
  <c r="K167" i="30"/>
  <c r="G167" i="30"/>
  <c r="J166" i="30"/>
  <c r="F166" i="30"/>
  <c r="K165" i="30"/>
  <c r="G165" i="30"/>
  <c r="L164" i="30"/>
  <c r="F164" i="30"/>
  <c r="K163" i="30"/>
  <c r="G163" i="30"/>
  <c r="J162" i="30"/>
  <c r="F162" i="30"/>
  <c r="K161" i="30"/>
  <c r="G161" i="30"/>
  <c r="L127" i="30"/>
  <c r="F127" i="30"/>
  <c r="K126" i="30"/>
  <c r="G126" i="30"/>
  <c r="J125" i="30"/>
  <c r="F125" i="30"/>
  <c r="K124" i="30"/>
  <c r="G124" i="30"/>
  <c r="J123" i="30"/>
  <c r="F123" i="30"/>
  <c r="K122" i="30"/>
  <c r="G122" i="30"/>
  <c r="J121" i="30"/>
  <c r="F121" i="30"/>
  <c r="K120" i="30"/>
  <c r="G120" i="30"/>
  <c r="J119" i="30"/>
  <c r="F119" i="30"/>
  <c r="K118" i="30"/>
  <c r="G118" i="30"/>
  <c r="J117" i="30"/>
  <c r="F117" i="30"/>
  <c r="K116" i="30"/>
  <c r="G116" i="30"/>
  <c r="J82" i="30"/>
  <c r="F82" i="30"/>
  <c r="K81" i="30"/>
  <c r="G81" i="30"/>
  <c r="J80" i="30"/>
  <c r="F80" i="30"/>
  <c r="K79" i="30"/>
  <c r="E79" i="30"/>
  <c r="J78" i="30"/>
  <c r="F78" i="30"/>
  <c r="K77" i="30"/>
  <c r="G77" i="30"/>
  <c r="L76" i="30"/>
  <c r="F76" i="30"/>
  <c r="K75" i="30"/>
  <c r="G75" i="30"/>
  <c r="J74" i="30"/>
  <c r="H74" i="30"/>
  <c r="D74" i="30"/>
  <c r="I73" i="30"/>
  <c r="E73" i="30"/>
  <c r="J72" i="30"/>
  <c r="F72" i="30"/>
  <c r="K71" i="30"/>
  <c r="G71" i="30"/>
  <c r="F74" i="30"/>
  <c r="K73" i="30"/>
  <c r="G73" i="30"/>
  <c r="L72" i="30"/>
  <c r="H72" i="30"/>
  <c r="D72" i="30"/>
  <c r="I71" i="30"/>
  <c r="E71" i="30"/>
  <c r="N35" i="21"/>
  <c r="N34" i="21"/>
  <c r="M35" i="21"/>
  <c r="M34" i="21"/>
  <c r="L35" i="21"/>
  <c r="L34" i="21"/>
  <c r="I34" i="21"/>
  <c r="I39" i="21"/>
  <c r="I35" i="21"/>
  <c r="K35" i="21"/>
  <c r="K34" i="21"/>
  <c r="J35" i="21"/>
  <c r="J34" i="21"/>
  <c r="K39" i="21"/>
  <c r="J39" i="21"/>
  <c r="L39" i="21"/>
  <c r="N39" i="21"/>
  <c r="M39" i="21"/>
  <c r="M37" i="21" l="1"/>
  <c r="N37" i="21"/>
  <c r="L37" i="21"/>
  <c r="J37" i="21"/>
  <c r="K37" i="21"/>
  <c r="E84" i="30"/>
  <c r="E85" i="30" s="1"/>
  <c r="E179" i="30"/>
  <c r="I84" i="30"/>
  <c r="I85" i="30" s="1"/>
  <c r="I179" i="30"/>
  <c r="D180" i="30"/>
  <c r="H180" i="30"/>
  <c r="G181" i="30"/>
  <c r="K181" i="30"/>
  <c r="F182" i="30"/>
  <c r="G84" i="30"/>
  <c r="G85" i="30" s="1"/>
  <c r="G179" i="30"/>
  <c r="K84" i="30"/>
  <c r="K85" i="30" s="1"/>
  <c r="K179" i="30"/>
  <c r="F180" i="30"/>
  <c r="J180" i="30"/>
  <c r="E181" i="30"/>
  <c r="I181" i="30"/>
  <c r="D182" i="30"/>
  <c r="H182" i="30"/>
  <c r="J182" i="30"/>
  <c r="G183" i="30"/>
  <c r="K183" i="30"/>
  <c r="F184" i="30"/>
  <c r="G185" i="30"/>
  <c r="K185" i="30"/>
  <c r="F186" i="30"/>
  <c r="J186" i="30"/>
  <c r="E187" i="30"/>
  <c r="K187" i="30"/>
  <c r="F188" i="30"/>
  <c r="J188" i="30"/>
  <c r="G189" i="30"/>
  <c r="K189" i="30"/>
  <c r="F190" i="30"/>
  <c r="J190" i="30"/>
  <c r="G191" i="30"/>
  <c r="G129" i="30"/>
  <c r="G130" i="30" s="1"/>
  <c r="K191" i="30"/>
  <c r="K129" i="30"/>
  <c r="K130" i="30" s="1"/>
  <c r="F192" i="30"/>
  <c r="J192" i="30"/>
  <c r="G193" i="30"/>
  <c r="K193" i="30"/>
  <c r="F194" i="30"/>
  <c r="J194" i="30"/>
  <c r="G195" i="30"/>
  <c r="K195" i="30"/>
  <c r="F196" i="30"/>
  <c r="J196" i="30"/>
  <c r="G197" i="30"/>
  <c r="K197" i="30"/>
  <c r="F198" i="30"/>
  <c r="J198" i="30"/>
  <c r="G199" i="30"/>
  <c r="K199" i="30"/>
  <c r="F200" i="30"/>
  <c r="J200" i="30"/>
  <c r="G201" i="30"/>
  <c r="K201" i="30"/>
  <c r="F202" i="30"/>
  <c r="G203" i="30"/>
  <c r="G174" i="30"/>
  <c r="G175" i="30" s="1"/>
  <c r="K203" i="30"/>
  <c r="K174" i="30"/>
  <c r="K175" i="30" s="1"/>
  <c r="F204" i="30"/>
  <c r="J204" i="30"/>
  <c r="G205" i="30"/>
  <c r="K205" i="30"/>
  <c r="F206" i="30"/>
  <c r="G207" i="30"/>
  <c r="K207" i="30"/>
  <c r="F208" i="30"/>
  <c r="J208" i="30"/>
  <c r="G209" i="30"/>
  <c r="K209" i="30"/>
  <c r="F210" i="30"/>
  <c r="G211" i="30"/>
  <c r="K211" i="30"/>
  <c r="F212" i="30"/>
  <c r="G213" i="30"/>
  <c r="K213" i="30"/>
  <c r="F214" i="30"/>
  <c r="E183" i="30"/>
  <c r="I183" i="30"/>
  <c r="D184" i="30"/>
  <c r="H184" i="30"/>
  <c r="J184" i="30"/>
  <c r="E185" i="30"/>
  <c r="I185" i="30"/>
  <c r="D186" i="30"/>
  <c r="H186" i="30"/>
  <c r="G187" i="30"/>
  <c r="I187" i="30"/>
  <c r="D188" i="30"/>
  <c r="H188" i="30"/>
  <c r="E189" i="30"/>
  <c r="I189" i="30"/>
  <c r="D190" i="30"/>
  <c r="H190" i="30"/>
  <c r="E191" i="30"/>
  <c r="E129" i="30"/>
  <c r="E130" i="30" s="1"/>
  <c r="I191" i="30"/>
  <c r="I129" i="30"/>
  <c r="I130" i="30" s="1"/>
  <c r="D192" i="30"/>
  <c r="H192" i="30"/>
  <c r="E193" i="30"/>
  <c r="I193" i="30"/>
  <c r="D194" i="30"/>
  <c r="H194" i="30"/>
  <c r="E195" i="30"/>
  <c r="I195" i="30"/>
  <c r="D196" i="30"/>
  <c r="H196" i="30"/>
  <c r="E197" i="30"/>
  <c r="I197" i="30"/>
  <c r="D198" i="30"/>
  <c r="H198" i="30"/>
  <c r="E199" i="30"/>
  <c r="I199" i="30"/>
  <c r="D200" i="30"/>
  <c r="H200" i="30"/>
  <c r="E201" i="30"/>
  <c r="I201" i="30"/>
  <c r="D202" i="30"/>
  <c r="H202" i="30"/>
  <c r="J202" i="30"/>
  <c r="E203" i="30"/>
  <c r="E174" i="30"/>
  <c r="E175" i="30" s="1"/>
  <c r="I203" i="30"/>
  <c r="I174" i="30"/>
  <c r="I175" i="30" s="1"/>
  <c r="D204" i="30"/>
  <c r="H204" i="30"/>
  <c r="E205" i="30"/>
  <c r="I205" i="30"/>
  <c r="D206" i="30"/>
  <c r="H206" i="30"/>
  <c r="J206" i="30"/>
  <c r="E207" i="30"/>
  <c r="I207" i="30"/>
  <c r="D208" i="30"/>
  <c r="H208" i="30"/>
  <c r="E209" i="30"/>
  <c r="I209" i="30"/>
  <c r="D210" i="30"/>
  <c r="H210" i="30"/>
  <c r="J210" i="30"/>
  <c r="E211" i="30"/>
  <c r="I211" i="30"/>
  <c r="D212" i="30"/>
  <c r="H212" i="30"/>
  <c r="J212" i="30"/>
  <c r="E213" i="30"/>
  <c r="I213" i="30"/>
  <c r="D214" i="30"/>
  <c r="H214" i="30"/>
  <c r="J214" i="30"/>
  <c r="D179" i="30"/>
  <c r="D84" i="30"/>
  <c r="D85" i="30" s="1"/>
  <c r="F179" i="30"/>
  <c r="F84" i="30"/>
  <c r="F85" i="30" s="1"/>
  <c r="H179" i="30"/>
  <c r="H84" i="30"/>
  <c r="H85" i="30" s="1"/>
  <c r="J179" i="30"/>
  <c r="J84" i="30"/>
  <c r="J85" i="30" s="1"/>
  <c r="E180" i="30"/>
  <c r="G180" i="30"/>
  <c r="I180" i="30"/>
  <c r="K180" i="30"/>
  <c r="D181" i="30"/>
  <c r="F181" i="30"/>
  <c r="H181" i="30"/>
  <c r="J181" i="30"/>
  <c r="E182" i="30"/>
  <c r="G182" i="30"/>
  <c r="I182" i="30"/>
  <c r="K182" i="30"/>
  <c r="D183" i="30"/>
  <c r="F183" i="30"/>
  <c r="H183" i="30"/>
  <c r="J183" i="30"/>
  <c r="E184" i="30"/>
  <c r="G184" i="30"/>
  <c r="I184" i="30"/>
  <c r="K184" i="30"/>
  <c r="D185" i="30"/>
  <c r="F185" i="30"/>
  <c r="H185" i="30"/>
  <c r="J185" i="30"/>
  <c r="E186" i="30"/>
  <c r="G186" i="30"/>
  <c r="I186" i="30"/>
  <c r="K186" i="30"/>
  <c r="D187" i="30"/>
  <c r="F187" i="30"/>
  <c r="H187" i="30"/>
  <c r="J187" i="30"/>
  <c r="E188" i="30"/>
  <c r="G188" i="30"/>
  <c r="I188" i="30"/>
  <c r="K188" i="30"/>
  <c r="D189" i="30"/>
  <c r="F189" i="30"/>
  <c r="H189" i="30"/>
  <c r="J189" i="30"/>
  <c r="E190" i="30"/>
  <c r="G190" i="30"/>
  <c r="I190" i="30"/>
  <c r="K190" i="30"/>
  <c r="D191" i="30"/>
  <c r="D129" i="30"/>
  <c r="D130" i="30" s="1"/>
  <c r="F191" i="30"/>
  <c r="F129" i="30"/>
  <c r="F130" i="30" s="1"/>
  <c r="H191" i="30"/>
  <c r="H129" i="30"/>
  <c r="H130" i="30" s="1"/>
  <c r="J191" i="30"/>
  <c r="J129" i="30"/>
  <c r="J130" i="30" s="1"/>
  <c r="E192" i="30"/>
  <c r="G192" i="30"/>
  <c r="I192" i="30"/>
  <c r="K192" i="30"/>
  <c r="D193" i="30"/>
  <c r="F193" i="30"/>
  <c r="H193" i="30"/>
  <c r="J193" i="30"/>
  <c r="E194" i="30"/>
  <c r="G194" i="30"/>
  <c r="I194" i="30"/>
  <c r="K194" i="30"/>
  <c r="D195" i="30"/>
  <c r="F195" i="30"/>
  <c r="H195" i="30"/>
  <c r="J195" i="30"/>
  <c r="E196" i="30"/>
  <c r="G196" i="30"/>
  <c r="I196" i="30"/>
  <c r="K196" i="30"/>
  <c r="D197" i="30"/>
  <c r="F197" i="30"/>
  <c r="H197" i="30"/>
  <c r="J197" i="30"/>
  <c r="E198" i="30"/>
  <c r="G198" i="30"/>
  <c r="I198" i="30"/>
  <c r="K198" i="30"/>
  <c r="D199" i="30"/>
  <c r="F199" i="30"/>
  <c r="H199" i="30"/>
  <c r="J199" i="30"/>
  <c r="E200" i="30"/>
  <c r="G200" i="30"/>
  <c r="I200" i="30"/>
  <c r="K200" i="30"/>
  <c r="D201" i="30"/>
  <c r="F201" i="30"/>
  <c r="H201" i="30"/>
  <c r="J201" i="30"/>
  <c r="E202" i="30"/>
  <c r="G202" i="30"/>
  <c r="I202" i="30"/>
  <c r="K202" i="30"/>
  <c r="D203" i="30"/>
  <c r="D174" i="30"/>
  <c r="D175" i="30" s="1"/>
  <c r="F203" i="30"/>
  <c r="F174" i="30"/>
  <c r="F175" i="30" s="1"/>
  <c r="H203" i="30"/>
  <c r="H174" i="30"/>
  <c r="H175" i="30" s="1"/>
  <c r="J203" i="30"/>
  <c r="J174" i="30"/>
  <c r="J175" i="30" s="1"/>
  <c r="E204" i="30"/>
  <c r="G204" i="30"/>
  <c r="I204" i="30"/>
  <c r="K204" i="30"/>
  <c r="D205" i="30"/>
  <c r="F205" i="30"/>
  <c r="H205" i="30"/>
  <c r="J205" i="30"/>
  <c r="E206" i="30"/>
  <c r="G206" i="30"/>
  <c r="I206" i="30"/>
  <c r="K206" i="30"/>
  <c r="D207" i="30"/>
  <c r="F207" i="30"/>
  <c r="H207" i="30"/>
  <c r="J207" i="30"/>
  <c r="E208" i="30"/>
  <c r="G208" i="30"/>
  <c r="I208" i="30"/>
  <c r="K208" i="30"/>
  <c r="D209" i="30"/>
  <c r="F209" i="30"/>
  <c r="H209" i="30"/>
  <c r="J209" i="30"/>
  <c r="E210" i="30"/>
  <c r="G210" i="30"/>
  <c r="I210" i="30"/>
  <c r="K210" i="30"/>
  <c r="D211" i="30"/>
  <c r="F211" i="30"/>
  <c r="H211" i="30"/>
  <c r="J211" i="30"/>
  <c r="E212" i="30"/>
  <c r="G212" i="30"/>
  <c r="I212" i="30"/>
  <c r="K212" i="30"/>
  <c r="D213" i="30"/>
  <c r="F213" i="30"/>
  <c r="H213" i="30"/>
  <c r="J213" i="30"/>
  <c r="E214" i="30"/>
  <c r="G214" i="30"/>
  <c r="I214" i="30"/>
  <c r="K214" i="30"/>
  <c r="I37" i="21"/>
  <c r="L174" i="30"/>
  <c r="L175" i="30" s="1"/>
  <c r="L129" i="30"/>
  <c r="L130" i="30" s="1"/>
  <c r="L84" i="30"/>
  <c r="L85" i="30" s="1"/>
  <c r="L149" i="30"/>
  <c r="L157" i="30"/>
  <c r="L146" i="30"/>
  <c r="L153" i="30"/>
  <c r="L147" i="30"/>
  <c r="L150" i="30"/>
  <c r="L154" i="30"/>
  <c r="L151" i="30"/>
  <c r="L155" i="30"/>
  <c r="K150" i="30"/>
  <c r="K153" i="30"/>
  <c r="K148" i="30"/>
  <c r="K157" i="30"/>
  <c r="K151" i="30"/>
  <c r="K154" i="30"/>
  <c r="K146" i="30"/>
  <c r="K149" i="30"/>
  <c r="K152" i="30"/>
  <c r="K155" i="30"/>
  <c r="K147" i="30"/>
  <c r="J157" i="30"/>
  <c r="J152" i="30"/>
  <c r="J150" i="30"/>
  <c r="J155" i="30"/>
  <c r="J148" i="30"/>
  <c r="J146" i="30"/>
  <c r="J153" i="30"/>
  <c r="J151" i="30"/>
  <c r="I146" i="30"/>
  <c r="I157" i="30"/>
  <c r="I151" i="30"/>
  <c r="I155" i="30"/>
  <c r="I147" i="30"/>
  <c r="I149" i="30"/>
  <c r="I153" i="30"/>
  <c r="I156" i="30"/>
  <c r="I152" i="30"/>
  <c r="H157" i="30"/>
  <c r="H146" i="30"/>
  <c r="H148" i="30"/>
  <c r="H150" i="30"/>
  <c r="H152" i="30"/>
  <c r="H154" i="30"/>
  <c r="G157" i="30"/>
  <c r="G152" i="30"/>
  <c r="G147" i="30"/>
  <c r="G154" i="30"/>
  <c r="G149" i="30"/>
  <c r="G156" i="30"/>
  <c r="F149" i="30"/>
  <c r="F146" i="30"/>
  <c r="F157" i="30"/>
  <c r="F151" i="30"/>
  <c r="F154" i="30"/>
  <c r="F148" i="30"/>
  <c r="F156" i="30"/>
  <c r="F153" i="30"/>
  <c r="F147" i="30"/>
  <c r="F150" i="30"/>
  <c r="E154" i="30"/>
  <c r="E150" i="30"/>
  <c r="E146" i="30"/>
  <c r="E157" i="30"/>
  <c r="E153" i="30"/>
  <c r="E149" i="30"/>
  <c r="E156" i="30"/>
  <c r="E152" i="30"/>
  <c r="E148" i="30"/>
  <c r="E155" i="30"/>
  <c r="E151" i="30"/>
  <c r="D147" i="30"/>
  <c r="D151" i="30"/>
  <c r="L106" i="30"/>
  <c r="L112" i="30"/>
  <c r="L103" i="30"/>
  <c r="L109" i="30"/>
  <c r="L110" i="30"/>
  <c r="L107" i="30"/>
  <c r="L104" i="30"/>
  <c r="L101" i="30"/>
  <c r="L108" i="30"/>
  <c r="K107" i="30"/>
  <c r="K112" i="30"/>
  <c r="K102" i="30"/>
  <c r="K110" i="30"/>
  <c r="K105" i="30"/>
  <c r="K108" i="30"/>
  <c r="K111" i="30"/>
  <c r="K103" i="30"/>
  <c r="J103" i="30"/>
  <c r="J108" i="30"/>
  <c r="J101" i="30"/>
  <c r="J106" i="30"/>
  <c r="J111" i="30"/>
  <c r="J104" i="30"/>
  <c r="I102" i="30"/>
  <c r="I108" i="30"/>
  <c r="I110" i="30"/>
  <c r="I104" i="30"/>
  <c r="I106" i="30"/>
  <c r="I112" i="30"/>
  <c r="I101" i="30"/>
  <c r="I111" i="30"/>
  <c r="I103" i="30"/>
  <c r="I105" i="30"/>
  <c r="I107" i="30"/>
  <c r="H105" i="30"/>
  <c r="H102" i="30"/>
  <c r="H107" i="30"/>
  <c r="H112" i="30"/>
  <c r="H104" i="30"/>
  <c r="H109" i="30"/>
  <c r="H111" i="30"/>
  <c r="H101" i="30"/>
  <c r="H106" i="30"/>
  <c r="H108" i="30"/>
  <c r="H103" i="30"/>
  <c r="G108" i="30"/>
  <c r="G105" i="30"/>
  <c r="F102" i="30"/>
  <c r="F108" i="30"/>
  <c r="F111" i="30"/>
  <c r="F105" i="30"/>
  <c r="F101" i="30"/>
  <c r="F104" i="30"/>
  <c r="F107" i="30"/>
  <c r="E108" i="30"/>
  <c r="E104" i="30"/>
  <c r="E111" i="30"/>
  <c r="E107" i="30"/>
  <c r="E103" i="30"/>
  <c r="E110" i="30"/>
  <c r="E106" i="30"/>
  <c r="D106" i="30"/>
  <c r="L57" i="30"/>
  <c r="L58" i="30"/>
  <c r="L62" i="30"/>
  <c r="L67" i="30"/>
  <c r="L63" i="30"/>
  <c r="L59" i="30"/>
  <c r="L64" i="30"/>
  <c r="L60" i="30"/>
  <c r="L65" i="30"/>
  <c r="L56" i="30"/>
  <c r="K63" i="30"/>
  <c r="K60" i="30"/>
  <c r="K57" i="30"/>
  <c r="K67" i="30"/>
  <c r="K64" i="30"/>
  <c r="K58" i="30"/>
  <c r="K61" i="30"/>
  <c r="K65" i="30"/>
  <c r="K59" i="30"/>
  <c r="K62" i="30"/>
  <c r="J56" i="30"/>
  <c r="J64" i="30"/>
  <c r="J59" i="30"/>
  <c r="J67" i="30"/>
  <c r="J62" i="30"/>
  <c r="J57" i="30"/>
  <c r="J65" i="30"/>
  <c r="J60" i="30"/>
  <c r="J63" i="30"/>
  <c r="J66" i="30"/>
  <c r="I65" i="30"/>
  <c r="I63" i="30"/>
  <c r="I56" i="30"/>
  <c r="I61" i="30"/>
  <c r="I66" i="30"/>
  <c r="H57" i="30"/>
  <c r="H59" i="30"/>
  <c r="H61" i="30"/>
  <c r="H63" i="30"/>
  <c r="H65" i="30"/>
  <c r="H67" i="30"/>
  <c r="H58" i="30"/>
  <c r="H66" i="30"/>
  <c r="H60" i="30"/>
  <c r="H62" i="30"/>
  <c r="H64" i="30"/>
  <c r="G65" i="30"/>
  <c r="G60" i="30"/>
  <c r="G67" i="30"/>
  <c r="G62" i="30"/>
  <c r="G57" i="30"/>
  <c r="G64" i="30"/>
  <c r="G59" i="30"/>
  <c r="G66" i="30"/>
  <c r="G61" i="30"/>
  <c r="G56" i="30"/>
  <c r="G58" i="30"/>
  <c r="F64" i="30"/>
  <c r="F58" i="30"/>
  <c r="F61" i="30"/>
  <c r="F66" i="30"/>
  <c r="F63" i="30"/>
  <c r="F60" i="30"/>
  <c r="E57" i="30"/>
  <c r="E64" i="30"/>
  <c r="E67" i="30"/>
  <c r="E60" i="30"/>
  <c r="E63" i="30"/>
  <c r="E56" i="30"/>
  <c r="E66" i="30"/>
  <c r="E59" i="30"/>
  <c r="E62" i="30"/>
  <c r="E58" i="30"/>
  <c r="D58" i="30"/>
  <c r="D62" i="30"/>
  <c r="D66" i="30"/>
  <c r="D57" i="30"/>
  <c r="D61" i="30"/>
  <c r="L179" i="30"/>
  <c r="L185" i="30"/>
  <c r="L180" i="30"/>
  <c r="L187" i="30"/>
  <c r="L189" i="30"/>
  <c r="L193" i="30"/>
  <c r="L195" i="30"/>
  <c r="L197" i="30"/>
  <c r="L199" i="30"/>
  <c r="L201" i="30"/>
  <c r="L203" i="30"/>
  <c r="L207" i="30"/>
  <c r="L209" i="30"/>
  <c r="L213" i="30"/>
  <c r="L181" i="30"/>
  <c r="L183" i="30"/>
  <c r="L191" i="30"/>
  <c r="L205" i="30"/>
  <c r="L211" i="30"/>
  <c r="L182" i="30"/>
  <c r="L184" i="30"/>
  <c r="L186" i="30"/>
  <c r="L188" i="30"/>
  <c r="L190" i="30"/>
  <c r="L192" i="30"/>
  <c r="L194" i="30"/>
  <c r="L196" i="30"/>
  <c r="L198" i="30"/>
  <c r="L200" i="30"/>
  <c r="L202" i="30"/>
  <c r="L204" i="30"/>
  <c r="L206" i="30"/>
  <c r="L208" i="30"/>
  <c r="L210" i="30"/>
  <c r="L212" i="30"/>
  <c r="L214" i="30"/>
  <c r="L210" i="15" l="1"/>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G1146" i="31" l="1"/>
  <c r="K971" i="31"/>
  <c r="E971" i="31"/>
  <c r="K970" i="31"/>
  <c r="E970" i="31"/>
  <c r="K969" i="31"/>
  <c r="E969" i="31"/>
  <c r="K968" i="31"/>
  <c r="E968" i="31"/>
  <c r="K967" i="31"/>
  <c r="E967" i="31"/>
  <c r="K966" i="31"/>
  <c r="E966" i="31"/>
  <c r="K965" i="31"/>
  <c r="E965" i="31"/>
  <c r="K964" i="31"/>
  <c r="E964" i="31"/>
  <c r="K963" i="31"/>
  <c r="E963" i="31"/>
  <c r="K962" i="31"/>
  <c r="E962" i="31"/>
  <c r="K961" i="31"/>
  <c r="E961" i="31"/>
  <c r="K960" i="31"/>
  <c r="E960" i="31"/>
  <c r="K959" i="31"/>
  <c r="E959" i="31"/>
  <c r="K958" i="31"/>
  <c r="E958" i="31"/>
  <c r="K957" i="31"/>
  <c r="E957" i="31"/>
  <c r="K956" i="31"/>
  <c r="E956" i="31"/>
  <c r="K955" i="31"/>
  <c r="E955" i="31"/>
  <c r="K954" i="31"/>
  <c r="E954" i="31"/>
  <c r="K953" i="31"/>
  <c r="E953" i="31"/>
  <c r="K952" i="31"/>
  <c r="E952" i="31"/>
  <c r="K951" i="31"/>
  <c r="E951" i="31"/>
  <c r="K950" i="31"/>
  <c r="E950" i="31"/>
  <c r="K949" i="31"/>
  <c r="E949" i="31"/>
  <c r="K948" i="31"/>
  <c r="E948" i="31"/>
  <c r="K947" i="31"/>
  <c r="E947" i="31"/>
  <c r="K946" i="31"/>
  <c r="E946" i="31"/>
  <c r="K945" i="31"/>
  <c r="E945" i="31"/>
  <c r="K944" i="31"/>
  <c r="E944" i="31"/>
  <c r="K943" i="31"/>
  <c r="E943" i="31"/>
  <c r="K942" i="31"/>
  <c r="E942" i="31"/>
  <c r="K941" i="31"/>
  <c r="E941" i="31"/>
  <c r="K940" i="31"/>
  <c r="E940" i="31"/>
  <c r="K939" i="31"/>
  <c r="E939" i="31"/>
  <c r="K938" i="31"/>
  <c r="E938" i="31"/>
  <c r="K937" i="31"/>
  <c r="E937" i="31"/>
  <c r="K936" i="31"/>
  <c r="E936" i="31"/>
  <c r="K935" i="31"/>
  <c r="E935" i="31"/>
  <c r="K934" i="31"/>
  <c r="E934" i="31"/>
  <c r="K933" i="31"/>
  <c r="E933" i="31"/>
  <c r="K932" i="31"/>
  <c r="E932" i="31"/>
  <c r="K931" i="31"/>
  <c r="E931" i="31"/>
  <c r="K930" i="31"/>
  <c r="E930" i="31"/>
  <c r="K929" i="31"/>
  <c r="E929" i="31"/>
  <c r="K928" i="31"/>
  <c r="E928" i="31"/>
  <c r="K927" i="31"/>
  <c r="E927" i="31"/>
  <c r="K926" i="31"/>
  <c r="E926" i="31"/>
  <c r="K925" i="31"/>
  <c r="E925" i="31"/>
  <c r="K924" i="31"/>
  <c r="E924" i="31"/>
  <c r="K923" i="31"/>
  <c r="E923" i="31"/>
  <c r="K922" i="31"/>
  <c r="E922" i="31"/>
  <c r="K921" i="31"/>
  <c r="E921" i="31"/>
  <c r="K920" i="31"/>
  <c r="E920" i="31"/>
  <c r="K919" i="31"/>
  <c r="E919" i="31"/>
  <c r="K918" i="31"/>
  <c r="E918" i="31"/>
  <c r="K917" i="31"/>
  <c r="E917" i="31"/>
  <c r="K916" i="31"/>
  <c r="E916" i="31"/>
  <c r="K915" i="31"/>
  <c r="E915" i="31"/>
  <c r="K914" i="31"/>
  <c r="E914" i="31"/>
  <c r="K913" i="31"/>
  <c r="E913" i="31"/>
  <c r="K912" i="31"/>
  <c r="E912" i="31"/>
  <c r="K911" i="31"/>
  <c r="E911" i="31"/>
  <c r="K910" i="31"/>
  <c r="E910" i="31"/>
  <c r="K909" i="31"/>
  <c r="E909" i="31"/>
  <c r="K908" i="31"/>
  <c r="E908" i="31"/>
  <c r="K907" i="31"/>
  <c r="E907" i="31"/>
  <c r="K906" i="31"/>
  <c r="E906" i="31"/>
  <c r="K905" i="31"/>
  <c r="E905" i="31"/>
  <c r="K904" i="31"/>
  <c r="E904" i="31"/>
  <c r="K903" i="31"/>
  <c r="E903" i="31"/>
  <c r="K902" i="31"/>
  <c r="E902" i="31"/>
  <c r="K901" i="31"/>
  <c r="E901" i="31"/>
  <c r="K900" i="31"/>
  <c r="E900" i="31"/>
  <c r="K899" i="31"/>
  <c r="E899" i="31"/>
  <c r="K898" i="31"/>
  <c r="E898" i="31"/>
  <c r="K897" i="31"/>
  <c r="E897" i="31"/>
  <c r="K896" i="31"/>
  <c r="E896" i="31"/>
  <c r="K895" i="31"/>
  <c r="E895" i="31"/>
  <c r="K894" i="31"/>
  <c r="E894" i="31"/>
  <c r="K893" i="31"/>
  <c r="E893" i="31"/>
  <c r="K892" i="31"/>
  <c r="E892" i="31"/>
  <c r="K891" i="31"/>
  <c r="E891" i="31"/>
  <c r="K890" i="31"/>
  <c r="E890" i="31"/>
  <c r="K889" i="31"/>
  <c r="E889" i="31"/>
  <c r="K888" i="31"/>
  <c r="E888" i="31"/>
  <c r="K887" i="31"/>
  <c r="E887" i="31"/>
  <c r="K886" i="31"/>
  <c r="E886" i="31"/>
  <c r="K885" i="31"/>
  <c r="E885" i="31"/>
  <c r="K884" i="31"/>
  <c r="E884" i="31"/>
  <c r="K883" i="31"/>
  <c r="E883" i="31"/>
  <c r="K882" i="31"/>
  <c r="E882" i="31"/>
  <c r="K881" i="31"/>
  <c r="E881" i="31"/>
  <c r="K880" i="31"/>
  <c r="E880" i="31"/>
  <c r="K879" i="31"/>
  <c r="E879" i="31"/>
  <c r="K878" i="31"/>
  <c r="E878" i="31"/>
  <c r="K877" i="31"/>
  <c r="E877" i="31"/>
  <c r="K876" i="31"/>
  <c r="E876" i="31"/>
  <c r="K875" i="31"/>
  <c r="E875" i="31"/>
  <c r="K874" i="31"/>
  <c r="E874" i="31"/>
  <c r="K873" i="31"/>
  <c r="E873" i="31"/>
  <c r="K872" i="31"/>
  <c r="E872" i="31"/>
  <c r="K871" i="31"/>
  <c r="E871" i="31"/>
  <c r="K870" i="31"/>
  <c r="E870" i="31"/>
  <c r="K869" i="31"/>
  <c r="E869" i="31"/>
  <c r="K868" i="31"/>
  <c r="E868" i="31"/>
  <c r="K867" i="31"/>
  <c r="E867" i="31"/>
  <c r="K866" i="31"/>
  <c r="E866" i="31"/>
  <c r="K865" i="31"/>
  <c r="E865" i="31"/>
  <c r="K864" i="31"/>
  <c r="E864" i="31"/>
  <c r="K863" i="31"/>
  <c r="E863" i="31"/>
  <c r="K862" i="31"/>
  <c r="E862" i="31"/>
  <c r="K861" i="31"/>
  <c r="E861" i="31"/>
  <c r="K860" i="31"/>
  <c r="E860" i="31"/>
  <c r="K859" i="31"/>
  <c r="E859" i="31"/>
  <c r="K858" i="31"/>
  <c r="E858" i="31"/>
  <c r="K857" i="31"/>
  <c r="E857" i="31"/>
  <c r="K856" i="31"/>
  <c r="E856" i="31"/>
  <c r="K855" i="31"/>
  <c r="E855" i="31"/>
  <c r="K854" i="31"/>
  <c r="E854" i="31"/>
  <c r="K853" i="31"/>
  <c r="E853" i="31"/>
  <c r="K852" i="31"/>
  <c r="E852" i="31"/>
  <c r="K851" i="31"/>
  <c r="E851" i="31"/>
  <c r="K850" i="31"/>
  <c r="E850" i="31"/>
  <c r="K849" i="31"/>
  <c r="E849" i="31"/>
  <c r="K848" i="31"/>
  <c r="E848" i="31"/>
  <c r="K847" i="31"/>
  <c r="E847" i="31"/>
  <c r="K846" i="31"/>
  <c r="E846" i="31"/>
  <c r="K845" i="31"/>
  <c r="E845" i="31"/>
  <c r="K844" i="31"/>
  <c r="E844" i="31"/>
  <c r="K843" i="31"/>
  <c r="E843" i="31"/>
  <c r="K842" i="31"/>
  <c r="E842" i="31"/>
  <c r="K841" i="31"/>
  <c r="E841" i="31"/>
  <c r="K840" i="31"/>
  <c r="E840" i="31"/>
  <c r="K839" i="31"/>
  <c r="E839" i="31"/>
  <c r="K838" i="31"/>
  <c r="E838" i="31"/>
  <c r="K837" i="31"/>
  <c r="E837" i="31"/>
  <c r="K836" i="31"/>
  <c r="E836" i="31"/>
  <c r="K835" i="31"/>
  <c r="E835" i="31"/>
  <c r="K834" i="31"/>
  <c r="E834" i="31"/>
  <c r="K833" i="31"/>
  <c r="E833" i="31"/>
  <c r="K832" i="31"/>
  <c r="E832" i="31"/>
  <c r="K831" i="31"/>
  <c r="E831" i="31"/>
  <c r="K830" i="31"/>
  <c r="E830" i="31"/>
  <c r="K829" i="31"/>
  <c r="E829" i="31"/>
  <c r="K828" i="31"/>
  <c r="E828" i="31"/>
  <c r="K827" i="31"/>
  <c r="E827" i="31"/>
  <c r="K826" i="31"/>
  <c r="E826" i="31"/>
  <c r="K825" i="31"/>
  <c r="E825" i="31"/>
  <c r="K824" i="31"/>
  <c r="E824" i="31"/>
  <c r="K823" i="31"/>
  <c r="E823" i="31"/>
  <c r="K822" i="31"/>
  <c r="E822" i="31"/>
  <c r="K821" i="31"/>
  <c r="E821" i="31"/>
  <c r="K820" i="31"/>
  <c r="E820" i="31"/>
  <c r="K819" i="31"/>
  <c r="E819" i="31"/>
  <c r="K818" i="31"/>
  <c r="E818" i="31"/>
  <c r="K817" i="31"/>
  <c r="E817" i="31"/>
  <c r="K816" i="31"/>
  <c r="E816" i="31"/>
  <c r="K815" i="31"/>
  <c r="E815" i="31"/>
  <c r="K814" i="31"/>
  <c r="E814" i="31"/>
  <c r="K813" i="31"/>
  <c r="E813" i="31"/>
  <c r="K812" i="31"/>
  <c r="E812" i="31"/>
  <c r="K811" i="31"/>
  <c r="E811" i="31"/>
  <c r="K810" i="31"/>
  <c r="E810" i="31"/>
  <c r="K809" i="31"/>
  <c r="E809" i="31"/>
  <c r="K808" i="31"/>
  <c r="E808" i="31"/>
  <c r="K807" i="31"/>
  <c r="E807" i="31"/>
  <c r="K806" i="31"/>
  <c r="E806" i="31"/>
  <c r="K805" i="31"/>
  <c r="E805" i="31"/>
  <c r="K804" i="31"/>
  <c r="E804" i="31"/>
  <c r="K803" i="31"/>
  <c r="E803" i="31"/>
  <c r="K802" i="31"/>
  <c r="E802" i="31"/>
  <c r="K801" i="31"/>
  <c r="E801" i="31"/>
  <c r="K800" i="31"/>
  <c r="E800" i="31"/>
  <c r="K799" i="31"/>
  <c r="E799" i="31"/>
  <c r="K798" i="31"/>
  <c r="E798" i="31"/>
  <c r="K797" i="31"/>
  <c r="E797" i="31"/>
  <c r="K796" i="31"/>
  <c r="E796" i="31"/>
  <c r="K795" i="31"/>
  <c r="E795" i="31"/>
  <c r="K794" i="31"/>
  <c r="E794" i="31"/>
  <c r="K793" i="31"/>
  <c r="E793" i="31"/>
  <c r="K792" i="31"/>
  <c r="E792" i="31"/>
  <c r="K791" i="31"/>
  <c r="E791" i="31"/>
  <c r="K790" i="31"/>
  <c r="E790" i="31"/>
  <c r="K789" i="31"/>
  <c r="E789" i="31"/>
  <c r="K788" i="31"/>
  <c r="E788" i="31"/>
  <c r="K787" i="31"/>
  <c r="E787" i="31"/>
  <c r="K786" i="31"/>
  <c r="E786" i="31"/>
  <c r="K785" i="31"/>
  <c r="E785" i="31"/>
  <c r="K784" i="31"/>
  <c r="E784" i="31"/>
  <c r="K783" i="31"/>
  <c r="E783" i="31"/>
  <c r="K782" i="31"/>
  <c r="E782" i="31"/>
  <c r="K781" i="31"/>
  <c r="E781" i="31"/>
  <c r="K780" i="31"/>
  <c r="E780" i="31"/>
  <c r="K779" i="31"/>
  <c r="E779" i="31"/>
  <c r="K778" i="31"/>
  <c r="E778" i="31"/>
  <c r="K777" i="31"/>
  <c r="E777" i="31"/>
  <c r="K776" i="31"/>
  <c r="E776" i="31"/>
  <c r="K775" i="31"/>
  <c r="E775" i="31"/>
  <c r="K774" i="31"/>
  <c r="E774" i="31"/>
  <c r="K773" i="31"/>
  <c r="E773" i="31"/>
  <c r="K772" i="31"/>
  <c r="E772" i="31"/>
  <c r="K771" i="31"/>
  <c r="E771" i="31"/>
  <c r="K770" i="31"/>
  <c r="E770" i="31"/>
  <c r="K769" i="31"/>
  <c r="E769" i="31"/>
  <c r="K768" i="31"/>
  <c r="E768" i="31"/>
  <c r="K767" i="31"/>
  <c r="E767" i="31"/>
  <c r="K766" i="31"/>
  <c r="E766" i="31"/>
  <c r="K765" i="31"/>
  <c r="E765" i="31"/>
  <c r="K764" i="31"/>
  <c r="E764" i="31"/>
  <c r="K763" i="31"/>
  <c r="E763" i="31"/>
  <c r="K762" i="31"/>
  <c r="E762" i="31"/>
  <c r="K761" i="31"/>
  <c r="E761" i="31"/>
  <c r="K760" i="31"/>
  <c r="E760" i="31"/>
  <c r="K759" i="31"/>
  <c r="E759" i="31"/>
  <c r="K758" i="31"/>
  <c r="E758" i="31"/>
  <c r="K757" i="31"/>
  <c r="E757" i="31"/>
  <c r="K756" i="31"/>
  <c r="E756" i="31"/>
  <c r="K755" i="31"/>
  <c r="E755" i="31"/>
  <c r="K754" i="31"/>
  <c r="E754" i="31"/>
  <c r="K753" i="31"/>
  <c r="E753" i="31"/>
  <c r="K752" i="31"/>
  <c r="E752" i="31"/>
  <c r="K751" i="31"/>
  <c r="E751" i="31"/>
  <c r="K750" i="31"/>
  <c r="E750" i="31"/>
  <c r="K749" i="31"/>
  <c r="E749" i="31"/>
  <c r="K748" i="31"/>
  <c r="E748" i="31"/>
  <c r="K747" i="31"/>
  <c r="E747" i="31"/>
  <c r="K746" i="31"/>
  <c r="E746" i="31"/>
  <c r="K745" i="31"/>
  <c r="E745" i="31"/>
  <c r="K744" i="31"/>
  <c r="E744" i="31"/>
  <c r="K743" i="31"/>
  <c r="E743" i="31"/>
  <c r="K742" i="31"/>
  <c r="E742" i="31"/>
  <c r="K741" i="31"/>
  <c r="E741" i="31"/>
  <c r="K740" i="31"/>
  <c r="E740" i="31"/>
  <c r="K739" i="31"/>
  <c r="E739" i="31"/>
  <c r="K738" i="31"/>
  <c r="E738" i="31"/>
  <c r="K737" i="31"/>
  <c r="E737" i="31"/>
  <c r="K736" i="31"/>
  <c r="E736" i="31"/>
  <c r="K735" i="31"/>
  <c r="E735" i="31"/>
  <c r="K734" i="31"/>
  <c r="E734" i="31"/>
  <c r="K733" i="31"/>
  <c r="E733" i="31"/>
  <c r="K732" i="31"/>
  <c r="E732" i="31"/>
  <c r="K731" i="31"/>
  <c r="E731" i="31"/>
  <c r="K730" i="31"/>
  <c r="E730" i="31"/>
  <c r="K729" i="31"/>
  <c r="E729" i="31"/>
  <c r="K728" i="31"/>
  <c r="E728" i="31"/>
  <c r="K727" i="31"/>
  <c r="E727" i="31"/>
  <c r="K726" i="31"/>
  <c r="E726" i="31"/>
  <c r="K725" i="31"/>
  <c r="E725" i="31"/>
  <c r="K724" i="31"/>
  <c r="E724" i="31"/>
  <c r="K723" i="31"/>
  <c r="E723" i="31"/>
  <c r="K722" i="31"/>
  <c r="E722" i="31"/>
  <c r="K721" i="31"/>
  <c r="E721" i="31"/>
  <c r="K720" i="31"/>
  <c r="E720" i="31"/>
  <c r="K719" i="31"/>
  <c r="E719" i="31"/>
  <c r="K718" i="31"/>
  <c r="E718" i="31"/>
  <c r="K717" i="31"/>
  <c r="E717" i="31"/>
  <c r="K716" i="31"/>
  <c r="E716" i="31"/>
  <c r="K715" i="31"/>
  <c r="E715" i="31"/>
  <c r="K714" i="31"/>
  <c r="E714" i="31"/>
  <c r="K713" i="31"/>
  <c r="E713" i="31"/>
  <c r="K712" i="31"/>
  <c r="E712" i="31"/>
  <c r="K711" i="31"/>
  <c r="E711" i="31"/>
  <c r="K710" i="31"/>
  <c r="E710" i="31"/>
  <c r="K709" i="31"/>
  <c r="E709" i="31"/>
  <c r="K708" i="31"/>
  <c r="E708" i="31"/>
  <c r="K707" i="31"/>
  <c r="E707" i="31"/>
  <c r="K706" i="31"/>
  <c r="E706" i="31"/>
  <c r="K705" i="31"/>
  <c r="E705" i="31"/>
  <c r="K704" i="31"/>
  <c r="E704" i="31"/>
  <c r="K703" i="31"/>
  <c r="E703" i="31"/>
  <c r="K702" i="31"/>
  <c r="E702" i="31"/>
  <c r="K701" i="31"/>
  <c r="E701" i="31"/>
  <c r="K700" i="31"/>
  <c r="E700" i="31"/>
  <c r="K699" i="31"/>
  <c r="E699" i="31"/>
  <c r="K698" i="31"/>
  <c r="E698" i="31"/>
  <c r="K697" i="31"/>
  <c r="E697" i="31"/>
  <c r="K696" i="31"/>
  <c r="E696" i="31"/>
  <c r="K695" i="31"/>
  <c r="E695" i="31"/>
  <c r="K694" i="31"/>
  <c r="E694" i="31"/>
  <c r="K693" i="31"/>
  <c r="E693" i="31"/>
  <c r="K692" i="31"/>
  <c r="E692" i="31"/>
  <c r="K691" i="31"/>
  <c r="E691" i="31"/>
  <c r="K690" i="31"/>
  <c r="E690" i="31"/>
  <c r="K689" i="31"/>
  <c r="E689" i="31"/>
  <c r="K688" i="31"/>
  <c r="E688" i="31"/>
  <c r="K687" i="31"/>
  <c r="E687" i="31"/>
  <c r="K686" i="31"/>
  <c r="E686" i="31"/>
  <c r="K685" i="31"/>
  <c r="E685" i="31"/>
  <c r="K684" i="31"/>
  <c r="E684" i="31"/>
  <c r="K683" i="31"/>
  <c r="E683" i="31"/>
  <c r="K682" i="31"/>
  <c r="E682" i="31"/>
  <c r="K681" i="31"/>
  <c r="E681" i="31"/>
  <c r="K680" i="31"/>
  <c r="E680" i="31"/>
  <c r="K679" i="31"/>
  <c r="E679" i="31"/>
  <c r="K678" i="31"/>
  <c r="E678" i="31"/>
  <c r="K677" i="31"/>
  <c r="E677" i="31"/>
  <c r="K676" i="31"/>
  <c r="E676" i="31"/>
  <c r="K675" i="31"/>
  <c r="E675" i="31"/>
  <c r="K674" i="31"/>
  <c r="E674" i="31"/>
  <c r="K673" i="31"/>
  <c r="E673" i="31"/>
  <c r="K672" i="31"/>
  <c r="E672" i="31"/>
  <c r="K671" i="31"/>
  <c r="E671" i="31"/>
  <c r="K670" i="31"/>
  <c r="E670" i="31"/>
  <c r="K669" i="31"/>
  <c r="E669" i="31"/>
  <c r="K668" i="31"/>
  <c r="E668" i="31"/>
  <c r="K667" i="31"/>
  <c r="E667" i="31"/>
  <c r="K666" i="31"/>
  <c r="E666" i="31"/>
  <c r="K665" i="31"/>
  <c r="E665" i="31"/>
  <c r="K664" i="31"/>
  <c r="E664" i="31"/>
  <c r="K663" i="31"/>
  <c r="E663" i="31"/>
  <c r="K662" i="31"/>
  <c r="E662" i="31"/>
  <c r="K661" i="31"/>
  <c r="E661" i="31"/>
  <c r="K660" i="31"/>
  <c r="E660" i="31"/>
  <c r="K659" i="31"/>
  <c r="E659" i="31"/>
  <c r="K658" i="31"/>
  <c r="E658" i="31"/>
  <c r="K657" i="31"/>
  <c r="E657" i="31"/>
  <c r="K656" i="31"/>
  <c r="E656" i="31"/>
  <c r="K655" i="31"/>
  <c r="E655" i="31"/>
  <c r="K654" i="31"/>
  <c r="E654" i="31"/>
  <c r="K653" i="31"/>
  <c r="E653" i="31"/>
  <c r="K652" i="31"/>
  <c r="E652" i="31"/>
  <c r="K651" i="31"/>
  <c r="E651" i="31"/>
  <c r="K650" i="31"/>
  <c r="E650" i="31"/>
  <c r="K649" i="31"/>
  <c r="E649" i="31"/>
  <c r="K648" i="31"/>
  <c r="E648" i="31"/>
  <c r="G1145" i="31"/>
  <c r="D1069" i="31"/>
  <c r="G1144" i="31"/>
  <c r="E997"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F1079" i="31"/>
  <c r="F1073" i="31"/>
  <c r="F1074" i="31" s="1"/>
  <c r="F1077" i="31"/>
  <c r="F1076" i="31"/>
  <c r="F1075" i="31"/>
  <c r="E1079" i="31"/>
  <c r="E1073" i="31"/>
  <c r="E1074" i="31" s="1"/>
  <c r="E1077" i="31"/>
  <c r="E1076" i="31"/>
  <c r="E1075" i="31"/>
  <c r="D1079" i="31"/>
  <c r="D1073" i="31"/>
  <c r="D1074" i="31" s="1"/>
  <c r="D1077" i="31"/>
  <c r="D1076" i="31"/>
  <c r="D1075" i="31"/>
  <c r="F1067" i="31"/>
  <c r="F1061" i="31"/>
  <c r="F1062" i="31" s="1"/>
  <c r="F1065" i="31"/>
  <c r="F1064" i="31"/>
  <c r="F1063" i="31"/>
  <c r="E1067" i="31"/>
  <c r="E1061" i="31"/>
  <c r="E1062" i="31" s="1"/>
  <c r="E1065" i="31"/>
  <c r="E1064" i="31"/>
  <c r="E1063" i="31"/>
  <c r="D1067" i="31"/>
  <c r="D1061" i="31"/>
  <c r="D1062" i="31" s="1"/>
  <c r="D1065" i="31"/>
  <c r="D1064" i="31"/>
  <c r="D1063" i="31"/>
  <c r="F1055" i="31"/>
  <c r="F1049" i="31"/>
  <c r="F1050" i="31" s="1"/>
  <c r="F1053" i="31"/>
  <c r="F1052" i="31"/>
  <c r="F1051" i="31"/>
  <c r="E1055" i="31"/>
  <c r="E1049" i="31"/>
  <c r="E1050" i="31" s="1"/>
  <c r="E1053" i="31"/>
  <c r="E1052" i="31"/>
  <c r="E1051" i="31"/>
  <c r="D1055" i="31"/>
  <c r="D1049" i="31"/>
  <c r="D1050" i="31" s="1"/>
  <c r="D1053" i="31"/>
  <c r="D1052" i="31"/>
  <c r="D1051" i="31"/>
  <c r="F1043" i="31"/>
  <c r="F1037" i="31"/>
  <c r="F1038" i="31" s="1"/>
  <c r="F1041" i="31"/>
  <c r="F1040" i="31"/>
  <c r="F1039" i="31"/>
  <c r="E1043" i="31"/>
  <c r="E1037" i="31"/>
  <c r="E1038" i="31" s="1"/>
  <c r="E1041" i="31"/>
  <c r="E1040" i="31"/>
  <c r="E1039" i="31"/>
  <c r="D1043" i="31"/>
  <c r="D1037" i="31"/>
  <c r="D1038" i="31" s="1"/>
  <c r="D1041" i="31"/>
  <c r="D1040" i="31"/>
  <c r="D1039" i="31"/>
  <c r="F1031" i="31"/>
  <c r="F1025" i="31"/>
  <c r="F1026" i="31" s="1"/>
  <c r="F1029" i="31"/>
  <c r="F1028" i="31"/>
  <c r="F1027" i="31"/>
  <c r="E1031" i="31"/>
  <c r="E1025" i="31"/>
  <c r="E1026" i="31" s="1"/>
  <c r="E1029" i="31"/>
  <c r="E1028" i="31"/>
  <c r="E1027" i="31"/>
  <c r="D1031" i="31"/>
  <c r="D1025" i="31"/>
  <c r="D1026" i="31" s="1"/>
  <c r="D1029" i="31"/>
  <c r="D1028" i="31"/>
  <c r="D1027" i="31"/>
  <c r="F1019" i="31"/>
  <c r="F1013" i="31"/>
  <c r="F1014" i="31" s="1"/>
  <c r="F1017" i="31"/>
  <c r="F1016" i="31"/>
  <c r="F1015" i="31"/>
  <c r="E1019" i="31"/>
  <c r="E1013" i="31"/>
  <c r="E1014" i="31" s="1"/>
  <c r="E1017" i="31"/>
  <c r="E1016" i="31"/>
  <c r="E1015" i="31"/>
  <c r="D1019" i="31"/>
  <c r="D1013" i="31"/>
  <c r="D1014" i="31" s="1"/>
  <c r="D1017" i="31"/>
  <c r="D1016" i="31"/>
  <c r="D1015" i="31"/>
  <c r="F1007" i="31"/>
  <c r="F1001" i="31"/>
  <c r="F1002" i="31" s="1"/>
  <c r="F1005" i="31"/>
  <c r="F1004" i="31"/>
  <c r="F1003" i="31"/>
  <c r="E1007" i="31"/>
  <c r="E1001" i="31"/>
  <c r="E1002" i="31" s="1"/>
  <c r="E1005" i="31"/>
  <c r="E1004" i="31"/>
  <c r="E1003" i="31"/>
  <c r="D1007" i="31"/>
  <c r="D1001" i="31"/>
  <c r="D1002" i="31" s="1"/>
  <c r="D1005" i="31"/>
  <c r="D1004" i="31"/>
  <c r="D1003" i="31"/>
  <c r="F995" i="31"/>
  <c r="F989" i="31"/>
  <c r="F990" i="31" s="1"/>
  <c r="F993" i="31"/>
  <c r="F992" i="31"/>
  <c r="F991" i="31"/>
  <c r="E995" i="31"/>
  <c r="E989" i="31"/>
  <c r="E990" i="31" s="1"/>
  <c r="E993" i="31"/>
  <c r="E992" i="31"/>
  <c r="E991" i="31"/>
  <c r="D995" i="31"/>
  <c r="D989" i="31"/>
  <c r="D990" i="31" s="1"/>
  <c r="D993" i="31"/>
  <c r="D992" i="31"/>
  <c r="D991" i="31"/>
  <c r="F983" i="31"/>
  <c r="F977" i="31"/>
  <c r="F978" i="31" s="1"/>
  <c r="F981" i="31"/>
  <c r="F980" i="31"/>
  <c r="F979" i="31"/>
  <c r="E983" i="31"/>
  <c r="E977" i="31"/>
  <c r="E978" i="31" s="1"/>
  <c r="E981" i="31"/>
  <c r="E980" i="31"/>
  <c r="E979" i="31"/>
  <c r="D983" i="31"/>
  <c r="D977" i="31"/>
  <c r="D981" i="31"/>
  <c r="D980" i="31"/>
  <c r="D979" i="31"/>
  <c r="H38" i="21"/>
  <c r="H32" i="21"/>
  <c r="H31" i="21"/>
  <c r="H24" i="21"/>
  <c r="H23" i="21"/>
  <c r="G38" i="21"/>
  <c r="G32" i="21"/>
  <c r="G31" i="21"/>
  <c r="G24" i="21"/>
  <c r="G23" i="21"/>
  <c r="F38" i="21"/>
  <c r="F32" i="21"/>
  <c r="F31" i="21"/>
  <c r="F24" i="21"/>
  <c r="F23" i="21"/>
  <c r="W11" i="33"/>
  <c r="S11" i="33"/>
  <c r="O11" i="33"/>
  <c r="E38" i="21"/>
  <c r="E32" i="21"/>
  <c r="E31" i="21"/>
  <c r="E24" i="21"/>
  <c r="E23" i="21"/>
  <c r="D38" i="21"/>
  <c r="D32" i="21"/>
  <c r="D31" i="21"/>
  <c r="D24" i="21"/>
  <c r="D23" i="21"/>
  <c r="C38" i="21"/>
  <c r="C32" i="21"/>
  <c r="C31" i="21"/>
  <c r="C24" i="21"/>
  <c r="C23" i="21"/>
  <c r="L40" i="30"/>
  <c r="E639" i="31"/>
  <c r="E627" i="31"/>
  <c r="E615" i="31"/>
  <c r="E603" i="31"/>
  <c r="E591" i="31"/>
  <c r="E579" i="31"/>
  <c r="E567" i="31"/>
  <c r="E555" i="31"/>
  <c r="E541" i="31"/>
  <c r="E529" i="31"/>
  <c r="E517" i="31"/>
  <c r="E505" i="31"/>
  <c r="E493" i="31"/>
  <c r="E481" i="31"/>
  <c r="E469" i="31"/>
  <c r="E457" i="31"/>
  <c r="E443" i="31"/>
  <c r="E431" i="31"/>
  <c r="E419" i="31"/>
  <c r="E407" i="31"/>
  <c r="E395" i="31"/>
  <c r="E383" i="31"/>
  <c r="E371" i="31"/>
  <c r="E359" i="31"/>
  <c r="E339" i="31"/>
  <c r="E327" i="31"/>
  <c r="E313" i="31"/>
  <c r="E301" i="31"/>
  <c r="E287" i="31"/>
  <c r="E275" i="31"/>
  <c r="E254" i="31"/>
  <c r="E206" i="31"/>
  <c r="E158" i="31"/>
  <c r="G98" i="31"/>
  <c r="G74" i="31"/>
  <c r="E44" i="31"/>
  <c r="F644" i="31"/>
  <c r="F632" i="31"/>
  <c r="F620" i="31"/>
  <c r="F608" i="31"/>
  <c r="F596" i="31"/>
  <c r="F584" i="31"/>
  <c r="F572" i="31"/>
  <c r="F560" i="31"/>
  <c r="F546" i="31"/>
  <c r="F534" i="31"/>
  <c r="F522" i="31"/>
  <c r="F510" i="31"/>
  <c r="F498" i="31"/>
  <c r="F486" i="31"/>
  <c r="F474" i="31"/>
  <c r="F462" i="31"/>
  <c r="F448" i="31"/>
  <c r="F436" i="31"/>
  <c r="F424" i="31"/>
  <c r="F412" i="31"/>
  <c r="F400" i="31"/>
  <c r="F388" i="31"/>
  <c r="F376" i="31"/>
  <c r="F637" i="31"/>
  <c r="F625" i="31"/>
  <c r="F613" i="31"/>
  <c r="F601" i="31"/>
  <c r="F589" i="31"/>
  <c r="F577" i="31"/>
  <c r="F565" i="31"/>
  <c r="F553" i="31"/>
  <c r="F539" i="31"/>
  <c r="F527" i="31"/>
  <c r="F515" i="31"/>
  <c r="F503" i="31"/>
  <c r="F491" i="31"/>
  <c r="F479" i="31"/>
  <c r="F467" i="31"/>
  <c r="F455" i="31"/>
  <c r="F441" i="31"/>
  <c r="F429" i="31"/>
  <c r="F417" i="31"/>
  <c r="F405" i="31"/>
  <c r="F393" i="31"/>
  <c r="F381" i="31"/>
  <c r="F369" i="31"/>
  <c r="F357" i="31"/>
  <c r="F337" i="31"/>
  <c r="F325" i="31"/>
  <c r="F311" i="31"/>
  <c r="F299" i="31"/>
  <c r="F285" i="31"/>
  <c r="F273" i="31"/>
  <c r="F252" i="31"/>
  <c r="F204" i="31"/>
  <c r="F156" i="31"/>
  <c r="E637" i="31"/>
  <c r="E625" i="31"/>
  <c r="E613" i="31"/>
  <c r="E601" i="31"/>
  <c r="E589" i="31"/>
  <c r="E577" i="31"/>
  <c r="E565" i="31"/>
  <c r="E553" i="31"/>
  <c r="E539" i="31"/>
  <c r="E527" i="31"/>
  <c r="E515" i="31"/>
  <c r="E503" i="31"/>
  <c r="E491" i="31"/>
  <c r="E479" i="31"/>
  <c r="E467" i="31"/>
  <c r="E455" i="31"/>
  <c r="E441" i="31"/>
  <c r="E429" i="31"/>
  <c r="E417" i="31"/>
  <c r="E405" i="31"/>
  <c r="E393" i="31"/>
  <c r="E381" i="31"/>
  <c r="E369" i="31"/>
  <c r="E357" i="31"/>
  <c r="E337" i="31"/>
  <c r="E325" i="31"/>
  <c r="F635" i="31"/>
  <c r="F623" i="31"/>
  <c r="F611" i="31"/>
  <c r="F599" i="31"/>
  <c r="F587" i="31"/>
  <c r="F575" i="31"/>
  <c r="F563" i="31"/>
  <c r="F551" i="31"/>
  <c r="F537" i="31"/>
  <c r="F525" i="31"/>
  <c r="F513" i="31"/>
  <c r="F501" i="31"/>
  <c r="F489" i="31"/>
  <c r="F477" i="31"/>
  <c r="F465" i="31"/>
  <c r="F453" i="31"/>
  <c r="F439" i="31"/>
  <c r="F427" i="31"/>
  <c r="F415" i="31"/>
  <c r="F403" i="31"/>
  <c r="F391" i="31"/>
  <c r="F379" i="31"/>
  <c r="F367" i="31"/>
  <c r="F355" i="31"/>
  <c r="F335" i="31"/>
  <c r="F323" i="31"/>
  <c r="F309" i="31"/>
  <c r="F297" i="31"/>
  <c r="F283" i="31"/>
  <c r="F271" i="31"/>
  <c r="F241" i="31"/>
  <c r="F193" i="31"/>
  <c r="F47" i="31"/>
  <c r="F634" i="31"/>
  <c r="F622" i="31"/>
  <c r="F610" i="31"/>
  <c r="F598" i="31"/>
  <c r="F586" i="31"/>
  <c r="F574" i="31"/>
  <c r="F562" i="31"/>
  <c r="F550" i="31"/>
  <c r="F536" i="31"/>
  <c r="F524" i="31"/>
  <c r="F512" i="31"/>
  <c r="F500" i="31"/>
  <c r="F488" i="31"/>
  <c r="F476" i="31"/>
  <c r="F464" i="31"/>
  <c r="F452" i="31"/>
  <c r="F438" i="31"/>
  <c r="F426" i="31"/>
  <c r="F414" i="31"/>
  <c r="F402" i="31"/>
  <c r="F390" i="31"/>
  <c r="F378" i="31"/>
  <c r="F366" i="31"/>
  <c r="F354" i="31"/>
  <c r="F334" i="31"/>
  <c r="F322" i="31"/>
  <c r="F308" i="31"/>
  <c r="F296" i="31"/>
  <c r="F282" i="31"/>
  <c r="F270" i="31"/>
  <c r="F240" i="31"/>
  <c r="F192" i="31"/>
  <c r="F59" i="31"/>
  <c r="E644" i="31"/>
  <c r="E620" i="31"/>
  <c r="E596" i="31"/>
  <c r="E572" i="31"/>
  <c r="E546" i="31"/>
  <c r="E522" i="31"/>
  <c r="E498" i="31"/>
  <c r="E474" i="31"/>
  <c r="E448" i="31"/>
  <c r="E424" i="31"/>
  <c r="E400" i="31"/>
  <c r="E376" i="31"/>
  <c r="E354" i="31"/>
  <c r="E326" i="31"/>
  <c r="E305" i="31"/>
  <c r="E285" i="31"/>
  <c r="E267" i="31"/>
  <c r="E204" i="31"/>
  <c r="G104" i="31"/>
  <c r="G65" i="31"/>
  <c r="F43" i="31"/>
  <c r="E156" i="31"/>
  <c r="F475" i="31"/>
  <c r="E286" i="31"/>
  <c r="F630" i="31"/>
  <c r="F606" i="31"/>
  <c r="F582" i="31"/>
  <c r="F558" i="31"/>
  <c r="F532" i="31"/>
  <c r="F508" i="31"/>
  <c r="F484" i="31"/>
  <c r="F460" i="31"/>
  <c r="F434" i="31"/>
  <c r="F410" i="31"/>
  <c r="F386" i="31"/>
  <c r="E364" i="31"/>
  <c r="E335" i="31"/>
  <c r="F313" i="31"/>
  <c r="F295" i="31"/>
  <c r="F275" i="31"/>
  <c r="F230" i="31"/>
  <c r="F158" i="31"/>
  <c r="F63" i="31"/>
  <c r="E43" i="31"/>
  <c r="E282" i="31"/>
  <c r="E42" i="31"/>
  <c r="F336" i="31"/>
  <c r="E630" i="31"/>
  <c r="E606" i="31"/>
  <c r="E582" i="31"/>
  <c r="E558" i="31"/>
  <c r="E532" i="31"/>
  <c r="E508" i="31"/>
  <c r="E484" i="31"/>
  <c r="E460" i="31"/>
  <c r="E434" i="31"/>
  <c r="E410" i="31"/>
  <c r="E386" i="31"/>
  <c r="F362" i="31"/>
  <c r="E334" i="31"/>
  <c r="F312" i="31"/>
  <c r="F294" i="31"/>
  <c r="F274" i="31"/>
  <c r="F229" i="31"/>
  <c r="F157" i="31"/>
  <c r="E63" i="31"/>
  <c r="F332" i="31"/>
  <c r="E273" i="31"/>
  <c r="E59" i="31"/>
  <c r="F449" i="31"/>
  <c r="E169" i="31"/>
  <c r="E629" i="31"/>
  <c r="E605" i="31"/>
  <c r="E581" i="31"/>
  <c r="E557" i="31"/>
  <c r="E531" i="31"/>
  <c r="E507" i="31"/>
  <c r="E483" i="31"/>
  <c r="E459" i="31"/>
  <c r="E433" i="31"/>
  <c r="E409" i="31"/>
  <c r="E385" i="31"/>
  <c r="E362" i="31"/>
  <c r="F333" i="31"/>
  <c r="E312" i="31"/>
  <c r="E294" i="31"/>
  <c r="E274" i="31"/>
  <c r="E229" i="31"/>
  <c r="E157" i="31"/>
  <c r="G81" i="31"/>
  <c r="E192" i="31"/>
  <c r="F499" i="31"/>
  <c r="E241" i="31"/>
  <c r="E640" i="31"/>
  <c r="E616" i="31"/>
  <c r="E592" i="31"/>
  <c r="E568" i="31"/>
  <c r="E542" i="31"/>
  <c r="E518" i="31"/>
  <c r="E494" i="31"/>
  <c r="E470" i="31"/>
  <c r="E444" i="31"/>
  <c r="E420" i="31"/>
  <c r="E396" i="31"/>
  <c r="E322" i="31"/>
  <c r="E293" i="31"/>
  <c r="G80" i="31"/>
  <c r="F437" i="31"/>
  <c r="F627" i="31"/>
  <c r="F603" i="31"/>
  <c r="F579" i="31"/>
  <c r="F555" i="31"/>
  <c r="F529" i="31"/>
  <c r="F505" i="31"/>
  <c r="F481" i="31"/>
  <c r="F457" i="31"/>
  <c r="F431" i="31"/>
  <c r="F407" i="31"/>
  <c r="F383" i="31"/>
  <c r="E360" i="31"/>
  <c r="E332" i="31"/>
  <c r="F310" i="31"/>
  <c r="F290" i="31"/>
  <c r="F272" i="31"/>
  <c r="F218" i="31"/>
  <c r="H98" i="31"/>
  <c r="E316" i="31"/>
  <c r="F547" i="31"/>
  <c r="E626" i="31"/>
  <c r="E602" i="31"/>
  <c r="E578" i="31"/>
  <c r="E554" i="31"/>
  <c r="E528" i="31"/>
  <c r="E504" i="31"/>
  <c r="E480" i="31"/>
  <c r="E456" i="31"/>
  <c r="E430" i="31"/>
  <c r="E406" i="31"/>
  <c r="E382" i="31"/>
  <c r="F359" i="31"/>
  <c r="F330" i="31"/>
  <c r="E310" i="31"/>
  <c r="E290" i="31"/>
  <c r="E272" i="31"/>
  <c r="E218" i="31"/>
  <c r="G111" i="31"/>
  <c r="F55" i="31"/>
  <c r="G54" i="31"/>
  <c r="H74" i="31"/>
  <c r="E170" i="31"/>
  <c r="F487" i="31"/>
  <c r="E315" i="31"/>
  <c r="F624" i="31"/>
  <c r="F600" i="31"/>
  <c r="F576" i="31"/>
  <c r="F552" i="31"/>
  <c r="F526" i="31"/>
  <c r="F502" i="31"/>
  <c r="F478" i="31"/>
  <c r="F454" i="31"/>
  <c r="F428" i="31"/>
  <c r="F404" i="31"/>
  <c r="F380" i="31"/>
  <c r="F358" i="31"/>
  <c r="E330" i="31"/>
  <c r="E309" i="31"/>
  <c r="E289" i="31"/>
  <c r="E271" i="31"/>
  <c r="E217" i="31"/>
  <c r="G110" i="31"/>
  <c r="G77" i="31"/>
  <c r="E48" i="31"/>
  <c r="E355" i="31"/>
  <c r="E624" i="31"/>
  <c r="E600" i="31"/>
  <c r="E576" i="31"/>
  <c r="E552" i="31"/>
  <c r="E526" i="31"/>
  <c r="E502" i="31"/>
  <c r="E478" i="31"/>
  <c r="E454" i="31"/>
  <c r="E428" i="31"/>
  <c r="E404" i="31"/>
  <c r="E380" i="31"/>
  <c r="E358" i="31"/>
  <c r="E329" i="31"/>
  <c r="E308" i="31"/>
  <c r="E288" i="31"/>
  <c r="E270" i="31"/>
  <c r="E216" i="31"/>
  <c r="G108" i="31"/>
  <c r="G75" i="31"/>
  <c r="F463" i="31"/>
  <c r="E205" i="31"/>
  <c r="E623" i="31"/>
  <c r="E599" i="31"/>
  <c r="E575" i="31"/>
  <c r="E551" i="31"/>
  <c r="E525" i="31"/>
  <c r="E501" i="31"/>
  <c r="E477" i="31"/>
  <c r="E453" i="31"/>
  <c r="E427" i="31"/>
  <c r="E403" i="31"/>
  <c r="E379" i="31"/>
  <c r="F356" i="31"/>
  <c r="E328" i="31"/>
  <c r="F307" i="31"/>
  <c r="F287" i="31"/>
  <c r="F269" i="31"/>
  <c r="F268" i="31"/>
  <c r="F645" i="31"/>
  <c r="F401" i="31"/>
  <c r="E622" i="31"/>
  <c r="E598" i="31"/>
  <c r="E574" i="31"/>
  <c r="E550" i="31"/>
  <c r="E524" i="31"/>
  <c r="E500" i="31"/>
  <c r="E476" i="31"/>
  <c r="E452" i="31"/>
  <c r="E426" i="31"/>
  <c r="E402" i="31"/>
  <c r="E378" i="31"/>
  <c r="E356" i="31"/>
  <c r="F327" i="31"/>
  <c r="E242" i="31"/>
  <c r="F561" i="31"/>
  <c r="E645" i="31"/>
  <c r="E633" i="31"/>
  <c r="E621" i="31"/>
  <c r="E609" i="31"/>
  <c r="E597" i="31"/>
  <c r="E585" i="31"/>
  <c r="E573" i="31"/>
  <c r="E561" i="31"/>
  <c r="E547" i="31"/>
  <c r="E535" i="31"/>
  <c r="E523" i="31"/>
  <c r="E511" i="31"/>
  <c r="E499" i="31"/>
  <c r="E487" i="31"/>
  <c r="E475" i="31"/>
  <c r="E463" i="31"/>
  <c r="E449" i="31"/>
  <c r="E437" i="31"/>
  <c r="E425" i="31"/>
  <c r="E413" i="31"/>
  <c r="E401" i="31"/>
  <c r="E389" i="31"/>
  <c r="E377" i="31"/>
  <c r="E365" i="31"/>
  <c r="E345" i="31"/>
  <c r="E333" i="31"/>
  <c r="E319" i="31"/>
  <c r="E307" i="31"/>
  <c r="E295" i="31"/>
  <c r="E281" i="31"/>
  <c r="E269" i="31"/>
  <c r="E230" i="31"/>
  <c r="E182" i="31"/>
  <c r="G107" i="31"/>
  <c r="H107" i="31" s="1"/>
  <c r="G83" i="31"/>
  <c r="G58" i="31"/>
  <c r="F638" i="31"/>
  <c r="F626" i="31"/>
  <c r="F614" i="31"/>
  <c r="F602" i="31"/>
  <c r="F590" i="31"/>
  <c r="F578" i="31"/>
  <c r="F566" i="31"/>
  <c r="F554" i="31"/>
  <c r="F540" i="31"/>
  <c r="F528" i="31"/>
  <c r="F516" i="31"/>
  <c r="F504" i="31"/>
  <c r="F492" i="31"/>
  <c r="F480" i="31"/>
  <c r="F468" i="31"/>
  <c r="F456" i="31"/>
  <c r="F442" i="31"/>
  <c r="F430" i="31"/>
  <c r="F418" i="31"/>
  <c r="F406" i="31"/>
  <c r="F394" i="31"/>
  <c r="F382" i="31"/>
  <c r="F370" i="31"/>
  <c r="F643" i="31"/>
  <c r="F631" i="31"/>
  <c r="F619" i="31"/>
  <c r="F607" i="31"/>
  <c r="F595" i="31"/>
  <c r="F583" i="31"/>
  <c r="F571" i="31"/>
  <c r="F559" i="31"/>
  <c r="F545" i="31"/>
  <c r="F533" i="31"/>
  <c r="F521" i="31"/>
  <c r="F509" i="31"/>
  <c r="F497" i="31"/>
  <c r="F485" i="31"/>
  <c r="F473" i="31"/>
  <c r="F461" i="31"/>
  <c r="F447" i="31"/>
  <c r="F435" i="31"/>
  <c r="F423" i="31"/>
  <c r="F411" i="31"/>
  <c r="F399" i="31"/>
  <c r="F387" i="31"/>
  <c r="F375" i="31"/>
  <c r="F363" i="31"/>
  <c r="F343" i="31"/>
  <c r="F331" i="31"/>
  <c r="F317" i="31"/>
  <c r="F305" i="31"/>
  <c r="F293" i="31"/>
  <c r="F279" i="31"/>
  <c r="F267" i="31"/>
  <c r="F228" i="31"/>
  <c r="F180" i="31"/>
  <c r="F42" i="31"/>
  <c r="E643" i="31"/>
  <c r="E631" i="31"/>
  <c r="E619" i="31"/>
  <c r="E607" i="31"/>
  <c r="E595" i="31"/>
  <c r="E583" i="31"/>
  <c r="E571" i="31"/>
  <c r="E559" i="31"/>
  <c r="E545" i="31"/>
  <c r="E533" i="31"/>
  <c r="E521" i="31"/>
  <c r="E509" i="31"/>
  <c r="E497" i="31"/>
  <c r="E485" i="31"/>
  <c r="E473" i="31"/>
  <c r="E461" i="31"/>
  <c r="E447" i="31"/>
  <c r="E435" i="31"/>
  <c r="E423" i="31"/>
  <c r="E411" i="31"/>
  <c r="E399" i="31"/>
  <c r="E387" i="31"/>
  <c r="E375" i="31"/>
  <c r="E363" i="31"/>
  <c r="E343" i="31"/>
  <c r="E331" i="31"/>
  <c r="F641" i="31"/>
  <c r="F629" i="31"/>
  <c r="F617" i="31"/>
  <c r="F605" i="31"/>
  <c r="F593" i="31"/>
  <c r="F581" i="31"/>
  <c r="F569" i="31"/>
  <c r="F557" i="31"/>
  <c r="F543" i="31"/>
  <c r="F531" i="31"/>
  <c r="F519" i="31"/>
  <c r="F507" i="31"/>
  <c r="F495" i="31"/>
  <c r="F483" i="31"/>
  <c r="F471" i="31"/>
  <c r="F459" i="31"/>
  <c r="F445" i="31"/>
  <c r="F433" i="31"/>
  <c r="F421" i="31"/>
  <c r="F409" i="31"/>
  <c r="F397" i="31"/>
  <c r="F385" i="31"/>
  <c r="F373" i="31"/>
  <c r="F361" i="31"/>
  <c r="F341" i="31"/>
  <c r="F329" i="31"/>
  <c r="F315" i="31"/>
  <c r="F303" i="31"/>
  <c r="F289" i="31"/>
  <c r="F277" i="31"/>
  <c r="F265" i="31"/>
  <c r="F217" i="31"/>
  <c r="F169" i="31"/>
  <c r="F640" i="31"/>
  <c r="F628" i="31"/>
  <c r="F616" i="31"/>
  <c r="F604" i="31"/>
  <c r="F592" i="31"/>
  <c r="F580" i="31"/>
  <c r="F568" i="31"/>
  <c r="F556" i="31"/>
  <c r="F542" i="31"/>
  <c r="F530" i="31"/>
  <c r="F518" i="31"/>
  <c r="F506" i="31"/>
  <c r="F494" i="31"/>
  <c r="F482" i="31"/>
  <c r="F470" i="31"/>
  <c r="F458" i="31"/>
  <c r="F444" i="31"/>
  <c r="F432" i="31"/>
  <c r="F420" i="31"/>
  <c r="F408" i="31"/>
  <c r="F396" i="31"/>
  <c r="F384" i="31"/>
  <c r="F372" i="31"/>
  <c r="F360" i="31"/>
  <c r="F340" i="31"/>
  <c r="F328" i="31"/>
  <c r="F314" i="31"/>
  <c r="F302" i="31"/>
  <c r="F288" i="31"/>
  <c r="F276" i="31"/>
  <c r="F264" i="31"/>
  <c r="F216" i="31"/>
  <c r="F168" i="31"/>
  <c r="F46" i="31"/>
  <c r="E632" i="31"/>
  <c r="E608" i="31"/>
  <c r="E584" i="31"/>
  <c r="E560" i="31"/>
  <c r="E534" i="31"/>
  <c r="E510" i="31"/>
  <c r="E486" i="31"/>
  <c r="E462" i="31"/>
  <c r="E436" i="31"/>
  <c r="E412" i="31"/>
  <c r="E388" i="31"/>
  <c r="F364" i="31"/>
  <c r="E336" i="31"/>
  <c r="E314" i="31"/>
  <c r="E296" i="31"/>
  <c r="E276" i="31"/>
  <c r="E240" i="31"/>
  <c r="E168" i="31"/>
  <c r="G84" i="31"/>
  <c r="E46" i="31"/>
  <c r="E384" i="31"/>
  <c r="F585" i="31"/>
  <c r="F377" i="31"/>
  <c r="E47" i="31"/>
  <c r="F642" i="31"/>
  <c r="F618" i="31"/>
  <c r="F594" i="31"/>
  <c r="F570" i="31"/>
  <c r="F544" i="31"/>
  <c r="F520" i="31"/>
  <c r="F496" i="31"/>
  <c r="F472" i="31"/>
  <c r="F446" i="31"/>
  <c r="F422" i="31"/>
  <c r="F398" i="31"/>
  <c r="F374" i="31"/>
  <c r="F345" i="31"/>
  <c r="F324" i="31"/>
  <c r="F304" i="31"/>
  <c r="F284" i="31"/>
  <c r="F266" i="31"/>
  <c r="F194" i="31"/>
  <c r="H83" i="31"/>
  <c r="F44" i="31"/>
  <c r="F342" i="31"/>
  <c r="G99" i="31"/>
  <c r="F535" i="31"/>
  <c r="E66" i="31"/>
  <c r="E642" i="31"/>
  <c r="E618" i="31"/>
  <c r="E594" i="31"/>
  <c r="E570" i="31"/>
  <c r="E544" i="31"/>
  <c r="E520" i="31"/>
  <c r="E496" i="31"/>
  <c r="E472" i="31"/>
  <c r="E446" i="31"/>
  <c r="E422" i="31"/>
  <c r="E398" i="31"/>
  <c r="E374" i="31"/>
  <c r="F344" i="31"/>
  <c r="E324" i="31"/>
  <c r="E304" i="31"/>
  <c r="E284" i="31"/>
  <c r="E266" i="31"/>
  <c r="E194" i="31"/>
  <c r="G102" i="31"/>
  <c r="G62" i="31"/>
  <c r="E302" i="31"/>
  <c r="E228" i="31"/>
  <c r="F573" i="31"/>
  <c r="F326" i="31"/>
  <c r="E641" i="31"/>
  <c r="E617" i="31"/>
  <c r="E593" i="31"/>
  <c r="E569" i="31"/>
  <c r="E543" i="31"/>
  <c r="E519" i="31"/>
  <c r="E495" i="31"/>
  <c r="E471" i="31"/>
  <c r="E445" i="31"/>
  <c r="E421" i="31"/>
  <c r="E397" i="31"/>
  <c r="E373" i="31"/>
  <c r="E344" i="31"/>
  <c r="E323" i="31"/>
  <c r="E303" i="31"/>
  <c r="E283" i="31"/>
  <c r="E265" i="31"/>
  <c r="E193" i="31"/>
  <c r="G101" i="31"/>
  <c r="E372" i="31"/>
  <c r="F633" i="31"/>
  <c r="F413" i="31"/>
  <c r="E628" i="31"/>
  <c r="E604" i="31"/>
  <c r="E580" i="31"/>
  <c r="E556" i="31"/>
  <c r="E530" i="31"/>
  <c r="E506" i="31"/>
  <c r="E482" i="31"/>
  <c r="E458" i="31"/>
  <c r="E432" i="31"/>
  <c r="E408" i="31"/>
  <c r="E361" i="31"/>
  <c r="E311" i="31"/>
  <c r="E264" i="31"/>
  <c r="F609" i="31"/>
  <c r="E306" i="31"/>
  <c r="F639" i="31"/>
  <c r="F615" i="31"/>
  <c r="F591" i="31"/>
  <c r="F567" i="31"/>
  <c r="F541" i="31"/>
  <c r="F517" i="31"/>
  <c r="F493" i="31"/>
  <c r="F469" i="31"/>
  <c r="F443" i="31"/>
  <c r="F419" i="31"/>
  <c r="F395" i="31"/>
  <c r="F371" i="31"/>
  <c r="E342" i="31"/>
  <c r="F319" i="31"/>
  <c r="F301" i="31"/>
  <c r="F281" i="31"/>
  <c r="F254" i="31"/>
  <c r="F182" i="31"/>
  <c r="H58" i="31"/>
  <c r="G87" i="31"/>
  <c r="H87" i="31" s="1"/>
  <c r="E297" i="31"/>
  <c r="E638" i="31"/>
  <c r="E614" i="31"/>
  <c r="E590" i="31"/>
  <c r="E566" i="31"/>
  <c r="E540" i="31"/>
  <c r="E516" i="31"/>
  <c r="E492" i="31"/>
  <c r="E468" i="31"/>
  <c r="E442" i="31"/>
  <c r="E418" i="31"/>
  <c r="E394" i="31"/>
  <c r="E370" i="31"/>
  <c r="E341" i="31"/>
  <c r="F318" i="31"/>
  <c r="F300" i="31"/>
  <c r="F280" i="31"/>
  <c r="F253" i="31"/>
  <c r="F181" i="31"/>
  <c r="G78" i="31"/>
  <c r="E55" i="31"/>
  <c r="F170" i="31"/>
  <c r="E298" i="31"/>
  <c r="F621" i="31"/>
  <c r="F389" i="31"/>
  <c r="G105" i="31"/>
  <c r="H105" i="31" s="1"/>
  <c r="F636" i="31"/>
  <c r="F612" i="31"/>
  <c r="F588" i="31"/>
  <c r="F564" i="31"/>
  <c r="F538" i="31"/>
  <c r="F514" i="31"/>
  <c r="F490" i="31"/>
  <c r="F466" i="31"/>
  <c r="F440" i="31"/>
  <c r="F416" i="31"/>
  <c r="F392" i="31"/>
  <c r="F368" i="31"/>
  <c r="E340" i="31"/>
  <c r="E318" i="31"/>
  <c r="E300" i="31"/>
  <c r="E280" i="31"/>
  <c r="E253" i="31"/>
  <c r="E181" i="31"/>
  <c r="G96" i="31"/>
  <c r="E278" i="31"/>
  <c r="F523" i="31"/>
  <c r="G86" i="31"/>
  <c r="E636" i="31"/>
  <c r="E612" i="31"/>
  <c r="E588" i="31"/>
  <c r="E564" i="31"/>
  <c r="E538" i="31"/>
  <c r="E514" i="31"/>
  <c r="E490" i="31"/>
  <c r="E466" i="31"/>
  <c r="E440" i="31"/>
  <c r="E416" i="31"/>
  <c r="E392" i="31"/>
  <c r="E368" i="31"/>
  <c r="F339" i="31"/>
  <c r="E317" i="31"/>
  <c r="E299" i="31"/>
  <c r="E279" i="31"/>
  <c r="E252" i="31"/>
  <c r="E180" i="31"/>
  <c r="G95" i="31"/>
  <c r="F242" i="31"/>
  <c r="F306" i="31"/>
  <c r="F597" i="31"/>
  <c r="F365" i="31"/>
  <c r="E635" i="31"/>
  <c r="E611" i="31"/>
  <c r="E587" i="31"/>
  <c r="E563" i="31"/>
  <c r="E537" i="31"/>
  <c r="E513" i="31"/>
  <c r="E489" i="31"/>
  <c r="E465" i="31"/>
  <c r="E439" i="31"/>
  <c r="E415" i="31"/>
  <c r="E391" i="31"/>
  <c r="E367" i="31"/>
  <c r="F338" i="31"/>
  <c r="F316" i="31"/>
  <c r="F298" i="31"/>
  <c r="F278" i="31"/>
  <c r="F206" i="31"/>
  <c r="F48" i="31"/>
  <c r="F205" i="31"/>
  <c r="F511" i="31"/>
  <c r="E277" i="31"/>
  <c r="E634" i="31"/>
  <c r="E610" i="31"/>
  <c r="E586" i="31"/>
  <c r="E562" i="31"/>
  <c r="E536" i="31"/>
  <c r="E512" i="31"/>
  <c r="E488" i="31"/>
  <c r="E464" i="31"/>
  <c r="E438" i="31"/>
  <c r="E414" i="31"/>
  <c r="E390" i="31"/>
  <c r="E366" i="31"/>
  <c r="E338" i="31"/>
  <c r="F286" i="31"/>
  <c r="F66" i="31"/>
  <c r="F425" i="31"/>
  <c r="E268" i="31"/>
  <c r="H35" i="21"/>
  <c r="C34" i="21"/>
  <c r="C39" i="21"/>
  <c r="E34" i="21"/>
  <c r="G34" i="21"/>
  <c r="F35" i="21"/>
  <c r="E35" i="21"/>
  <c r="D34" i="21"/>
  <c r="D39" i="21" s="1"/>
  <c r="C35" i="21"/>
  <c r="G35" i="21"/>
  <c r="D35" i="21"/>
  <c r="H34" i="21"/>
  <c r="H39" i="21"/>
  <c r="F34" i="21"/>
  <c r="F39" i="21"/>
  <c r="H37" i="21" l="1"/>
  <c r="F37" i="21"/>
  <c r="G45" i="21"/>
  <c r="G44" i="21"/>
  <c r="G37" i="21"/>
  <c r="E37" i="21"/>
  <c r="D1033" i="31"/>
  <c r="F1021" i="31"/>
  <c r="F1057" i="31"/>
  <c r="E1044" i="31"/>
  <c r="F996" i="31"/>
  <c r="F1081" i="31"/>
  <c r="E984" i="31"/>
  <c r="E1068" i="31"/>
  <c r="E1021" i="31"/>
  <c r="F1069" i="31"/>
  <c r="E1056" i="31"/>
  <c r="F1032" i="31"/>
  <c r="D1044" i="31"/>
  <c r="D1032" i="31"/>
  <c r="F1056" i="31"/>
  <c r="E1009" i="31"/>
  <c r="D1021" i="31"/>
  <c r="D1056" i="31"/>
  <c r="D996" i="31"/>
  <c r="D1045" i="31"/>
  <c r="E985" i="31"/>
  <c r="D985" i="31"/>
  <c r="E1081" i="31"/>
  <c r="E1080" i="31"/>
  <c r="D1080" i="31"/>
  <c r="D1081" i="31"/>
  <c r="F1068" i="31"/>
  <c r="D984" i="31"/>
  <c r="D1068" i="31"/>
  <c r="D1070" i="31" s="1"/>
  <c r="F1030" i="31"/>
  <c r="F1035" i="31" s="1"/>
  <c r="E1057" i="31"/>
  <c r="F1045" i="31"/>
  <c r="D1020" i="31"/>
  <c r="E1008" i="31"/>
  <c r="D997" i="31"/>
  <c r="F985" i="31"/>
  <c r="E982" i="31"/>
  <c r="E987" i="31" s="1"/>
  <c r="E1033" i="31"/>
  <c r="F1020" i="31"/>
  <c r="E996" i="31"/>
  <c r="E998" i="31" s="1"/>
  <c r="F1080" i="31"/>
  <c r="E1032" i="31"/>
  <c r="F1078" i="31"/>
  <c r="F1083" i="31" s="1"/>
  <c r="E1066" i="31"/>
  <c r="E1071" i="31" s="1"/>
  <c r="F997" i="31"/>
  <c r="E1042" i="31"/>
  <c r="E1047" i="31" s="1"/>
  <c r="E1069" i="31"/>
  <c r="D1057" i="31"/>
  <c r="F1044" i="31"/>
  <c r="E1045" i="31"/>
  <c r="F1033" i="31"/>
  <c r="E1020" i="31"/>
  <c r="F1008" i="31"/>
  <c r="F1009" i="31"/>
  <c r="D1008" i="31"/>
  <c r="D1009" i="31"/>
  <c r="F984" i="31"/>
  <c r="F1054" i="31"/>
  <c r="F1059" i="31" s="1"/>
  <c r="F1006" i="31"/>
  <c r="F1011" i="31" s="1"/>
  <c r="E1018" i="31"/>
  <c r="E1023" i="31" s="1"/>
  <c r="E994" i="31"/>
  <c r="E999" i="31" s="1"/>
  <c r="F1066" i="31"/>
  <c r="F1071" i="31" s="1"/>
  <c r="F1042" i="31"/>
  <c r="F1047" i="31" s="1"/>
  <c r="F1018" i="31"/>
  <c r="F1023" i="31" s="1"/>
  <c r="F994" i="31"/>
  <c r="F999" i="31" s="1"/>
  <c r="F982" i="31"/>
  <c r="F987" i="31" s="1"/>
  <c r="E1078" i="31"/>
  <c r="E1083" i="31" s="1"/>
  <c r="E1054" i="31"/>
  <c r="E1059" i="31" s="1"/>
  <c r="E1030" i="31"/>
  <c r="E1035" i="31" s="1"/>
  <c r="E1006" i="31"/>
  <c r="E1011" i="31" s="1"/>
  <c r="D1078" i="31"/>
  <c r="D1083" i="31" s="1"/>
  <c r="D1066" i="31"/>
  <c r="D1071" i="31" s="1"/>
  <c r="D1054" i="31"/>
  <c r="D1059" i="31" s="1"/>
  <c r="D1042" i="31"/>
  <c r="D1047" i="31" s="1"/>
  <c r="D1030" i="31"/>
  <c r="D1035" i="31" s="1"/>
  <c r="D1018" i="31"/>
  <c r="D1023" i="31" s="1"/>
  <c r="D1006" i="31"/>
  <c r="D1011" i="31" s="1"/>
  <c r="D994" i="31"/>
  <c r="D999" i="31" s="1"/>
  <c r="D978" i="31"/>
  <c r="D982" i="31"/>
  <c r="D987" i="31" s="1"/>
  <c r="D37" i="21"/>
  <c r="C37" i="21"/>
  <c r="K40" i="30"/>
  <c r="K39" i="30"/>
  <c r="L39" i="30"/>
  <c r="H95" i="31"/>
  <c r="H96" i="31"/>
  <c r="H101" i="31"/>
  <c r="H102" i="31"/>
  <c r="H84" i="31"/>
  <c r="H108" i="31"/>
  <c r="H110" i="31"/>
  <c r="H111" i="31"/>
  <c r="H81" i="31"/>
  <c r="H104" i="31"/>
  <c r="H86" i="31"/>
  <c r="H78" i="31"/>
  <c r="H62" i="31"/>
  <c r="H99" i="31"/>
  <c r="H75" i="31"/>
  <c r="H77" i="31"/>
  <c r="H54" i="31"/>
  <c r="H80" i="31"/>
  <c r="H65" i="31"/>
  <c r="G39" i="21"/>
  <c r="E39" i="21"/>
  <c r="D1034" i="31" l="1"/>
  <c r="F1022" i="31"/>
  <c r="F1058" i="31"/>
  <c r="E1046" i="31"/>
  <c r="E1048" i="31" s="1"/>
  <c r="F998" i="31"/>
  <c r="F1000" i="31" s="1"/>
  <c r="F1082" i="31"/>
  <c r="F1084" i="31" s="1"/>
  <c r="E986" i="31"/>
  <c r="E988" i="31" s="1"/>
  <c r="E1070" i="31"/>
  <c r="E1072" i="31" s="1"/>
  <c r="E1022" i="31"/>
  <c r="E1024" i="31" s="1"/>
  <c r="F1070" i="31"/>
  <c r="F1072" i="31" s="1"/>
  <c r="E1058" i="31"/>
  <c r="E1060" i="31" s="1"/>
  <c r="F1034" i="31"/>
  <c r="F1036" i="31" s="1"/>
  <c r="D1046" i="31"/>
  <c r="D1048" i="31" s="1"/>
  <c r="D1058" i="31"/>
  <c r="D1060" i="31" s="1"/>
  <c r="E1010" i="31"/>
  <c r="E1012" i="31" s="1"/>
  <c r="D998" i="31"/>
  <c r="D1000" i="31" s="1"/>
  <c r="D1022" i="31"/>
  <c r="D1024" i="31" s="1"/>
  <c r="E1082" i="31"/>
  <c r="E1084" i="31" s="1"/>
  <c r="D986" i="31"/>
  <c r="D988" i="31" s="1"/>
  <c r="D1082" i="31"/>
  <c r="D1084" i="31" s="1"/>
  <c r="F1046" i="31"/>
  <c r="F1048" i="31" s="1"/>
  <c r="F986" i="31"/>
  <c r="F988" i="31" s="1"/>
  <c r="F1060" i="31"/>
  <c r="E1034" i="31"/>
  <c r="E1036" i="31" s="1"/>
  <c r="F1010" i="31"/>
  <c r="F1012" i="31" s="1"/>
  <c r="D1010" i="31"/>
  <c r="D1012" i="31" s="1"/>
  <c r="E1000" i="31"/>
  <c r="D1072" i="31"/>
  <c r="D1036" i="31"/>
  <c r="F1024" i="31"/>
  <c r="H64" i="27"/>
  <c r="I64" i="27"/>
  <c r="H67" i="27"/>
  <c r="J67" i="27"/>
  <c r="I67" i="27"/>
  <c r="J64" i="27"/>
  <c r="P229" i="25" l="1"/>
  <c r="C73" i="25" l="1"/>
  <c r="C74" i="25"/>
  <c r="G99" i="10"/>
  <c r="D58" i="18"/>
  <c r="L71" i="19"/>
  <c r="L56" i="19"/>
  <c r="J71" i="19"/>
  <c r="L66" i="19"/>
  <c r="J66" i="19"/>
  <c r="J74" i="19" s="1"/>
  <c r="H66" i="19"/>
  <c r="L51" i="19"/>
  <c r="H56" i="19"/>
  <c r="J56" i="19"/>
  <c r="J59" i="19" s="1"/>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G74" i="19"/>
  <c r="L1" i="25"/>
  <c r="H136" i="10"/>
  <c r="E136" i="10"/>
  <c r="F136" i="10"/>
  <c r="C1" i="21"/>
  <c r="I285" i="28"/>
  <c r="K1" i="28"/>
  <c r="D210" i="28"/>
  <c r="M211" i="28" s="1"/>
  <c r="D162" i="28"/>
  <c r="M163" i="28" s="1"/>
  <c r="D71" i="28"/>
  <c r="M72" i="28" s="1"/>
  <c r="J68" i="27"/>
  <c r="I68" i="27"/>
  <c r="H68" i="27"/>
  <c r="G68" i="27"/>
  <c r="L71" i="15"/>
  <c r="B2" i="31"/>
  <c r="G2" i="31"/>
  <c r="C2" i="31"/>
  <c r="D1086" i="31"/>
  <c r="F1096" i="31"/>
  <c r="E1096" i="31"/>
  <c r="D1096" i="31"/>
  <c r="F1094" i="31"/>
  <c r="D1094" i="31"/>
  <c r="E1094" i="31"/>
  <c r="F1090" i="31"/>
  <c r="F1089" i="31"/>
  <c r="F1088" i="31"/>
  <c r="F1087" i="31"/>
  <c r="F1086" i="31"/>
  <c r="E1090" i="31"/>
  <c r="E1089" i="31"/>
  <c r="E1088" i="31"/>
  <c r="E1087" i="31"/>
  <c r="E1086" i="31"/>
  <c r="D1090" i="31"/>
  <c r="D1089" i="31"/>
  <c r="D1088" i="31"/>
  <c r="D1087" i="3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M30" i="30" s="1"/>
  <c r="B30" i="30"/>
  <c r="C29" i="30"/>
  <c r="M29" i="30" s="1"/>
  <c r="B29" i="30"/>
  <c r="C28" i="30"/>
  <c r="B28" i="30"/>
  <c r="C27" i="30"/>
  <c r="I27" i="30" s="1"/>
  <c r="B27" i="30"/>
  <c r="C26" i="30"/>
  <c r="E26" i="30" s="1"/>
  <c r="B26" i="30"/>
  <c r="N24" i="30"/>
  <c r="J24" i="30"/>
  <c r="F24" i="30"/>
  <c r="L23" i="30"/>
  <c r="H23" i="30"/>
  <c r="D23" i="30"/>
  <c r="G27" i="30"/>
  <c r="O33" i="30"/>
  <c r="E27" i="30"/>
  <c r="M26" i="30"/>
  <c r="O28" i="30"/>
  <c r="O30" i="30"/>
  <c r="G30" i="30"/>
  <c r="O32" i="30"/>
  <c r="G32" i="30"/>
  <c r="I33" i="30"/>
  <c r="K27" i="30"/>
  <c r="K33" i="30"/>
  <c r="G59" i="19"/>
  <c r="H39" i="27"/>
  <c r="H55" i="27" s="1"/>
  <c r="G9" i="26"/>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M66" i="15" s="1"/>
  <c r="B66" i="15"/>
  <c r="C65" i="15"/>
  <c r="B65" i="15"/>
  <c r="C64" i="15"/>
  <c r="G64" i="15" s="1"/>
  <c r="B64" i="15"/>
  <c r="F72" i="15"/>
  <c r="F71" i="15"/>
  <c r="C63" i="15"/>
  <c r="O63" i="15" s="1"/>
  <c r="B63" i="15"/>
  <c r="E72" i="15"/>
  <c r="E71" i="15"/>
  <c r="C62" i="15"/>
  <c r="O62" i="15" s="1"/>
  <c r="B62" i="15"/>
  <c r="C61" i="15"/>
  <c r="B61" i="15"/>
  <c r="D38" i="10"/>
  <c r="A35" i="10"/>
  <c r="D104" i="10"/>
  <c r="G6" i="26"/>
  <c r="F39" i="19"/>
  <c r="E39" i="19"/>
  <c r="D39" i="19"/>
  <c r="F30" i="19"/>
  <c r="E30" i="19"/>
  <c r="D30" i="19"/>
  <c r="C60" i="15"/>
  <c r="B60" i="15"/>
  <c r="C59" i="15"/>
  <c r="G59" i="15" s="1"/>
  <c r="B59" i="15"/>
  <c r="D72" i="15"/>
  <c r="I68" i="15"/>
  <c r="K59"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C31" i="9"/>
  <c r="C26" i="9"/>
  <c r="C14" i="9"/>
  <c r="F57" i="15"/>
  <c r="J19" i="10"/>
  <c r="H235" i="10"/>
  <c r="I66" i="15"/>
  <c r="G280" i="10"/>
  <c r="F15" i="19"/>
  <c r="E229" i="25"/>
  <c r="J229" i="25"/>
  <c r="O229" i="25"/>
  <c r="K211" i="28" l="1"/>
  <c r="L211" i="28"/>
  <c r="K163" i="28"/>
  <c r="L163" i="28"/>
  <c r="K72" i="28"/>
  <c r="L72" i="28"/>
  <c r="I211" i="28"/>
  <c r="J211" i="28"/>
  <c r="I163" i="28"/>
  <c r="J163" i="28"/>
  <c r="I72" i="28"/>
  <c r="J72" i="28"/>
  <c r="G211" i="28"/>
  <c r="H211" i="28"/>
  <c r="G163" i="28"/>
  <c r="H163" i="28"/>
  <c r="G72" i="28"/>
  <c r="H72" i="28"/>
  <c r="E211" i="28"/>
  <c r="F211" i="28"/>
  <c r="E163" i="28"/>
  <c r="F163" i="28"/>
  <c r="E72" i="28"/>
  <c r="F72" i="28"/>
  <c r="K63" i="15"/>
  <c r="L74" i="19"/>
  <c r="H59" i="19"/>
  <c r="L59" i="19"/>
  <c r="L191" i="15"/>
  <c r="L146" i="15"/>
  <c r="L101" i="15"/>
  <c r="I191" i="15"/>
  <c r="I101" i="15"/>
  <c r="I146" i="15"/>
  <c r="H146" i="15"/>
  <c r="H191" i="15"/>
  <c r="H101" i="15"/>
  <c r="G146" i="15"/>
  <c r="G191" i="15"/>
  <c r="G101" i="15"/>
  <c r="F191" i="15"/>
  <c r="F146" i="15"/>
  <c r="F101" i="15"/>
  <c r="E191" i="15"/>
  <c r="E101" i="15"/>
  <c r="E146" i="15"/>
  <c r="D191" i="15"/>
  <c r="D146" i="15"/>
  <c r="D101" i="15"/>
  <c r="G33" i="30"/>
  <c r="M32" i="30"/>
  <c r="K32" i="30"/>
  <c r="E32" i="30"/>
  <c r="I31" i="30"/>
  <c r="E31" i="30"/>
  <c r="I30" i="30"/>
  <c r="E30" i="30"/>
  <c r="K30" i="30"/>
  <c r="M27" i="30"/>
  <c r="O27" i="30"/>
  <c r="F1092" i="31"/>
  <c r="F1095" i="31" s="1"/>
  <c r="E66" i="15"/>
  <c r="G63" i="15"/>
  <c r="K62" i="15"/>
  <c r="G62" i="15"/>
  <c r="K67" i="15"/>
  <c r="G67" i="15"/>
  <c r="K64" i="15"/>
  <c r="O64" i="15"/>
  <c r="F28" i="18"/>
  <c r="G28" i="30"/>
  <c r="I28" i="30"/>
  <c r="E28" i="30"/>
  <c r="I29" i="30"/>
  <c r="G29" i="30"/>
  <c r="E29" i="30"/>
  <c r="I19" i="10"/>
  <c r="H19" i="10"/>
  <c r="K19" i="10" s="1"/>
  <c r="K22" i="10" s="1"/>
  <c r="J22" i="10" s="1"/>
  <c r="P39" i="25"/>
  <c r="I62" i="27" s="1"/>
  <c r="K29" i="30"/>
  <c r="O29" i="30"/>
  <c r="H74" i="19"/>
  <c r="D73" i="28"/>
  <c r="D69" i="28" s="1"/>
  <c r="D276" i="28"/>
  <c r="D278" i="28" s="1"/>
  <c r="D271" i="28"/>
  <c r="D274" i="28" s="1"/>
  <c r="O60" i="15"/>
  <c r="G60" i="15"/>
  <c r="G61" i="15"/>
  <c r="O61" i="15"/>
  <c r="M65" i="15"/>
  <c r="E65" i="15"/>
  <c r="I65" i="15"/>
  <c r="K61" i="15"/>
  <c r="I26" i="30"/>
  <c r="K26" i="30"/>
  <c r="O26" i="30"/>
  <c r="G26" i="30"/>
  <c r="G31" i="30"/>
  <c r="M31" i="30"/>
  <c r="K31" i="30"/>
  <c r="I34" i="30"/>
  <c r="K34" i="30"/>
  <c r="G34" i="30"/>
  <c r="E34" i="30"/>
  <c r="M34" i="30"/>
  <c r="K60" i="15"/>
  <c r="D1092" i="31"/>
  <c r="E1092" i="31"/>
  <c r="D116" i="28"/>
  <c r="M117" i="28" s="1"/>
  <c r="O59" i="15"/>
  <c r="M28" i="30"/>
  <c r="K28" i="30"/>
  <c r="D118" i="28"/>
  <c r="K15" i="27"/>
  <c r="E15" i="28"/>
  <c r="E33" i="30"/>
  <c r="D252" i="28"/>
  <c r="D212" i="28"/>
  <c r="D208" i="28" s="1"/>
  <c r="F221" i="25"/>
  <c r="G182" i="27"/>
  <c r="D222" i="25"/>
  <c r="H182" i="27"/>
  <c r="D303" i="25"/>
  <c r="H280" i="10"/>
  <c r="L280" i="10"/>
  <c r="E72" i="10"/>
  <c r="D190" i="10"/>
  <c r="D235" i="10"/>
  <c r="E1095" i="31"/>
  <c r="K45" i="27"/>
  <c r="D140" i="25"/>
  <c r="O140" i="25" s="1"/>
  <c r="K302" i="25"/>
  <c r="L221" i="25"/>
  <c r="G183" i="27"/>
  <c r="D220" i="25"/>
  <c r="M221" i="25"/>
  <c r="H183" i="27"/>
  <c r="D301" i="25"/>
  <c r="O221" i="25"/>
  <c r="F183" i="27"/>
  <c r="D139" i="25"/>
  <c r="K14" i="27"/>
  <c r="K10" i="27"/>
  <c r="K9" i="27"/>
  <c r="G59" i="27"/>
  <c r="G43" i="27"/>
  <c r="L279" i="10"/>
  <c r="L294" i="10" s="1"/>
  <c r="D72" i="10"/>
  <c r="L190" i="10"/>
  <c r="F72" i="10"/>
  <c r="L267" i="10"/>
  <c r="F144" i="10"/>
  <c r="F104" i="10"/>
  <c r="E104" i="10"/>
  <c r="E280" i="10"/>
  <c r="E235" i="10"/>
  <c r="E190" i="10"/>
  <c r="G190" i="10"/>
  <c r="I280" i="10"/>
  <c r="I235" i="10"/>
  <c r="I190" i="10"/>
  <c r="L234" i="10"/>
  <c r="F190" i="10"/>
  <c r="F235" i="10"/>
  <c r="F280" i="10"/>
  <c r="D141" i="25"/>
  <c r="J141" i="25" s="1"/>
  <c r="D202" i="28"/>
  <c r="D109" i="28"/>
  <c r="D164" i="28"/>
  <c r="D160" i="28" s="1"/>
  <c r="D250" i="28"/>
  <c r="D83" i="28"/>
  <c r="M84" i="28" s="1"/>
  <c r="M229" i="25"/>
  <c r="H229" i="25"/>
  <c r="J304" i="25"/>
  <c r="K221" i="25"/>
  <c r="E221" i="25"/>
  <c r="H221" i="25"/>
  <c r="F223" i="25"/>
  <c r="H148" i="25"/>
  <c r="E28" i="18"/>
  <c r="D148" i="25"/>
  <c r="J148" i="25"/>
  <c r="J310" i="25"/>
  <c r="N229" i="25"/>
  <c r="L229" i="25"/>
  <c r="I229" i="25"/>
  <c r="P38" i="25"/>
  <c r="P40" i="25"/>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251" i="28" l="1"/>
  <c r="M251" i="28"/>
  <c r="K117" i="28"/>
  <c r="L117" i="28"/>
  <c r="K84" i="28"/>
  <c r="L84" i="28"/>
  <c r="J251" i="28"/>
  <c r="K251" i="28"/>
  <c r="I117" i="28"/>
  <c r="J117" i="28"/>
  <c r="I84" i="28"/>
  <c r="J84" i="28"/>
  <c r="H251" i="28"/>
  <c r="I251" i="28"/>
  <c r="G117" i="28"/>
  <c r="H117" i="28"/>
  <c r="G84" i="28"/>
  <c r="H84" i="28"/>
  <c r="F251" i="28"/>
  <c r="G251" i="28"/>
  <c r="E117" i="28"/>
  <c r="F117" i="28"/>
  <c r="E84" i="28"/>
  <c r="F84" i="28"/>
  <c r="E251" i="28"/>
  <c r="D1095" i="31"/>
  <c r="D1097" i="31" s="1"/>
  <c r="I13" i="27"/>
  <c r="P41" i="25"/>
  <c r="K13" i="27" s="1"/>
  <c r="H22" i="10"/>
  <c r="H27" i="10" s="1"/>
  <c r="I22" i="10"/>
  <c r="I8" i="10" s="1"/>
  <c r="I8" i="27" s="1"/>
  <c r="K8" i="10"/>
  <c r="K8" i="27" s="1"/>
  <c r="D165" i="28"/>
  <c r="M166" i="28" s="1"/>
  <c r="D74" i="28"/>
  <c r="M75" i="28" s="1"/>
  <c r="D130" i="28"/>
  <c r="D114" i="28"/>
  <c r="D213" i="28"/>
  <c r="M214" i="28" s="1"/>
  <c r="D190" i="28"/>
  <c r="I182" i="27"/>
  <c r="M140" i="25"/>
  <c r="L140" i="25"/>
  <c r="H8" i="10"/>
  <c r="H8" i="27" s="1"/>
  <c r="I24" i="10"/>
  <c r="J8" i="10"/>
  <c r="J8" i="27" s="1"/>
  <c r="J27" i="10"/>
  <c r="O144" i="10" s="1"/>
  <c r="J24" i="10"/>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128" i="28"/>
  <c r="M129" i="28" s="1"/>
  <c r="D253" i="28"/>
  <c r="M254" i="28" s="1"/>
  <c r="D144" i="28"/>
  <c r="D248" i="28"/>
  <c r="D119" i="28"/>
  <c r="M120" i="28" s="1"/>
  <c r="D131" i="28"/>
  <c r="M132" i="28" s="1"/>
  <c r="D174" i="28"/>
  <c r="M175" i="28" s="1"/>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K214" i="28" l="1"/>
  <c r="L214" i="28"/>
  <c r="K175" i="28"/>
  <c r="L175" i="28"/>
  <c r="K166" i="28"/>
  <c r="L166" i="28"/>
  <c r="K132" i="28"/>
  <c r="L132" i="28"/>
  <c r="K129" i="28"/>
  <c r="L129" i="28"/>
  <c r="K120" i="28"/>
  <c r="L120" i="28"/>
  <c r="K75" i="28"/>
  <c r="L75" i="28"/>
  <c r="K254" i="28"/>
  <c r="L254" i="28"/>
  <c r="I214" i="28"/>
  <c r="J214" i="28"/>
  <c r="I175" i="28"/>
  <c r="J175" i="28"/>
  <c r="I166" i="28"/>
  <c r="J166" i="28"/>
  <c r="I132" i="28"/>
  <c r="J132" i="28"/>
  <c r="I129" i="28"/>
  <c r="J129" i="28"/>
  <c r="I120" i="28"/>
  <c r="J120" i="28"/>
  <c r="I75" i="28"/>
  <c r="J75" i="28"/>
  <c r="I254" i="28"/>
  <c r="J254" i="28"/>
  <c r="G214" i="28"/>
  <c r="H214" i="28"/>
  <c r="G175" i="28"/>
  <c r="H175" i="28"/>
  <c r="G166" i="28"/>
  <c r="H166" i="28"/>
  <c r="G132" i="28"/>
  <c r="H132" i="28"/>
  <c r="G129" i="28"/>
  <c r="H129" i="28"/>
  <c r="G120" i="28"/>
  <c r="H120" i="28"/>
  <c r="G75" i="28"/>
  <c r="H75" i="28"/>
  <c r="G254" i="28"/>
  <c r="H254" i="28"/>
  <c r="E214" i="28"/>
  <c r="F214" i="28"/>
  <c r="E175" i="28"/>
  <c r="F175" i="28"/>
  <c r="E166" i="28"/>
  <c r="F166" i="28"/>
  <c r="E132" i="28"/>
  <c r="F132" i="28"/>
  <c r="E129" i="28"/>
  <c r="F129" i="28"/>
  <c r="E120" i="28"/>
  <c r="F120" i="28"/>
  <c r="E75" i="28"/>
  <c r="F75" i="28"/>
  <c r="E254" i="28"/>
  <c r="F254" i="28"/>
  <c r="E1097" i="31"/>
  <c r="F1097" i="31" s="1"/>
  <c r="I27" i="10"/>
  <c r="K144" i="10" s="1"/>
  <c r="K152" i="10" s="1"/>
  <c r="J234" i="10" s="1"/>
  <c r="H24" i="10"/>
  <c r="E143" i="10" s="1"/>
  <c r="D86" i="28"/>
  <c r="M87" i="28" s="1"/>
  <c r="O152" i="10"/>
  <c r="J279" i="10" s="1"/>
  <c r="O153" i="10"/>
  <c r="K279" i="10" s="1"/>
  <c r="K153" i="10"/>
  <c r="K234" i="10" s="1"/>
  <c r="I143" i="10"/>
  <c r="I25" i="10"/>
  <c r="K27" i="10"/>
  <c r="K26" i="10" s="1"/>
  <c r="G144" i="10"/>
  <c r="J25" i="10"/>
  <c r="M143" i="10"/>
  <c r="H25" i="10"/>
  <c r="P140" i="25"/>
  <c r="P302" i="25"/>
  <c r="K59" i="27"/>
  <c r="K43" i="27"/>
  <c r="K46" i="27" s="1"/>
  <c r="J46" i="27" s="1"/>
  <c r="P141" i="25"/>
  <c r="E223" i="25"/>
  <c r="H223" i="25"/>
  <c r="L223" i="25"/>
  <c r="N304" i="25"/>
  <c r="H304" i="25"/>
  <c r="P220" i="25"/>
  <c r="D126" i="28"/>
  <c r="D99" i="28"/>
  <c r="D188" i="28"/>
  <c r="M189" i="28" s="1"/>
  <c r="D97" i="28"/>
  <c r="M98" i="28" s="1"/>
  <c r="D142" i="28"/>
  <c r="M143" i="28" s="1"/>
  <c r="D177" i="28"/>
  <c r="M178" i="28" s="1"/>
  <c r="D172" i="28"/>
  <c r="P301" i="25"/>
  <c r="O73" i="27"/>
  <c r="P303" i="25"/>
  <c r="K62" i="27"/>
  <c r="Q73" i="27"/>
  <c r="P139" i="25"/>
  <c r="E21" i="28"/>
  <c r="E23" i="28" s="1"/>
  <c r="D110" i="28"/>
  <c r="F21" i="28"/>
  <c r="D122" i="28"/>
  <c r="D204" i="28"/>
  <c r="D182" i="28"/>
  <c r="D168" i="28"/>
  <c r="D65" i="28"/>
  <c r="D77" i="28" s="1"/>
  <c r="D89" i="28" s="1"/>
  <c r="D156" i="28"/>
  <c r="J18" i="28"/>
  <c r="J17" i="28"/>
  <c r="D244" i="28"/>
  <c r="D255" i="28" s="1"/>
  <c r="D136" i="28"/>
  <c r="K189" i="28" l="1"/>
  <c r="L189" i="28"/>
  <c r="K178" i="28"/>
  <c r="L178" i="28"/>
  <c r="K143" i="28"/>
  <c r="L143" i="28"/>
  <c r="K98" i="28"/>
  <c r="L98" i="28"/>
  <c r="K87" i="28"/>
  <c r="L87" i="28"/>
  <c r="I189" i="28"/>
  <c r="J189" i="28"/>
  <c r="I178" i="28"/>
  <c r="J178" i="28"/>
  <c r="I143" i="28"/>
  <c r="J143" i="28"/>
  <c r="I98" i="28"/>
  <c r="J98" i="28"/>
  <c r="I87" i="28"/>
  <c r="J87" i="28"/>
  <c r="G189" i="28"/>
  <c r="H189" i="28"/>
  <c r="G178" i="28"/>
  <c r="H178" i="28"/>
  <c r="G143" i="28"/>
  <c r="H143" i="28"/>
  <c r="G98" i="28"/>
  <c r="H98" i="28"/>
  <c r="G87" i="28"/>
  <c r="H87" i="28"/>
  <c r="E189" i="28"/>
  <c r="F189" i="28"/>
  <c r="E178" i="28"/>
  <c r="F178" i="28"/>
  <c r="E143" i="28"/>
  <c r="F143" i="28"/>
  <c r="E98" i="28"/>
  <c r="F98" i="28"/>
  <c r="E87" i="28"/>
  <c r="F87" i="28"/>
  <c r="G1097" i="31"/>
  <c r="K24" i="10"/>
  <c r="K23" i="10" s="1"/>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O57" i="15"/>
  <c r="K57" i="15"/>
  <c r="H46" i="27"/>
  <c r="O72" i="27" s="1"/>
  <c r="O74" i="27" s="1"/>
  <c r="I46" i="27"/>
  <c r="I48" i="27" s="1"/>
  <c r="Q72" i="27"/>
  <c r="Q74" i="27" s="1"/>
  <c r="J48" i="27"/>
  <c r="J51" i="27"/>
  <c r="K72" i="27" s="1"/>
  <c r="P72" i="27"/>
  <c r="P74" i="27" s="1"/>
  <c r="H51" i="27"/>
  <c r="P304" i="25"/>
  <c r="P223" i="25"/>
  <c r="P222" i="25"/>
  <c r="D100" i="28"/>
  <c r="M101" i="28" s="1"/>
  <c r="D140" i="28"/>
  <c r="D148" i="28" s="1"/>
  <c r="D95" i="28"/>
  <c r="D103" i="28" s="1"/>
  <c r="D186" i="28"/>
  <c r="D194" i="28" s="1"/>
  <c r="D191" i="28"/>
  <c r="M192" i="28" s="1"/>
  <c r="D145" i="28"/>
  <c r="M146" i="28" s="1"/>
  <c r="F20" i="28"/>
  <c r="F17" i="28"/>
  <c r="D179" i="28"/>
  <c r="D180" i="28"/>
  <c r="F22" i="28"/>
  <c r="F23" i="28"/>
  <c r="F18" i="28"/>
  <c r="D215" i="28"/>
  <c r="D133" i="28"/>
  <c r="D134" i="28"/>
  <c r="K192" i="28" l="1"/>
  <c r="L192" i="28"/>
  <c r="K146" i="28"/>
  <c r="L146" i="28"/>
  <c r="K101" i="28"/>
  <c r="L101" i="28"/>
  <c r="I192" i="28"/>
  <c r="J192" i="28"/>
  <c r="I146" i="28"/>
  <c r="J146" i="28"/>
  <c r="I101" i="28"/>
  <c r="J101" i="28"/>
  <c r="G192" i="28"/>
  <c r="H192" i="28"/>
  <c r="G146" i="28"/>
  <c r="H146" i="28"/>
  <c r="G101" i="28"/>
  <c r="H101" i="28"/>
  <c r="E192" i="28"/>
  <c r="F192" i="28"/>
  <c r="E146" i="28"/>
  <c r="F146" i="28"/>
  <c r="E101" i="28"/>
  <c r="F101" i="28"/>
  <c r="D193" i="28"/>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5" i="15"/>
  <c r="J145" i="15" s="1"/>
  <c r="K66" i="15"/>
  <c r="K145" i="15" s="1"/>
  <c r="M56" i="15"/>
  <c r="G57" i="15"/>
  <c r="I56" i="15"/>
  <c r="O65" i="15"/>
  <c r="J190" i="15" s="1"/>
  <c r="O66" i="15"/>
  <c r="K190" i="15" s="1"/>
  <c r="E56" i="15"/>
  <c r="I51" i="27"/>
  <c r="J72" i="27" s="1"/>
  <c r="D72" i="27"/>
  <c r="I49" i="27"/>
  <c r="E72" i="27"/>
  <c r="J49" i="27"/>
  <c r="I72" i="27"/>
  <c r="D102" i="28"/>
  <c r="K186" i="15" l="1"/>
  <c r="K191" i="15"/>
  <c r="K187" i="15"/>
  <c r="K184" i="15"/>
  <c r="K182" i="15"/>
  <c r="K179" i="15"/>
  <c r="K178" i="15"/>
  <c r="K189" i="15"/>
  <c r="K181" i="15"/>
  <c r="K185" i="15"/>
  <c r="K183" i="15"/>
  <c r="K180" i="15"/>
  <c r="K188" i="15"/>
  <c r="J186" i="15"/>
  <c r="J189" i="15"/>
  <c r="J191" i="15"/>
  <c r="J187" i="15"/>
  <c r="J184" i="15"/>
  <c r="J182" i="15"/>
  <c r="J180" i="15"/>
  <c r="J188" i="15"/>
  <c r="J185" i="15"/>
  <c r="J179" i="15"/>
  <c r="J181" i="15"/>
  <c r="J178" i="15"/>
  <c r="J183" i="15"/>
  <c r="K140" i="15"/>
  <c r="K146" i="15"/>
  <c r="K137" i="15"/>
  <c r="K135" i="15"/>
  <c r="K141" i="15"/>
  <c r="K134" i="15"/>
  <c r="K143" i="15"/>
  <c r="K139" i="15"/>
  <c r="K144" i="15"/>
  <c r="K142" i="15"/>
  <c r="K136" i="15"/>
  <c r="K133" i="15"/>
  <c r="K138" i="15"/>
  <c r="J138" i="15"/>
  <c r="J133" i="15"/>
  <c r="J146" i="15"/>
  <c r="J136" i="15"/>
  <c r="J144" i="15"/>
  <c r="J139" i="15"/>
  <c r="J134" i="15"/>
  <c r="J142" i="15"/>
  <c r="J141" i="15"/>
  <c r="J143" i="15"/>
  <c r="J135" i="15"/>
  <c r="J137" i="15"/>
  <c r="J140" i="15"/>
  <c r="K51" i="27"/>
  <c r="K50" i="27" s="1"/>
  <c r="K48" i="27"/>
  <c r="K47" i="27" s="1"/>
  <c r="H49" i="27"/>
  <c r="D249" i="10"/>
  <c r="G294" i="10"/>
  <c r="F294" i="10"/>
  <c r="G249" i="10"/>
  <c r="I294" i="10"/>
  <c r="H294" i="10"/>
  <c r="G204" i="10"/>
  <c r="F204" i="10"/>
  <c r="I204" i="10"/>
  <c r="D204" i="10"/>
  <c r="I249" i="10"/>
  <c r="F249" i="10"/>
  <c r="E294" i="10"/>
  <c r="D294" i="10"/>
  <c r="H204" i="10"/>
  <c r="E204" i="10"/>
  <c r="H249" i="10"/>
  <c r="E249" i="10"/>
  <c r="G65" i="15"/>
  <c r="J100" i="15" s="1"/>
  <c r="G66" i="15"/>
  <c r="K100" i="15" s="1"/>
  <c r="M64" i="15"/>
  <c r="I190" i="15" s="1"/>
  <c r="M67" i="15"/>
  <c r="L190" i="15" s="1"/>
  <c r="M63" i="15"/>
  <c r="H190" i="15" s="1"/>
  <c r="M61" i="15"/>
  <c r="F190" i="15" s="1"/>
  <c r="M59" i="15"/>
  <c r="D190" i="15" s="1"/>
  <c r="M62" i="15"/>
  <c r="G190" i="15" s="1"/>
  <c r="M60" i="15"/>
  <c r="E190" i="15" s="1"/>
  <c r="E67" i="15"/>
  <c r="L100" i="15" s="1"/>
  <c r="E63" i="15"/>
  <c r="H100" i="15" s="1"/>
  <c r="E61" i="15"/>
  <c r="F100" i="15" s="1"/>
  <c r="E64" i="15"/>
  <c r="I100" i="15" s="1"/>
  <c r="E62" i="15"/>
  <c r="G100" i="15" s="1"/>
  <c r="E60" i="15"/>
  <c r="E100" i="15" s="1"/>
  <c r="E59" i="15"/>
  <c r="D100" i="15" s="1"/>
  <c r="I67" i="15"/>
  <c r="L145" i="15" s="1"/>
  <c r="I64" i="15"/>
  <c r="I145" i="15" s="1"/>
  <c r="I63" i="15"/>
  <c r="H145" i="15" s="1"/>
  <c r="I60" i="15"/>
  <c r="E145" i="15" s="1"/>
  <c r="I62" i="15"/>
  <c r="G145" i="15" s="1"/>
  <c r="I59" i="15"/>
  <c r="D145" i="15" s="1"/>
  <c r="I61" i="15"/>
  <c r="F145" i="15" s="1"/>
  <c r="G135" i="15" l="1"/>
  <c r="G142" i="15"/>
  <c r="G137" i="15"/>
  <c r="G141" i="15"/>
  <c r="G143" i="15"/>
  <c r="G134" i="15"/>
  <c r="G144" i="15"/>
  <c r="G133" i="15"/>
  <c r="G138" i="15"/>
  <c r="G139" i="15"/>
  <c r="G140" i="15"/>
  <c r="G136" i="15"/>
  <c r="L143" i="15"/>
  <c r="L144" i="15"/>
  <c r="L139" i="15"/>
  <c r="L135" i="15"/>
  <c r="L137" i="15"/>
  <c r="L138" i="15"/>
  <c r="L134" i="15"/>
  <c r="L136" i="15"/>
  <c r="L141" i="15"/>
  <c r="L140" i="15"/>
  <c r="L133" i="15"/>
  <c r="L142" i="15"/>
  <c r="E97" i="15"/>
  <c r="E90" i="15"/>
  <c r="E99" i="15"/>
  <c r="E95" i="15"/>
  <c r="E91" i="15"/>
  <c r="E92" i="15"/>
  <c r="E94" i="15"/>
  <c r="E96" i="15"/>
  <c r="E98" i="15"/>
  <c r="E89" i="15"/>
  <c r="E88" i="15"/>
  <c r="E93" i="15"/>
  <c r="I92" i="15"/>
  <c r="I91" i="15"/>
  <c r="I89" i="15"/>
  <c r="I93" i="15"/>
  <c r="I98" i="15"/>
  <c r="I99" i="15"/>
  <c r="I90" i="15"/>
  <c r="I88" i="15"/>
  <c r="I95" i="15"/>
  <c r="I97" i="15"/>
  <c r="I96" i="15"/>
  <c r="I94" i="15"/>
  <c r="H96" i="15"/>
  <c r="H94" i="15"/>
  <c r="H92" i="15"/>
  <c r="H97" i="15"/>
  <c r="H98" i="15"/>
  <c r="H88" i="15"/>
  <c r="H89" i="15"/>
  <c r="H95" i="15"/>
  <c r="H99" i="15"/>
  <c r="H93" i="15"/>
  <c r="H90" i="15"/>
  <c r="H91" i="15"/>
  <c r="E179" i="15"/>
  <c r="E186" i="15"/>
  <c r="E182" i="15"/>
  <c r="E189" i="15"/>
  <c r="E181" i="15"/>
  <c r="E184" i="15"/>
  <c r="E178" i="15"/>
  <c r="E183" i="15"/>
  <c r="E185" i="15"/>
  <c r="E188" i="15"/>
  <c r="E180" i="15"/>
  <c r="E187" i="15"/>
  <c r="D183" i="15"/>
  <c r="D189" i="15"/>
  <c r="D182" i="15"/>
  <c r="D178" i="15"/>
  <c r="D188" i="15"/>
  <c r="D186" i="15"/>
  <c r="D185" i="15"/>
  <c r="D184" i="15"/>
  <c r="D181" i="15"/>
  <c r="D180" i="15"/>
  <c r="D179" i="15"/>
  <c r="D187" i="15"/>
  <c r="H179" i="15"/>
  <c r="H189" i="15"/>
  <c r="H185" i="15"/>
  <c r="H183" i="15"/>
  <c r="H180" i="15"/>
  <c r="H187" i="15"/>
  <c r="H188" i="15"/>
  <c r="H184" i="15"/>
  <c r="H178" i="15"/>
  <c r="H182" i="15"/>
  <c r="H186" i="15"/>
  <c r="H181" i="15"/>
  <c r="I184" i="15"/>
  <c r="I187" i="15"/>
  <c r="I181" i="15"/>
  <c r="I189" i="15"/>
  <c r="I188" i="15"/>
  <c r="I180" i="15"/>
  <c r="I182" i="15"/>
  <c r="I183" i="15"/>
  <c r="I186" i="15"/>
  <c r="I185" i="15"/>
  <c r="I179" i="15"/>
  <c r="I178" i="15"/>
  <c r="J98" i="15"/>
  <c r="J101" i="15"/>
  <c r="J88" i="15"/>
  <c r="J93" i="15"/>
  <c r="J91" i="15"/>
  <c r="J96" i="15"/>
  <c r="J94" i="15"/>
  <c r="J92" i="15"/>
  <c r="J89" i="15"/>
  <c r="J90" i="15"/>
  <c r="J99" i="15"/>
  <c r="J97" i="15"/>
  <c r="J95" i="15"/>
  <c r="K160" i="15"/>
  <c r="F134" i="15"/>
  <c r="F144" i="15"/>
  <c r="F142" i="15"/>
  <c r="F139" i="15"/>
  <c r="F136" i="15"/>
  <c r="F133" i="15"/>
  <c r="F140" i="15"/>
  <c r="F141" i="15"/>
  <c r="F143" i="15"/>
  <c r="F138" i="15"/>
  <c r="F137" i="15"/>
  <c r="F135" i="15"/>
  <c r="H143" i="15"/>
  <c r="H142" i="15"/>
  <c r="H138" i="15"/>
  <c r="H136" i="15"/>
  <c r="H144" i="15"/>
  <c r="H140" i="15"/>
  <c r="H134" i="15"/>
  <c r="H141" i="15"/>
  <c r="H135" i="15"/>
  <c r="H139" i="15"/>
  <c r="H137" i="15"/>
  <c r="H133" i="15"/>
  <c r="D138" i="15"/>
  <c r="D141" i="15"/>
  <c r="D140" i="15"/>
  <c r="D137" i="15"/>
  <c r="D136" i="15"/>
  <c r="D133" i="15"/>
  <c r="D144" i="15"/>
  <c r="D143" i="15"/>
  <c r="D134" i="15"/>
  <c r="D139" i="15"/>
  <c r="D135" i="15"/>
  <c r="D142" i="15"/>
  <c r="E135" i="15"/>
  <c r="E141" i="15"/>
  <c r="E144" i="15"/>
  <c r="E134" i="15"/>
  <c r="E143" i="15"/>
  <c r="E137" i="15"/>
  <c r="E142" i="15"/>
  <c r="E133" i="15"/>
  <c r="E138" i="15"/>
  <c r="E140" i="15"/>
  <c r="E139" i="15"/>
  <c r="E136" i="15"/>
  <c r="I137" i="15"/>
  <c r="I144" i="15"/>
  <c r="I138" i="15"/>
  <c r="I142" i="15"/>
  <c r="I140" i="15"/>
  <c r="I135" i="15"/>
  <c r="I139" i="15"/>
  <c r="I133" i="15"/>
  <c r="I143" i="15"/>
  <c r="I141" i="15"/>
  <c r="I136" i="15"/>
  <c r="I134" i="15"/>
  <c r="D97" i="15"/>
  <c r="D96" i="15"/>
  <c r="D92" i="15"/>
  <c r="D88" i="15"/>
  <c r="D94" i="15"/>
  <c r="D98" i="15"/>
  <c r="D91" i="15"/>
  <c r="D95" i="15"/>
  <c r="D99" i="15"/>
  <c r="D93" i="15"/>
  <c r="D89" i="15"/>
  <c r="D90" i="15"/>
  <c r="G89" i="15"/>
  <c r="G97" i="15"/>
  <c r="G99" i="15"/>
  <c r="G96" i="15"/>
  <c r="G98" i="15"/>
  <c r="G88" i="15"/>
  <c r="G95" i="15"/>
  <c r="G94" i="15"/>
  <c r="G93" i="15"/>
  <c r="G92" i="15"/>
  <c r="G91" i="15"/>
  <c r="G90" i="15"/>
  <c r="F95" i="15"/>
  <c r="F94" i="15"/>
  <c r="F89" i="15"/>
  <c r="F98" i="15"/>
  <c r="F96" i="15"/>
  <c r="F92" i="15"/>
  <c r="F93" i="15"/>
  <c r="F99" i="15"/>
  <c r="F88" i="15"/>
  <c r="F97" i="15"/>
  <c r="F90" i="15"/>
  <c r="F91" i="15"/>
  <c r="L96" i="15"/>
  <c r="L88" i="15"/>
  <c r="L99" i="15"/>
  <c r="L89" i="15"/>
  <c r="L93" i="15"/>
  <c r="L97" i="15"/>
  <c r="L92" i="15"/>
  <c r="L98" i="15"/>
  <c r="L94" i="15"/>
  <c r="L91" i="15"/>
  <c r="L95" i="15"/>
  <c r="L90" i="15"/>
  <c r="G185" i="15"/>
  <c r="G187" i="15"/>
  <c r="G184" i="15"/>
  <c r="G182" i="15"/>
  <c r="G189" i="15"/>
  <c r="G179" i="15"/>
  <c r="G188" i="15"/>
  <c r="G178" i="15"/>
  <c r="G180" i="15"/>
  <c r="G181" i="15"/>
  <c r="G183" i="15"/>
  <c r="G186" i="15"/>
  <c r="F187" i="15"/>
  <c r="F183" i="15"/>
  <c r="F178" i="15"/>
  <c r="F179" i="15"/>
  <c r="F180" i="15"/>
  <c r="F186" i="15"/>
  <c r="F181" i="15"/>
  <c r="F189" i="15"/>
  <c r="F188" i="15"/>
  <c r="F182" i="15"/>
  <c r="F185" i="15"/>
  <c r="F184" i="15"/>
  <c r="L182" i="15"/>
  <c r="L180" i="15"/>
  <c r="L186" i="15"/>
  <c r="L178" i="15"/>
  <c r="L183" i="15"/>
  <c r="L188" i="15"/>
  <c r="L185" i="15"/>
  <c r="L179" i="15"/>
  <c r="L181" i="15"/>
  <c r="L189" i="15"/>
  <c r="L187" i="15"/>
  <c r="L184" i="15"/>
  <c r="K92" i="15"/>
  <c r="K101" i="15"/>
  <c r="K96" i="15"/>
  <c r="K98" i="15"/>
  <c r="K99" i="15"/>
  <c r="K97" i="15"/>
  <c r="K94" i="15"/>
  <c r="K88" i="15"/>
  <c r="K91" i="15"/>
  <c r="K89" i="15"/>
  <c r="K95" i="15"/>
  <c r="K93" i="15"/>
  <c r="K90" i="15"/>
  <c r="J160" i="15"/>
  <c r="J205" i="15"/>
  <c r="K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L158" i="15"/>
  <c r="L154" i="15"/>
  <c r="L152" i="15"/>
  <c r="L149" i="15"/>
  <c r="L156" i="15"/>
  <c r="L148" i="15"/>
  <c r="L111" i="15"/>
  <c r="L114" i="15"/>
  <c r="L108" i="15"/>
  <c r="L107" i="15"/>
  <c r="L109" i="15"/>
  <c r="L110" i="15"/>
  <c r="L197" i="15"/>
  <c r="L201" i="15"/>
  <c r="L198" i="15"/>
  <c r="L200" i="15"/>
  <c r="L196" i="15"/>
  <c r="L202" i="15"/>
  <c r="L159" i="15"/>
  <c r="L150" i="15"/>
  <c r="L153" i="15"/>
  <c r="L151" i="15"/>
  <c r="L155" i="15"/>
  <c r="L157" i="15"/>
  <c r="L103" i="15"/>
  <c r="L104" i="15"/>
  <c r="L112" i="15"/>
  <c r="L113" i="15"/>
  <c r="L106" i="15"/>
  <c r="L105" i="15"/>
  <c r="L195" i="15"/>
  <c r="L193" i="15"/>
  <c r="L203" i="15"/>
  <c r="L194" i="15"/>
  <c r="L204" i="15"/>
  <c r="L199" i="15"/>
  <c r="G150" i="15"/>
  <c r="G152" i="15"/>
  <c r="G158" i="15"/>
  <c r="G159" i="15"/>
  <c r="G153" i="15"/>
  <c r="G155" i="15"/>
  <c r="I107" i="15"/>
  <c r="H104" i="15"/>
  <c r="E200" i="15"/>
  <c r="K200" i="15"/>
  <c r="D194" i="15"/>
  <c r="J194" i="15"/>
  <c r="H201" i="15"/>
  <c r="I203" i="15"/>
  <c r="J113" i="15"/>
  <c r="D113" i="15"/>
  <c r="D104" i="15"/>
  <c r="J104" i="15"/>
  <c r="F157" i="15"/>
  <c r="H158" i="15"/>
  <c r="H152" i="15"/>
  <c r="J159" i="15"/>
  <c r="D159" i="15"/>
  <c r="E159" i="15"/>
  <c r="K159" i="15"/>
  <c r="E154" i="15"/>
  <c r="K154" i="15"/>
  <c r="I155" i="15"/>
  <c r="G104" i="15"/>
  <c r="G108" i="15"/>
  <c r="F104" i="15"/>
  <c r="F103" i="15"/>
  <c r="G200" i="15"/>
  <c r="G195" i="15"/>
  <c r="F193" i="15"/>
  <c r="F203" i="15"/>
  <c r="K111" i="15"/>
  <c r="E111" i="15"/>
  <c r="E106" i="15"/>
  <c r="K106" i="15"/>
  <c r="G157" i="15"/>
  <c r="G156" i="15"/>
  <c r="G149" i="15"/>
  <c r="G148" i="15"/>
  <c r="G154" i="15"/>
  <c r="G151" i="15"/>
  <c r="I106" i="15"/>
  <c r="I108" i="15"/>
  <c r="I114" i="15"/>
  <c r="I103" i="15"/>
  <c r="I112" i="15"/>
  <c r="I109" i="15"/>
  <c r="H109" i="15"/>
  <c r="H112" i="15"/>
  <c r="H103" i="15"/>
  <c r="H110" i="15"/>
  <c r="H108" i="15"/>
  <c r="H106" i="15"/>
  <c r="E201" i="15"/>
  <c r="K201" i="15"/>
  <c r="E204" i="15"/>
  <c r="K204" i="15"/>
  <c r="K199" i="15"/>
  <c r="E199" i="15"/>
  <c r="K198" i="15"/>
  <c r="E198" i="15"/>
  <c r="K203" i="15"/>
  <c r="E203" i="15"/>
  <c r="K202" i="15"/>
  <c r="E202" i="15"/>
  <c r="J204" i="15"/>
  <c r="D204" i="15"/>
  <c r="D193" i="15"/>
  <c r="J193" i="15"/>
  <c r="D201" i="15"/>
  <c r="J201" i="15"/>
  <c r="J199" i="15"/>
  <c r="D199" i="15"/>
  <c r="J195" i="15"/>
  <c r="D195" i="15"/>
  <c r="D202" i="15"/>
  <c r="J202" i="15"/>
  <c r="H204" i="15"/>
  <c r="H198" i="15"/>
  <c r="H202" i="15"/>
  <c r="H199" i="15"/>
  <c r="H197" i="15"/>
  <c r="H196" i="15"/>
  <c r="I202" i="15"/>
  <c r="I204" i="15"/>
  <c r="I195" i="15"/>
  <c r="I198" i="15"/>
  <c r="I200" i="15"/>
  <c r="I193" i="15"/>
  <c r="J108" i="15"/>
  <c r="D108" i="15"/>
  <c r="D111" i="15"/>
  <c r="J111" i="15"/>
  <c r="D107" i="15"/>
  <c r="J107" i="15"/>
  <c r="J105" i="15"/>
  <c r="D105" i="15"/>
  <c r="J112" i="15"/>
  <c r="D112" i="15"/>
  <c r="F159" i="15"/>
  <c r="F154" i="15"/>
  <c r="F148" i="15"/>
  <c r="F156" i="15"/>
  <c r="F153" i="15"/>
  <c r="F150" i="15"/>
  <c r="H157" i="15"/>
  <c r="H151" i="15"/>
  <c r="H155" i="15"/>
  <c r="H156" i="15"/>
  <c r="H154" i="15"/>
  <c r="H148" i="15"/>
  <c r="D156" i="15"/>
  <c r="J156" i="15"/>
  <c r="D152" i="15"/>
  <c r="J152" i="15"/>
  <c r="J148" i="15"/>
  <c r="D148" i="15"/>
  <c r="J158" i="15"/>
  <c r="D158" i="15"/>
  <c r="J154" i="15"/>
  <c r="D154" i="15"/>
  <c r="J157" i="15"/>
  <c r="D157" i="15"/>
  <c r="K156" i="15"/>
  <c r="E156" i="15"/>
  <c r="K149" i="15"/>
  <c r="E149" i="15"/>
  <c r="K152" i="15"/>
  <c r="E152" i="15"/>
  <c r="E148" i="15"/>
  <c r="K148" i="15"/>
  <c r="E155" i="15"/>
  <c r="K155" i="15"/>
  <c r="E151" i="15"/>
  <c r="K151" i="15"/>
  <c r="I159" i="15"/>
  <c r="I157" i="15"/>
  <c r="I150" i="15"/>
  <c r="I148" i="15"/>
  <c r="I156" i="15"/>
  <c r="I149" i="15"/>
  <c r="G112" i="15"/>
  <c r="G111" i="15"/>
  <c r="G103" i="15"/>
  <c r="G109" i="15"/>
  <c r="G107" i="15"/>
  <c r="G105" i="15"/>
  <c r="F109" i="15"/>
  <c r="F113" i="15"/>
  <c r="F107" i="15"/>
  <c r="F114" i="15"/>
  <c r="F112" i="15"/>
  <c r="F106" i="15"/>
  <c r="G202" i="15"/>
  <c r="G197" i="15"/>
  <c r="G194" i="15"/>
  <c r="G193" i="15"/>
  <c r="G196" i="15"/>
  <c r="G201" i="15"/>
  <c r="F198" i="15"/>
  <c r="F194" i="15"/>
  <c r="F201" i="15"/>
  <c r="F204" i="15"/>
  <c r="F197" i="15"/>
  <c r="F199" i="15"/>
  <c r="E113" i="15"/>
  <c r="K113" i="15"/>
  <c r="K112" i="15"/>
  <c r="E112" i="15"/>
  <c r="K103" i="15"/>
  <c r="E103" i="15"/>
  <c r="K104" i="15"/>
  <c r="E104" i="15"/>
  <c r="K108" i="15"/>
  <c r="E108" i="15"/>
  <c r="I104" i="15"/>
  <c r="I113" i="15"/>
  <c r="I105" i="15"/>
  <c r="I110" i="15"/>
  <c r="I111" i="15"/>
  <c r="H111" i="15"/>
  <c r="H107" i="15"/>
  <c r="H113" i="15"/>
  <c r="H114" i="15"/>
  <c r="H105" i="15"/>
  <c r="K194" i="15"/>
  <c r="E194" i="15"/>
  <c r="E197" i="15"/>
  <c r="K197" i="15"/>
  <c r="E196" i="15"/>
  <c r="K196" i="15"/>
  <c r="E193" i="15"/>
  <c r="K193" i="15"/>
  <c r="K195" i="15"/>
  <c r="E195" i="15"/>
  <c r="D198" i="15"/>
  <c r="J198" i="15"/>
  <c r="D197" i="15"/>
  <c r="J197" i="15"/>
  <c r="J203" i="15"/>
  <c r="D203" i="15"/>
  <c r="J200" i="15"/>
  <c r="D200" i="15"/>
  <c r="J196" i="15"/>
  <c r="D196" i="15"/>
  <c r="H194" i="15"/>
  <c r="H200" i="15"/>
  <c r="H195" i="15"/>
  <c r="H203" i="15"/>
  <c r="H193" i="15"/>
  <c r="I199" i="15"/>
  <c r="I196" i="15"/>
  <c r="I197" i="15"/>
  <c r="I201" i="15"/>
  <c r="I194" i="15"/>
  <c r="D103" i="15"/>
  <c r="J103" i="15"/>
  <c r="D106" i="15"/>
  <c r="J106" i="15"/>
  <c r="J109" i="15"/>
  <c r="D109" i="15"/>
  <c r="D114" i="15"/>
  <c r="J114" i="15"/>
  <c r="D110" i="15"/>
  <c r="J110" i="15"/>
  <c r="F149" i="15"/>
  <c r="F151" i="15"/>
  <c r="F155" i="15"/>
  <c r="F158" i="15"/>
  <c r="F152" i="15"/>
  <c r="H153" i="15"/>
  <c r="H159" i="15"/>
  <c r="H149" i="15"/>
  <c r="H150" i="15"/>
  <c r="J153" i="15"/>
  <c r="D153" i="15"/>
  <c r="D155" i="15"/>
  <c r="J155" i="15"/>
  <c r="D151" i="15"/>
  <c r="J151" i="15"/>
  <c r="J149" i="15"/>
  <c r="D149" i="15"/>
  <c r="J150" i="15"/>
  <c r="D150" i="15"/>
  <c r="E150" i="15"/>
  <c r="K150" i="15"/>
  <c r="E158" i="15"/>
  <c r="K158" i="15"/>
  <c r="K157" i="15"/>
  <c r="E157" i="15"/>
  <c r="K153" i="15"/>
  <c r="E153" i="15"/>
  <c r="I152" i="15"/>
  <c r="I153" i="15"/>
  <c r="I154" i="15"/>
  <c r="I158" i="15"/>
  <c r="I151" i="15"/>
  <c r="G114" i="15"/>
  <c r="G113" i="15"/>
  <c r="G110" i="15"/>
  <c r="G106" i="15"/>
  <c r="F110" i="15"/>
  <c r="F111" i="15"/>
  <c r="F108" i="15"/>
  <c r="F105" i="15"/>
  <c r="G199" i="15"/>
  <c r="G204" i="15"/>
  <c r="G203" i="15"/>
  <c r="G198" i="15"/>
  <c r="F202" i="15"/>
  <c r="F195" i="15"/>
  <c r="F196" i="15"/>
  <c r="F200" i="15"/>
  <c r="K107" i="15"/>
  <c r="E107" i="15"/>
  <c r="E114" i="15"/>
  <c r="K114" i="15"/>
  <c r="E109" i="15"/>
  <c r="K109" i="15"/>
  <c r="E110" i="15"/>
  <c r="K110" i="15"/>
  <c r="E105" i="15"/>
  <c r="K105" i="15"/>
  <c r="L206" i="15" l="1"/>
  <c r="L116" i="15"/>
  <c r="L161" i="15"/>
  <c r="L160" i="15"/>
  <c r="E115" i="15"/>
  <c r="K213" i="15"/>
  <c r="E213" i="15"/>
  <c r="K218" i="15"/>
  <c r="E218" i="15"/>
  <c r="K217" i="15"/>
  <c r="E217" i="15"/>
  <c r="K222" i="15"/>
  <c r="E222" i="15"/>
  <c r="E215" i="15"/>
  <c r="K215" i="15"/>
  <c r="F242" i="15"/>
  <c r="F238" i="15"/>
  <c r="F237" i="15"/>
  <c r="F244" i="15"/>
  <c r="G240" i="15"/>
  <c r="G245" i="15"/>
  <c r="G246" i="15"/>
  <c r="G241" i="15"/>
  <c r="F213" i="15"/>
  <c r="F216" i="15"/>
  <c r="F219" i="15"/>
  <c r="F218" i="15"/>
  <c r="G214" i="15"/>
  <c r="G218" i="15"/>
  <c r="G221" i="15"/>
  <c r="G222" i="15"/>
  <c r="I226" i="15"/>
  <c r="I233" i="15"/>
  <c r="I229" i="15"/>
  <c r="I228" i="15"/>
  <c r="I227" i="15"/>
  <c r="E228" i="15"/>
  <c r="K228" i="15"/>
  <c r="E232" i="15"/>
  <c r="K232" i="15"/>
  <c r="K233" i="15"/>
  <c r="E233" i="15"/>
  <c r="K225" i="15"/>
  <c r="E225" i="15"/>
  <c r="D225" i="15"/>
  <c r="J225" i="15"/>
  <c r="D224" i="15"/>
  <c r="J224" i="15"/>
  <c r="J226" i="15"/>
  <c r="D226" i="15"/>
  <c r="J230" i="15"/>
  <c r="D230" i="15"/>
  <c r="D228" i="15"/>
  <c r="J228" i="15"/>
  <c r="H225" i="15"/>
  <c r="H224" i="15"/>
  <c r="H234" i="15"/>
  <c r="H228" i="15"/>
  <c r="F227" i="15"/>
  <c r="F233" i="15"/>
  <c r="F230" i="15"/>
  <c r="F226" i="15"/>
  <c r="F224" i="15"/>
  <c r="J218" i="15"/>
  <c r="D218" i="15"/>
  <c r="J222" i="15"/>
  <c r="D222" i="15"/>
  <c r="D217" i="15"/>
  <c r="J217" i="15"/>
  <c r="J214" i="15"/>
  <c r="D214" i="15"/>
  <c r="J116" i="15"/>
  <c r="J211" i="15"/>
  <c r="D116" i="15"/>
  <c r="D211" i="15"/>
  <c r="I236" i="15"/>
  <c r="I243" i="15"/>
  <c r="I239" i="15"/>
  <c r="I238" i="15"/>
  <c r="I241" i="15"/>
  <c r="H235" i="15"/>
  <c r="H206" i="15"/>
  <c r="H245" i="15"/>
  <c r="H237" i="15"/>
  <c r="H242" i="15"/>
  <c r="H236" i="15"/>
  <c r="D238" i="15"/>
  <c r="J238" i="15"/>
  <c r="D242" i="15"/>
  <c r="J242" i="15"/>
  <c r="D245" i="15"/>
  <c r="J245" i="15"/>
  <c r="J239" i="15"/>
  <c r="D239" i="15"/>
  <c r="J240" i="15"/>
  <c r="D240" i="15"/>
  <c r="E237" i="15"/>
  <c r="K237" i="15"/>
  <c r="K206" i="15"/>
  <c r="K207" i="15" s="1"/>
  <c r="K235" i="15"/>
  <c r="E206" i="15"/>
  <c r="E235" i="15"/>
  <c r="K238" i="15"/>
  <c r="E238" i="15"/>
  <c r="K239" i="15"/>
  <c r="E239" i="15"/>
  <c r="E236" i="15"/>
  <c r="K236" i="15"/>
  <c r="H213" i="15"/>
  <c r="H222" i="15"/>
  <c r="H221" i="15"/>
  <c r="H215" i="15"/>
  <c r="H219" i="15"/>
  <c r="I219" i="15"/>
  <c r="I218" i="15"/>
  <c r="I213" i="15"/>
  <c r="I221" i="15"/>
  <c r="I212" i="15"/>
  <c r="E216" i="15"/>
  <c r="K216" i="15"/>
  <c r="E212" i="15"/>
  <c r="K212" i="15"/>
  <c r="E211" i="15"/>
  <c r="E116" i="15"/>
  <c r="K211" i="15"/>
  <c r="K116" i="15"/>
  <c r="E220" i="15"/>
  <c r="K220" i="15"/>
  <c r="K221" i="15"/>
  <c r="E221" i="15"/>
  <c r="F241" i="15"/>
  <c r="F239" i="15"/>
  <c r="F246" i="15"/>
  <c r="F243" i="15"/>
  <c r="F236" i="15"/>
  <c r="F240" i="15"/>
  <c r="G243" i="15"/>
  <c r="G238" i="15"/>
  <c r="G206" i="15"/>
  <c r="G235" i="15"/>
  <c r="G236" i="15"/>
  <c r="G239" i="15"/>
  <c r="G244" i="15"/>
  <c r="F214" i="15"/>
  <c r="F220" i="15"/>
  <c r="F222" i="15"/>
  <c r="F215" i="15"/>
  <c r="F221" i="15"/>
  <c r="F217" i="15"/>
  <c r="G213" i="15"/>
  <c r="G215" i="15"/>
  <c r="G217" i="15"/>
  <c r="G211" i="15"/>
  <c r="G116" i="15"/>
  <c r="G219" i="15"/>
  <c r="G220" i="15"/>
  <c r="I224" i="15"/>
  <c r="I231" i="15"/>
  <c r="I223" i="15"/>
  <c r="I161" i="15"/>
  <c r="I225" i="15"/>
  <c r="I232" i="15"/>
  <c r="I234" i="15"/>
  <c r="K226" i="15"/>
  <c r="E226" i="15"/>
  <c r="K230" i="15"/>
  <c r="E230" i="15"/>
  <c r="K223" i="15"/>
  <c r="K161" i="15"/>
  <c r="K162" i="15" s="1"/>
  <c r="E223" i="15"/>
  <c r="E161" i="15"/>
  <c r="E227" i="15"/>
  <c r="K227" i="15"/>
  <c r="E224" i="15"/>
  <c r="K224" i="15"/>
  <c r="E231" i="15"/>
  <c r="K231" i="15"/>
  <c r="D232" i="15"/>
  <c r="J232" i="15"/>
  <c r="D229" i="15"/>
  <c r="J229" i="15"/>
  <c r="D233" i="15"/>
  <c r="J233" i="15"/>
  <c r="D223" i="15"/>
  <c r="D161" i="15"/>
  <c r="J223" i="15"/>
  <c r="J161" i="15"/>
  <c r="J162" i="15" s="1"/>
  <c r="J227" i="15"/>
  <c r="D227" i="15"/>
  <c r="J231" i="15"/>
  <c r="D231" i="15"/>
  <c r="H223" i="15"/>
  <c r="H161" i="15"/>
  <c r="H229" i="15"/>
  <c r="H231" i="15"/>
  <c r="H230" i="15"/>
  <c r="H226" i="15"/>
  <c r="H232" i="15"/>
  <c r="F225" i="15"/>
  <c r="F228" i="15"/>
  <c r="F231" i="15"/>
  <c r="F223" i="15"/>
  <c r="F161" i="15"/>
  <c r="F229" i="15"/>
  <c r="F234" i="15"/>
  <c r="D220" i="15"/>
  <c r="J220" i="15"/>
  <c r="D213" i="15"/>
  <c r="J213" i="15"/>
  <c r="J215" i="15"/>
  <c r="D215" i="15"/>
  <c r="J219" i="15"/>
  <c r="D219" i="15"/>
  <c r="D216" i="15"/>
  <c r="J216" i="15"/>
  <c r="I206" i="15"/>
  <c r="I235" i="15"/>
  <c r="I242" i="15"/>
  <c r="I240" i="15"/>
  <c r="I237" i="15"/>
  <c r="I246" i="15"/>
  <c r="I244" i="15"/>
  <c r="H238" i="15"/>
  <c r="H239" i="15"/>
  <c r="H241" i="15"/>
  <c r="H244" i="15"/>
  <c r="H240" i="15"/>
  <c r="H246" i="15"/>
  <c r="J244" i="15"/>
  <c r="D244" i="15"/>
  <c r="D237" i="15"/>
  <c r="J237" i="15"/>
  <c r="D241" i="15"/>
  <c r="J241" i="15"/>
  <c r="J243" i="15"/>
  <c r="D243" i="15"/>
  <c r="J235" i="15"/>
  <c r="J206" i="15"/>
  <c r="J207" i="15" s="1"/>
  <c r="D235" i="15"/>
  <c r="D206" i="15"/>
  <c r="D246" i="15"/>
  <c r="J246" i="15"/>
  <c r="E244" i="15"/>
  <c r="K244" i="15"/>
  <c r="E245" i="15"/>
  <c r="K245" i="15"/>
  <c r="E240" i="15"/>
  <c r="K240" i="15"/>
  <c r="E241" i="15"/>
  <c r="K241" i="15"/>
  <c r="K246" i="15"/>
  <c r="E246" i="15"/>
  <c r="K243" i="15"/>
  <c r="E243" i="15"/>
  <c r="H214" i="15"/>
  <c r="H216" i="15"/>
  <c r="H218" i="15"/>
  <c r="H116" i="15"/>
  <c r="H211" i="15"/>
  <c r="H220" i="15"/>
  <c r="H217" i="15"/>
  <c r="I217" i="15"/>
  <c r="I220" i="15"/>
  <c r="I211" i="15"/>
  <c r="I116" i="15"/>
  <c r="I222" i="15"/>
  <c r="I216" i="15"/>
  <c r="I214" i="15"/>
  <c r="G226" i="15"/>
  <c r="G229" i="15"/>
  <c r="G223" i="15"/>
  <c r="G161" i="15"/>
  <c r="G224" i="15"/>
  <c r="G231" i="15"/>
  <c r="G232" i="15"/>
  <c r="K214" i="15"/>
  <c r="E214" i="15"/>
  <c r="E219" i="15"/>
  <c r="K219" i="15"/>
  <c r="F245" i="15"/>
  <c r="F235" i="15"/>
  <c r="F206" i="15"/>
  <c r="G237" i="15"/>
  <c r="G242" i="15"/>
  <c r="F211" i="15"/>
  <c r="F116" i="15"/>
  <c r="F212" i="15"/>
  <c r="G216" i="15"/>
  <c r="G212" i="15"/>
  <c r="I230" i="15"/>
  <c r="K229" i="15"/>
  <c r="E229" i="15"/>
  <c r="K234" i="15"/>
  <c r="E234" i="15"/>
  <c r="D234" i="15"/>
  <c r="J234" i="15"/>
  <c r="H227" i="15"/>
  <c r="H233" i="15"/>
  <c r="F232" i="15"/>
  <c r="J212" i="15"/>
  <c r="D212" i="15"/>
  <c r="D221" i="15"/>
  <c r="J221" i="15"/>
  <c r="I245" i="15"/>
  <c r="H243" i="15"/>
  <c r="J236" i="15"/>
  <c r="D236" i="15"/>
  <c r="K242" i="15"/>
  <c r="E242" i="15"/>
  <c r="H212" i="15"/>
  <c r="I215" i="15"/>
  <c r="G230" i="15"/>
  <c r="G228" i="15"/>
  <c r="G234" i="15"/>
  <c r="G233" i="15"/>
  <c r="G227" i="15"/>
  <c r="G225" i="15"/>
  <c r="J115" i="15"/>
  <c r="H205" i="15"/>
  <c r="E205" i="15"/>
  <c r="K115" i="15"/>
  <c r="L205" i="15"/>
  <c r="L207" i="15" s="1"/>
  <c r="G205" i="15"/>
  <c r="L115" i="15"/>
  <c r="L117" i="15" s="1"/>
  <c r="G115" i="15"/>
  <c r="D115" i="15"/>
  <c r="I160" i="15"/>
  <c r="E160" i="15"/>
  <c r="D160" i="15"/>
  <c r="H160" i="15"/>
  <c r="F160" i="15"/>
  <c r="I205" i="15"/>
  <c r="D205" i="15"/>
  <c r="H115" i="15"/>
  <c r="I115" i="15"/>
  <c r="G160" i="15"/>
  <c r="F205" i="15"/>
  <c r="F115" i="15"/>
  <c r="C44" i="21"/>
  <c r="L213" i="15"/>
  <c r="L218" i="15"/>
  <c r="L212" i="15"/>
  <c r="L217" i="15"/>
  <c r="L222" i="15"/>
  <c r="L228" i="15"/>
  <c r="L232" i="15"/>
  <c r="L237" i="15"/>
  <c r="L235" i="15"/>
  <c r="L236" i="15"/>
  <c r="L216" i="15"/>
  <c r="L220" i="15"/>
  <c r="L226" i="15"/>
  <c r="L230" i="15"/>
  <c r="L223" i="15"/>
  <c r="L244" i="15"/>
  <c r="L245" i="15"/>
  <c r="L240" i="15"/>
  <c r="L241" i="15"/>
  <c r="L214" i="15"/>
  <c r="L242" i="15"/>
  <c r="L215" i="15"/>
  <c r="L233" i="15"/>
  <c r="L225" i="15"/>
  <c r="L238" i="15"/>
  <c r="L239" i="15"/>
  <c r="L211" i="15"/>
  <c r="L221" i="15"/>
  <c r="L227" i="15"/>
  <c r="L224" i="15"/>
  <c r="L231" i="15"/>
  <c r="L246" i="15"/>
  <c r="L243" i="15"/>
  <c r="L219" i="15"/>
  <c r="L229" i="15"/>
  <c r="L234" i="15"/>
  <c r="L162" i="15" l="1"/>
  <c r="E117" i="15"/>
  <c r="I117" i="15"/>
  <c r="F162" i="15"/>
  <c r="H162" i="15"/>
  <c r="D162" i="15"/>
  <c r="E162" i="15"/>
  <c r="G207" i="15"/>
  <c r="E207" i="15"/>
  <c r="F117" i="15"/>
  <c r="F207" i="15"/>
  <c r="G162" i="15"/>
  <c r="H117" i="15"/>
  <c r="D207" i="15"/>
  <c r="I207" i="15"/>
  <c r="I162" i="15"/>
  <c r="G117" i="15"/>
  <c r="K117" i="15"/>
  <c r="H207" i="15"/>
  <c r="D117" i="15"/>
  <c r="J117" i="15"/>
  <c r="C158" i="15"/>
  <c r="C153" i="15"/>
  <c r="C201" i="15"/>
  <c r="C120" i="30"/>
  <c r="C74" i="30"/>
  <c r="C81" i="30"/>
  <c r="C77" i="30"/>
  <c r="C157" i="15"/>
  <c r="C161" i="30"/>
  <c r="C121" i="30"/>
  <c r="C118" i="30"/>
  <c r="C103" i="15"/>
  <c r="C196" i="15"/>
  <c r="C109" i="15"/>
  <c r="C79" i="30"/>
  <c r="C73" i="30"/>
  <c r="C123" i="30"/>
  <c r="C195" i="15"/>
  <c r="C200" i="15"/>
  <c r="C155" i="15"/>
  <c r="C108" i="15"/>
  <c r="C204" i="15"/>
  <c r="C194" i="15"/>
  <c r="C104" i="15"/>
  <c r="C193" i="15"/>
  <c r="C164" i="30"/>
  <c r="C126" i="30"/>
  <c r="C75" i="30"/>
  <c r="C148" i="15"/>
  <c r="C202" i="15"/>
  <c r="C203" i="15"/>
  <c r="C150" i="15"/>
  <c r="C114" i="15"/>
  <c r="C105" i="15"/>
  <c r="C162" i="30"/>
  <c r="C125" i="30"/>
  <c r="C111" i="15"/>
  <c r="C107" i="15"/>
  <c r="C172" i="30"/>
  <c r="C72" i="30"/>
  <c r="C106" i="15"/>
  <c r="C156" i="15"/>
  <c r="C112" i="15"/>
  <c r="C159" i="15"/>
  <c r="C110" i="15"/>
  <c r="C122" i="30"/>
  <c r="C116" i="30"/>
  <c r="C80" i="30"/>
  <c r="C169" i="30"/>
  <c r="C152" i="15"/>
  <c r="C197" i="15"/>
  <c r="C113" i="15"/>
  <c r="C167" i="30"/>
  <c r="C76" i="30"/>
  <c r="C82" i="30"/>
  <c r="C168" i="30"/>
  <c r="C119" i="30"/>
  <c r="C154" i="15"/>
  <c r="C198" i="15"/>
  <c r="C117" i="30"/>
  <c r="C171" i="30"/>
  <c r="C71" i="30"/>
  <c r="C149" i="15"/>
  <c r="C163" i="30"/>
  <c r="C166" i="30"/>
  <c r="C165" i="30"/>
  <c r="C127" i="30"/>
  <c r="C199" i="15"/>
  <c r="C151" i="15"/>
  <c r="C78" i="30"/>
  <c r="C170" i="30"/>
  <c r="C124" i="30"/>
  <c r="L197" i="10"/>
  <c r="H202" i="10"/>
  <c r="E195" i="10"/>
  <c r="K245" i="10"/>
  <c r="D244" i="10"/>
  <c r="F288" i="10"/>
  <c r="F239" i="10"/>
  <c r="H193" i="10"/>
  <c r="G238" i="10"/>
  <c r="I202" i="10"/>
  <c r="J246" i="10"/>
  <c r="G237" i="10"/>
  <c r="L288" i="10"/>
  <c r="D287" i="10"/>
  <c r="E287" i="10"/>
  <c r="L238" i="10"/>
  <c r="D243" i="10"/>
  <c r="I243" i="10"/>
  <c r="L202" i="10"/>
  <c r="J200" i="10"/>
  <c r="K287" i="10"/>
  <c r="K199" i="10"/>
  <c r="E293" i="10"/>
  <c r="E196" i="10"/>
  <c r="E243" i="10"/>
  <c r="L293" i="10"/>
  <c r="I199" i="10"/>
  <c r="I293" i="10"/>
  <c r="K203" i="10"/>
  <c r="I246" i="10"/>
  <c r="K237" i="10"/>
  <c r="G285" i="10"/>
  <c r="J192" i="10"/>
  <c r="D99" i="10"/>
  <c r="I192" i="10"/>
  <c r="G244" i="10"/>
  <c r="G202" i="10"/>
  <c r="J193" i="10"/>
  <c r="L237" i="10"/>
  <c r="I242" i="10"/>
  <c r="G201" i="10"/>
  <c r="F247" i="10"/>
  <c r="L282" i="10"/>
  <c r="D196" i="10"/>
  <c r="E193" i="10"/>
  <c r="F243" i="10"/>
  <c r="G288" i="10"/>
  <c r="E99" i="10"/>
  <c r="L244" i="10"/>
  <c r="H293" i="10"/>
  <c r="D192" i="10"/>
  <c r="K196" i="10"/>
  <c r="K238" i="10"/>
  <c r="D289" i="10"/>
  <c r="L241" i="10"/>
  <c r="D201" i="10"/>
  <c r="L198" i="10"/>
  <c r="J202" i="10"/>
  <c r="J239" i="10"/>
  <c r="K244" i="10"/>
  <c r="G283" i="10"/>
  <c r="H194" i="10"/>
  <c r="L290" i="10"/>
  <c r="I283" i="10"/>
  <c r="H287" i="10"/>
  <c r="D285" i="10"/>
  <c r="J194" i="10"/>
  <c r="I286" i="10"/>
  <c r="F202" i="10"/>
  <c r="G198" i="10"/>
  <c r="L291" i="10"/>
  <c r="F240" i="10"/>
  <c r="K198" i="10"/>
  <c r="G246" i="10"/>
  <c r="E239" i="10"/>
  <c r="H285" i="10"/>
  <c r="G196" i="10"/>
  <c r="K194" i="10"/>
  <c r="I193" i="10"/>
  <c r="G199" i="10"/>
  <c r="L200" i="10"/>
  <c r="G284" i="10"/>
  <c r="L289" i="10"/>
  <c r="F285" i="10"/>
  <c r="G282" i="10"/>
  <c r="F199" i="10"/>
  <c r="D290" i="10"/>
  <c r="J201" i="10"/>
  <c r="L243" i="10"/>
  <c r="J285" i="10"/>
  <c r="J242" i="10"/>
  <c r="E192" i="10"/>
  <c r="H284" i="10"/>
  <c r="G197" i="10"/>
  <c r="E246" i="10"/>
  <c r="K291" i="10"/>
  <c r="L248" i="10"/>
  <c r="D195" i="10"/>
  <c r="I289" i="10"/>
  <c r="J287" i="10"/>
  <c r="D202" i="10"/>
  <c r="E283" i="10"/>
  <c r="G289" i="10"/>
  <c r="L199" i="10"/>
  <c r="H199" i="10"/>
  <c r="F238" i="10"/>
  <c r="J289" i="10"/>
  <c r="D198" i="10"/>
  <c r="E240" i="10"/>
  <c r="E248" i="10"/>
  <c r="F283" i="10"/>
  <c r="L285" i="10"/>
  <c r="G245" i="10"/>
  <c r="J244" i="10"/>
  <c r="I285" i="10"/>
  <c r="L194" i="10"/>
  <c r="K282" i="10"/>
  <c r="G248" i="10"/>
  <c r="E200" i="10"/>
  <c r="K288" i="10"/>
  <c r="E284" i="10"/>
  <c r="F241" i="10"/>
  <c r="J286" i="10"/>
  <c r="J245" i="10"/>
  <c r="F282" i="10"/>
  <c r="I247" i="10"/>
  <c r="K246" i="10"/>
  <c r="F237" i="10"/>
  <c r="G240" i="10"/>
  <c r="H288" i="10"/>
  <c r="J241" i="10"/>
  <c r="E197" i="10"/>
  <c r="K283" i="10"/>
  <c r="H291" i="10"/>
  <c r="E198" i="10"/>
  <c r="D239" i="10"/>
  <c r="I195" i="10"/>
  <c r="D291" i="10"/>
  <c r="I203" i="10"/>
  <c r="K192" i="10"/>
  <c r="K202" i="10"/>
  <c r="D282" i="10"/>
  <c r="I240" i="10"/>
  <c r="F192" i="10"/>
  <c r="H239" i="10"/>
  <c r="K248" i="10"/>
  <c r="F293" i="10"/>
  <c r="H242" i="10"/>
  <c r="J197" i="10"/>
  <c r="L286" i="10"/>
  <c r="K242" i="10"/>
  <c r="L196" i="10"/>
  <c r="K290" i="10"/>
  <c r="H200" i="10"/>
  <c r="E202" i="10"/>
  <c r="F290" i="10"/>
  <c r="E247" i="10"/>
  <c r="G203" i="10"/>
  <c r="D283" i="10"/>
  <c r="G194" i="10"/>
  <c r="G192" i="10"/>
  <c r="L247" i="10"/>
  <c r="D288" i="10"/>
  <c r="K286" i="10"/>
  <c r="H292" i="10"/>
  <c r="H243" i="10"/>
  <c r="G247" i="10"/>
  <c r="E289" i="10"/>
  <c r="K240" i="10"/>
  <c r="G243" i="10"/>
  <c r="E291" i="10"/>
  <c r="J203" i="10"/>
  <c r="H196" i="10"/>
  <c r="H197" i="10"/>
  <c r="H195" i="10"/>
  <c r="I200" i="10"/>
  <c r="G200" i="10"/>
  <c r="E245" i="10"/>
  <c r="F196" i="10"/>
  <c r="F244" i="10"/>
  <c r="J282" i="10"/>
  <c r="I201" i="10"/>
  <c r="L192" i="10"/>
  <c r="G193" i="10"/>
  <c r="I238" i="10"/>
  <c r="H238" i="10"/>
  <c r="I198" i="10"/>
  <c r="L283" i="10"/>
  <c r="E290" i="10"/>
  <c r="L240" i="10"/>
  <c r="K243" i="10"/>
  <c r="F193" i="10"/>
  <c r="F291" i="10"/>
  <c r="I241" i="10"/>
  <c r="F284" i="10"/>
  <c r="K200" i="10"/>
  <c r="J243" i="10"/>
  <c r="D292" i="10"/>
  <c r="J199" i="10"/>
  <c r="E194" i="10"/>
  <c r="F195" i="10"/>
  <c r="F292" i="10"/>
  <c r="F198" i="10"/>
  <c r="E242" i="10"/>
  <c r="D240" i="10"/>
  <c r="H247" i="10"/>
  <c r="D197" i="10"/>
  <c r="J290" i="10"/>
  <c r="H286" i="10"/>
  <c r="D241" i="10"/>
  <c r="D194" i="10"/>
  <c r="D200" i="10"/>
  <c r="H192" i="10"/>
  <c r="L239" i="10"/>
  <c r="F242" i="10"/>
  <c r="K201" i="10"/>
  <c r="E238" i="10"/>
  <c r="E244" i="10"/>
  <c r="J238" i="10"/>
  <c r="E285" i="10"/>
  <c r="K247" i="10"/>
  <c r="L203" i="10"/>
  <c r="I197" i="10"/>
  <c r="K195" i="10"/>
  <c r="E282" i="10"/>
  <c r="H283" i="10"/>
  <c r="I237" i="10"/>
  <c r="H237" i="10"/>
  <c r="I239" i="10"/>
  <c r="H241" i="10"/>
  <c r="F245" i="10"/>
  <c r="D284" i="10"/>
  <c r="G291" i="10"/>
  <c r="I248" i="10"/>
  <c r="D293" i="10"/>
  <c r="E199" i="10"/>
  <c r="H282" i="10"/>
  <c r="F286" i="10"/>
  <c r="J293" i="10"/>
  <c r="H201" i="10"/>
  <c r="D238" i="10"/>
  <c r="K285" i="10"/>
  <c r="G195" i="10"/>
  <c r="G293" i="10"/>
  <c r="K193" i="10"/>
  <c r="I196" i="10"/>
  <c r="H203" i="10"/>
  <c r="E292" i="10"/>
  <c r="G292" i="10"/>
  <c r="J288" i="10"/>
  <c r="F99" i="10"/>
  <c r="K293" i="10"/>
  <c r="D199" i="10"/>
  <c r="I292" i="10"/>
  <c r="E203" i="10"/>
  <c r="J240" i="10"/>
  <c r="J196" i="10"/>
  <c r="E288" i="10"/>
  <c r="I194" i="10"/>
  <c r="L284" i="10"/>
  <c r="L292" i="10"/>
  <c r="H248" i="10"/>
  <c r="K239" i="10"/>
  <c r="J248" i="10"/>
  <c r="E237" i="10"/>
  <c r="H240" i="10"/>
  <c r="K241" i="10"/>
  <c r="D246" i="10"/>
  <c r="E201" i="10"/>
  <c r="J291" i="10"/>
  <c r="F201" i="10"/>
  <c r="I291" i="10"/>
  <c r="G241" i="10"/>
  <c r="J292" i="10"/>
  <c r="F197" i="10"/>
  <c r="F287" i="10"/>
  <c r="K289" i="10"/>
  <c r="J247" i="10"/>
  <c r="H246" i="10"/>
  <c r="F248" i="10"/>
  <c r="G286" i="10"/>
  <c r="J237" i="10"/>
  <c r="L193" i="10"/>
  <c r="L245" i="10"/>
  <c r="G290" i="10"/>
  <c r="J283" i="10"/>
  <c r="F246" i="10"/>
  <c r="D237" i="10"/>
  <c r="J284" i="10"/>
  <c r="D242" i="10"/>
  <c r="I244" i="10"/>
  <c r="I245" i="10"/>
  <c r="L201" i="10"/>
  <c r="D286" i="10"/>
  <c r="F289" i="10"/>
  <c r="K284" i="10"/>
  <c r="E241" i="10"/>
  <c r="D248" i="10"/>
  <c r="G239" i="10"/>
  <c r="D193" i="10"/>
  <c r="D247" i="10"/>
  <c r="I290" i="10"/>
  <c r="J195" i="10"/>
  <c r="F200" i="10"/>
  <c r="L246" i="10"/>
  <c r="K292" i="10"/>
  <c r="G287" i="10"/>
  <c r="E286" i="10"/>
  <c r="L242" i="10"/>
  <c r="F194" i="10"/>
  <c r="L287" i="10"/>
  <c r="L195" i="10"/>
  <c r="I282" i="10"/>
  <c r="F203" i="10"/>
  <c r="J198" i="10"/>
  <c r="D203" i="10"/>
  <c r="I284" i="10"/>
  <c r="D245" i="10"/>
  <c r="K197" i="10"/>
  <c r="H290" i="10"/>
  <c r="I288" i="10"/>
  <c r="G242" i="10"/>
  <c r="H244" i="10"/>
  <c r="H245" i="10"/>
  <c r="I287" i="10"/>
  <c r="H198" i="10"/>
  <c r="H289" i="10"/>
  <c r="F59" i="18"/>
  <c r="E59" i="18"/>
  <c r="D59" i="18"/>
  <c r="D203" i="25"/>
  <c r="D86" i="25"/>
  <c r="D104" i="25"/>
  <c r="D115" i="25"/>
  <c r="D172" i="25"/>
  <c r="D98" i="25"/>
  <c r="D161" i="25"/>
  <c r="D289" i="25"/>
  <c r="D79" i="25"/>
  <c r="D167" i="25"/>
  <c r="D271" i="25"/>
  <c r="D254" i="25"/>
  <c r="D208" i="25"/>
  <c r="D110" i="25"/>
  <c r="D116" i="25"/>
  <c r="D197" i="25"/>
  <c r="D209" i="25"/>
  <c r="D253" i="25"/>
  <c r="D283" i="25"/>
  <c r="D202" i="25"/>
  <c r="D272" i="25"/>
  <c r="D166" i="25"/>
  <c r="D260" i="25"/>
  <c r="D92" i="25"/>
  <c r="D85" i="25"/>
  <c r="D190" i="25"/>
  <c r="D185" i="25"/>
  <c r="D128" i="25"/>
  <c r="D109" i="25"/>
  <c r="D178" i="25"/>
  <c r="D160" i="25"/>
  <c r="D247" i="25"/>
  <c r="D284" i="25"/>
  <c r="D91" i="25"/>
  <c r="D242" i="25"/>
  <c r="D266" i="25"/>
  <c r="D248" i="25"/>
  <c r="D278" i="25"/>
  <c r="D196" i="25"/>
  <c r="D259" i="25"/>
  <c r="D127" i="25"/>
  <c r="D97" i="25"/>
  <c r="D184" i="25"/>
  <c r="D277" i="25"/>
  <c r="D80" i="25"/>
  <c r="D173" i="25"/>
  <c r="D290" i="25"/>
  <c r="D103" i="25"/>
  <c r="D241" i="25"/>
  <c r="D122" i="25"/>
  <c r="D191" i="25"/>
  <c r="D179" i="25"/>
  <c r="D121" i="25"/>
  <c r="D265" i="25"/>
  <c r="O255" i="25"/>
  <c r="O162" i="25"/>
  <c r="O285" i="25"/>
  <c r="O291" i="25"/>
  <c r="O198" i="25"/>
  <c r="O267" i="25"/>
  <c r="O186" i="25"/>
  <c r="O105" i="25"/>
  <c r="O204" i="25"/>
  <c r="O168" i="25"/>
  <c r="O273" i="25"/>
  <c r="O87" i="25"/>
  <c r="O129" i="25"/>
  <c r="O249" i="25"/>
  <c r="O99" i="25"/>
  <c r="O210" i="25"/>
  <c r="O123" i="25"/>
  <c r="O180" i="25"/>
  <c r="O117" i="25"/>
  <c r="O192" i="25"/>
  <c r="O81" i="25"/>
  <c r="O174" i="25"/>
  <c r="O243" i="25"/>
  <c r="O279" i="25"/>
  <c r="O111" i="25"/>
  <c r="O93" i="25"/>
  <c r="O261" i="25"/>
  <c r="N123" i="25"/>
  <c r="N99" i="25"/>
  <c r="N168" i="25"/>
  <c r="N291" i="25"/>
  <c r="N192" i="25"/>
  <c r="N267" i="25"/>
  <c r="N204" i="25"/>
  <c r="N93" i="25"/>
  <c r="N129" i="25"/>
  <c r="N174" i="25"/>
  <c r="N186" i="25"/>
  <c r="N261" i="25"/>
  <c r="N243" i="25"/>
  <c r="N285" i="25"/>
  <c r="N180" i="25"/>
  <c r="N210" i="25"/>
  <c r="N255" i="25"/>
  <c r="N249" i="25"/>
  <c r="N279" i="25"/>
  <c r="N162" i="25"/>
  <c r="N198" i="25"/>
  <c r="N111" i="25"/>
  <c r="N117" i="25"/>
  <c r="N105" i="25"/>
  <c r="N87" i="25"/>
  <c r="N273" i="25"/>
  <c r="N81" i="25"/>
  <c r="M87" i="25"/>
  <c r="M93" i="25"/>
  <c r="M243" i="25"/>
  <c r="M168" i="25"/>
  <c r="M192" i="25"/>
  <c r="M117" i="25"/>
  <c r="M204" i="25"/>
  <c r="M180" i="25"/>
  <c r="M273" i="25"/>
  <c r="M255" i="25"/>
  <c r="M105" i="25"/>
  <c r="M186" i="25"/>
  <c r="M267" i="25"/>
  <c r="M129" i="25"/>
  <c r="M123" i="25"/>
  <c r="M99" i="25"/>
  <c r="M162" i="25"/>
  <c r="M285" i="25"/>
  <c r="M291" i="25"/>
  <c r="M81" i="25"/>
  <c r="M261" i="25"/>
  <c r="M174" i="25"/>
  <c r="M279" i="25"/>
  <c r="M198" i="25"/>
  <c r="M210" i="25"/>
  <c r="M111" i="25"/>
  <c r="M249" i="25"/>
  <c r="L117" i="25"/>
  <c r="L279" i="25"/>
  <c r="L285" i="25"/>
  <c r="L87" i="25"/>
  <c r="L210" i="25"/>
  <c r="L180" i="25"/>
  <c r="L168" i="25"/>
  <c r="L204" i="25"/>
  <c r="L261" i="25"/>
  <c r="L249" i="25"/>
  <c r="L123" i="25"/>
  <c r="L243" i="25"/>
  <c r="L192" i="25"/>
  <c r="L267" i="25"/>
  <c r="L198" i="25"/>
  <c r="L129" i="25"/>
  <c r="L291" i="25"/>
  <c r="L93" i="25"/>
  <c r="L186" i="25"/>
  <c r="L99" i="25"/>
  <c r="L174" i="25"/>
  <c r="L111" i="25"/>
  <c r="L81" i="25"/>
  <c r="L105" i="25"/>
  <c r="L273" i="25"/>
  <c r="L255" i="25"/>
  <c r="L162" i="25"/>
  <c r="K210" i="25"/>
  <c r="K87" i="25"/>
  <c r="K117" i="25"/>
  <c r="K174" i="25"/>
  <c r="K255" i="25"/>
  <c r="K243" i="25"/>
  <c r="K105" i="25"/>
  <c r="K111" i="25"/>
  <c r="K285" i="25"/>
  <c r="K81" i="25"/>
  <c r="K198" i="25"/>
  <c r="K186" i="25"/>
  <c r="K261" i="25"/>
  <c r="K180" i="25"/>
  <c r="K192" i="25"/>
  <c r="K273" i="25"/>
  <c r="K279" i="25"/>
  <c r="K129" i="25"/>
  <c r="K267" i="25"/>
  <c r="K99" i="25"/>
  <c r="K93" i="25"/>
  <c r="K291" i="25"/>
  <c r="K123" i="25"/>
  <c r="K204" i="25"/>
  <c r="K249" i="25"/>
  <c r="K168" i="25"/>
  <c r="K162" i="25"/>
  <c r="J87" i="25"/>
  <c r="J93" i="25"/>
  <c r="J180" i="25"/>
  <c r="J249" i="25"/>
  <c r="J129" i="25"/>
  <c r="J279" i="25"/>
  <c r="J168" i="25"/>
  <c r="J174" i="25"/>
  <c r="J186" i="25"/>
  <c r="J273" i="25"/>
  <c r="J117" i="25"/>
  <c r="J243" i="25"/>
  <c r="J291" i="25"/>
  <c r="J255" i="25"/>
  <c r="J81" i="25"/>
  <c r="J192" i="25"/>
  <c r="J123" i="25"/>
  <c r="J285" i="25"/>
  <c r="J267" i="25"/>
  <c r="J111" i="25"/>
  <c r="J204" i="25"/>
  <c r="J162" i="25"/>
  <c r="J105" i="25"/>
  <c r="J261" i="25"/>
  <c r="J210" i="25"/>
  <c r="J198" i="25"/>
  <c r="J99" i="25"/>
  <c r="I99" i="25"/>
  <c r="I129" i="25"/>
  <c r="I267" i="25"/>
  <c r="I93" i="25"/>
  <c r="I162" i="25"/>
  <c r="I285" i="25"/>
  <c r="I261" i="25"/>
  <c r="I174" i="25"/>
  <c r="I81" i="25"/>
  <c r="I117" i="25"/>
  <c r="I291" i="25"/>
  <c r="I105" i="25"/>
  <c r="I123" i="25"/>
  <c r="I249" i="25"/>
  <c r="I180" i="25"/>
  <c r="I243" i="25"/>
  <c r="I192" i="25"/>
  <c r="I255" i="25"/>
  <c r="I198" i="25"/>
  <c r="I111" i="25"/>
  <c r="I210" i="25"/>
  <c r="I273" i="25"/>
  <c r="I168" i="25"/>
  <c r="I279" i="25"/>
  <c r="I204" i="25"/>
  <c r="I87" i="25"/>
  <c r="I186" i="25"/>
  <c r="H111" i="25"/>
  <c r="H81" i="25"/>
  <c r="H186" i="25"/>
  <c r="H162" i="25"/>
  <c r="H168" i="25"/>
  <c r="H192" i="25"/>
  <c r="H129" i="25"/>
  <c r="H267" i="25"/>
  <c r="H180" i="25"/>
  <c r="H210" i="25"/>
  <c r="H273" i="25"/>
  <c r="H198" i="25"/>
  <c r="H204" i="25"/>
  <c r="H174" i="25"/>
  <c r="H123" i="25"/>
  <c r="H243" i="25"/>
  <c r="H99" i="25"/>
  <c r="H291" i="25"/>
  <c r="H285" i="25"/>
  <c r="H261" i="25"/>
  <c r="H105" i="25"/>
  <c r="H249" i="25"/>
  <c r="H279" i="25"/>
  <c r="H255" i="25"/>
  <c r="H93" i="25"/>
  <c r="H117" i="25"/>
  <c r="H87" i="25"/>
  <c r="G87" i="25"/>
  <c r="G204" i="25"/>
  <c r="G261" i="25"/>
  <c r="G243" i="25"/>
  <c r="G123" i="25"/>
  <c r="G273" i="25"/>
  <c r="G180" i="25"/>
  <c r="G117" i="25"/>
  <c r="G267" i="25"/>
  <c r="G174" i="25"/>
  <c r="G285" i="25"/>
  <c r="G111" i="25"/>
  <c r="G198" i="25"/>
  <c r="G105" i="25"/>
  <c r="G168" i="25"/>
  <c r="G192" i="25"/>
  <c r="G162" i="25"/>
  <c r="G279" i="25"/>
  <c r="G93" i="25"/>
  <c r="G255" i="25"/>
  <c r="G249" i="25"/>
  <c r="G186" i="25"/>
  <c r="G99" i="25"/>
  <c r="G81" i="25"/>
  <c r="G129" i="25"/>
  <c r="G210" i="25"/>
  <c r="G291" i="25"/>
  <c r="F204" i="25"/>
  <c r="F285" i="25"/>
  <c r="F198" i="25"/>
  <c r="F186" i="25"/>
  <c r="F81" i="25"/>
  <c r="F249" i="25"/>
  <c r="F174" i="25"/>
  <c r="F267" i="25"/>
  <c r="F243" i="25"/>
  <c r="F261" i="25"/>
  <c r="F87" i="25"/>
  <c r="F111" i="25"/>
  <c r="F255" i="25"/>
  <c r="F123" i="25"/>
  <c r="F129" i="25"/>
  <c r="F168" i="25"/>
  <c r="F273" i="25"/>
  <c r="F105" i="25"/>
  <c r="F192" i="25"/>
  <c r="F291" i="25"/>
  <c r="F99" i="25"/>
  <c r="F162" i="25"/>
  <c r="F180" i="25"/>
  <c r="F279" i="25"/>
  <c r="F210" i="25"/>
  <c r="F117" i="25"/>
  <c r="F93" i="25"/>
  <c r="E111" i="25"/>
  <c r="E198" i="25"/>
  <c r="E249" i="25"/>
  <c r="E180" i="25"/>
  <c r="E81" i="25"/>
  <c r="E273" i="25"/>
  <c r="E117" i="25"/>
  <c r="E204" i="25"/>
  <c r="E186" i="25"/>
  <c r="E87" i="25"/>
  <c r="E129" i="25"/>
  <c r="E93" i="25"/>
  <c r="E174" i="25"/>
  <c r="E210" i="25"/>
  <c r="E162" i="25"/>
  <c r="E105" i="25"/>
  <c r="E291" i="25"/>
  <c r="E267" i="25"/>
  <c r="E192" i="25"/>
  <c r="E261" i="25"/>
  <c r="E243" i="25"/>
  <c r="E168" i="25"/>
  <c r="E99" i="25"/>
  <c r="E123" i="25"/>
  <c r="E285" i="25"/>
  <c r="E279" i="25"/>
  <c r="E255" i="25"/>
  <c r="D192" i="25"/>
  <c r="D93" i="25"/>
  <c r="D105" i="25"/>
  <c r="D162" i="25"/>
  <c r="D249" i="25"/>
  <c r="D243" i="25"/>
  <c r="D267" i="25"/>
  <c r="D186" i="25"/>
  <c r="D285" i="25"/>
  <c r="D261" i="25"/>
  <c r="D99" i="25"/>
  <c r="D180" i="25"/>
  <c r="D210" i="25"/>
  <c r="D87" i="25"/>
  <c r="D117" i="25"/>
  <c r="D81" i="25"/>
  <c r="D279" i="25"/>
  <c r="D255" i="25"/>
  <c r="D129" i="25"/>
  <c r="D168" i="25"/>
  <c r="D273" i="25"/>
  <c r="D198" i="25"/>
  <c r="D123" i="25"/>
  <c r="D291" i="25"/>
  <c r="D174" i="25"/>
  <c r="D204" i="25"/>
  <c r="D111" i="25"/>
  <c r="D144" i="25"/>
  <c r="I225" i="25"/>
  <c r="H144" i="25"/>
  <c r="L144" i="25"/>
  <c r="F225" i="25"/>
  <c r="G144" i="25"/>
  <c r="M144" i="25"/>
  <c r="E144" i="25"/>
  <c r="O144" i="25"/>
  <c r="H225" i="25"/>
  <c r="D306" i="25"/>
  <c r="L225" i="25"/>
  <c r="J306" i="25"/>
  <c r="F144" i="25"/>
  <c r="M306" i="25"/>
  <c r="H306" i="25"/>
  <c r="O306" i="25"/>
  <c r="G225" i="25"/>
  <c r="L306" i="25"/>
  <c r="N225" i="25"/>
  <c r="E225" i="25"/>
  <c r="I144" i="25"/>
  <c r="K225" i="25"/>
  <c r="D225" i="25"/>
  <c r="M225" i="25"/>
  <c r="E306" i="25"/>
  <c r="N144" i="25"/>
  <c r="I306" i="25"/>
  <c r="K144" i="25"/>
  <c r="N306" i="25"/>
  <c r="J225" i="25"/>
  <c r="O225" i="25"/>
  <c r="K306" i="25"/>
  <c r="J144" i="25"/>
  <c r="F306" i="25"/>
  <c r="G306" i="25"/>
  <c r="G293" i="25" l="1"/>
  <c r="G292" i="25"/>
  <c r="L106" i="25"/>
  <c r="L107" i="25"/>
  <c r="K95" i="25"/>
  <c r="K94" i="25"/>
  <c r="I188" i="25"/>
  <c r="I187" i="25"/>
  <c r="K164" i="25"/>
  <c r="K163" i="25"/>
  <c r="L164" i="25"/>
  <c r="L163" i="25"/>
  <c r="D125" i="25"/>
  <c r="D124" i="25"/>
  <c r="P123" i="25"/>
  <c r="D200" i="25"/>
  <c r="D199" i="25"/>
  <c r="P198" i="25"/>
  <c r="O280" i="25"/>
  <c r="O281" i="25"/>
  <c r="H331" i="10"/>
  <c r="F146" i="25"/>
  <c r="E170" i="25"/>
  <c r="E169" i="25"/>
  <c r="G251" i="25"/>
  <c r="G250" i="25"/>
  <c r="I82" i="25"/>
  <c r="I83" i="25"/>
  <c r="J100" i="25"/>
  <c r="J101" i="25"/>
  <c r="L256" i="25"/>
  <c r="L257" i="25"/>
  <c r="N83" i="25"/>
  <c r="N82" i="25"/>
  <c r="H306" i="10"/>
  <c r="I329" i="10"/>
  <c r="G212" i="25"/>
  <c r="G211" i="25"/>
  <c r="J212" i="25"/>
  <c r="J211" i="25"/>
  <c r="F182" i="25"/>
  <c r="F181" i="25"/>
  <c r="H211" i="25"/>
  <c r="H212" i="25"/>
  <c r="N106" i="25"/>
  <c r="N107" i="25"/>
  <c r="H88" i="25"/>
  <c r="H89" i="25"/>
  <c r="E245" i="25"/>
  <c r="E244" i="25"/>
  <c r="H320" i="10"/>
  <c r="G308" i="25"/>
  <c r="D212" i="25"/>
  <c r="P210" i="25"/>
  <c r="D211" i="25"/>
  <c r="F94" i="25"/>
  <c r="F95" i="25"/>
  <c r="H182" i="25"/>
  <c r="H181" i="25"/>
  <c r="I211" i="25"/>
  <c r="I212" i="25"/>
  <c r="K100" i="25"/>
  <c r="K101" i="25"/>
  <c r="M250" i="25"/>
  <c r="M251" i="25"/>
  <c r="O262" i="25"/>
  <c r="O263" i="25"/>
  <c r="H319" i="10"/>
  <c r="G317" i="10"/>
  <c r="I330" i="10"/>
  <c r="H332" i="10"/>
  <c r="K305" i="10"/>
  <c r="C245" i="10"/>
  <c r="D320" i="10"/>
  <c r="I326" i="10"/>
  <c r="C203" i="10"/>
  <c r="D311" i="10"/>
  <c r="J308" i="25"/>
  <c r="D113" i="25"/>
  <c r="P111" i="25"/>
  <c r="D112" i="25"/>
  <c r="E257" i="25"/>
  <c r="E256" i="25"/>
  <c r="F164" i="25"/>
  <c r="F163" i="25"/>
  <c r="G131" i="25"/>
  <c r="G130" i="25"/>
  <c r="H119" i="25"/>
  <c r="H118" i="25"/>
  <c r="I88" i="25"/>
  <c r="I89" i="25"/>
  <c r="J199" i="25"/>
  <c r="J200" i="25"/>
  <c r="K268" i="25"/>
  <c r="K269" i="25"/>
  <c r="L83" i="25"/>
  <c r="L82" i="25"/>
  <c r="M199" i="25"/>
  <c r="M200" i="25"/>
  <c r="M113" i="25"/>
  <c r="M112" i="25"/>
  <c r="N119" i="25"/>
  <c r="N118" i="25"/>
  <c r="O106" i="25"/>
  <c r="O107" i="25"/>
  <c r="J306" i="10"/>
  <c r="F311" i="10"/>
  <c r="I324" i="10"/>
  <c r="I295" i="10"/>
  <c r="I296" i="10" s="1"/>
  <c r="F302" i="10"/>
  <c r="E328" i="10"/>
  <c r="G329" i="10"/>
  <c r="K334" i="10"/>
  <c r="F308" i="10"/>
  <c r="J303" i="10"/>
  <c r="I332" i="10"/>
  <c r="C247" i="10"/>
  <c r="D322" i="10"/>
  <c r="C193" i="10"/>
  <c r="D301" i="10"/>
  <c r="L227" i="25"/>
  <c r="D275" i="25"/>
  <c r="P273" i="25"/>
  <c r="D274" i="25"/>
  <c r="D276" i="25" s="1"/>
  <c r="E188" i="25"/>
  <c r="E187" i="25"/>
  <c r="F263" i="25"/>
  <c r="F262" i="25"/>
  <c r="F101" i="25"/>
  <c r="F100" i="25"/>
  <c r="G83" i="25"/>
  <c r="G82" i="25"/>
  <c r="H250" i="25"/>
  <c r="H251" i="25"/>
  <c r="I206" i="25"/>
  <c r="I205" i="25"/>
  <c r="J263" i="25"/>
  <c r="J262" i="25"/>
  <c r="K131" i="25"/>
  <c r="K130" i="25"/>
  <c r="L182" i="25"/>
  <c r="L181" i="25"/>
  <c r="M281" i="25"/>
  <c r="M280" i="25"/>
  <c r="N113" i="25"/>
  <c r="N112" i="25"/>
  <c r="N275" i="25"/>
  <c r="N274" i="25"/>
  <c r="O245" i="25"/>
  <c r="O244" i="25"/>
  <c r="G314" i="10"/>
  <c r="D323" i="10"/>
  <c r="C248" i="10"/>
  <c r="E316" i="10"/>
  <c r="K326" i="10"/>
  <c r="F331" i="10"/>
  <c r="D328" i="10"/>
  <c r="C286" i="10"/>
  <c r="I320" i="10"/>
  <c r="I319" i="10"/>
  <c r="C242" i="10"/>
  <c r="D317" i="10"/>
  <c r="J326" i="10"/>
  <c r="D312" i="10"/>
  <c r="D250" i="10"/>
  <c r="D251" i="10" s="1"/>
  <c r="C237" i="10"/>
  <c r="F321" i="10"/>
  <c r="J325" i="10"/>
  <c r="G332" i="10"/>
  <c r="P306" i="25"/>
  <c r="D308" i="25"/>
  <c r="F308" i="25"/>
  <c r="D206" i="25"/>
  <c r="P204" i="25"/>
  <c r="D205" i="25"/>
  <c r="E280" i="25"/>
  <c r="E281" i="25"/>
  <c r="F293" i="25"/>
  <c r="F292" i="25"/>
  <c r="G256" i="25"/>
  <c r="G257" i="25"/>
  <c r="H107" i="25"/>
  <c r="H106" i="25"/>
  <c r="I113" i="25"/>
  <c r="I112" i="25"/>
  <c r="J106" i="25"/>
  <c r="J107" i="25"/>
  <c r="J176" i="25"/>
  <c r="J175" i="25"/>
  <c r="K169" i="25"/>
  <c r="K170" i="25"/>
  <c r="L274" i="25"/>
  <c r="L275" i="25"/>
  <c r="M274" i="25"/>
  <c r="M275" i="25"/>
  <c r="N200" i="25"/>
  <c r="N199" i="25"/>
  <c r="O176" i="25"/>
  <c r="O175" i="25"/>
  <c r="J76" i="19"/>
  <c r="J250" i="10"/>
  <c r="J251" i="10" s="1"/>
  <c r="J312" i="10"/>
  <c r="G328" i="10"/>
  <c r="F323" i="10"/>
  <c r="H321" i="10"/>
  <c r="J322" i="10"/>
  <c r="K331" i="10"/>
  <c r="F329" i="10"/>
  <c r="F305" i="10"/>
  <c r="J334" i="10"/>
  <c r="G316" i="10"/>
  <c r="I333" i="10"/>
  <c r="F309" i="10"/>
  <c r="E262" i="25"/>
  <c r="E263" i="25"/>
  <c r="H262" i="25"/>
  <c r="H263" i="25"/>
  <c r="J163" i="25"/>
  <c r="J164" i="25"/>
  <c r="K250" i="25"/>
  <c r="K251" i="25"/>
  <c r="L113" i="25"/>
  <c r="L112" i="25"/>
  <c r="M211" i="25"/>
  <c r="M212" i="25"/>
  <c r="N89" i="25"/>
  <c r="N88" i="25"/>
  <c r="O82" i="25"/>
  <c r="O83" i="25"/>
  <c r="H61" i="19"/>
  <c r="J333" i="10"/>
  <c r="E309" i="10"/>
  <c r="C246" i="10"/>
  <c r="D321" i="10"/>
  <c r="K316" i="10"/>
  <c r="H315" i="10"/>
  <c r="E312" i="10"/>
  <c r="E250" i="10"/>
  <c r="E251" i="10" s="1"/>
  <c r="J323" i="10"/>
  <c r="K314" i="10"/>
  <c r="H323" i="10"/>
  <c r="I302" i="10"/>
  <c r="E330" i="10"/>
  <c r="J304" i="10"/>
  <c r="J146" i="25"/>
  <c r="J170" i="25"/>
  <c r="J169" i="25"/>
  <c r="K308" i="25"/>
  <c r="H227" i="25"/>
  <c r="D176" i="25"/>
  <c r="D175" i="25"/>
  <c r="P174" i="25"/>
  <c r="E193" i="25"/>
  <c r="E194" i="25"/>
  <c r="F119" i="25"/>
  <c r="F118" i="25"/>
  <c r="G95" i="25"/>
  <c r="G94" i="25"/>
  <c r="H95" i="25"/>
  <c r="H94" i="25"/>
  <c r="I280" i="25"/>
  <c r="I281" i="25"/>
  <c r="J206" i="25"/>
  <c r="J205" i="25"/>
  <c r="K113" i="25"/>
  <c r="K112" i="25"/>
  <c r="M181" i="25"/>
  <c r="M182" i="25"/>
  <c r="O194" i="25"/>
  <c r="O193" i="25"/>
  <c r="J315" i="10"/>
  <c r="E311" i="10"/>
  <c r="I334" i="10"/>
  <c r="D307" i="10"/>
  <c r="C199" i="10"/>
  <c r="K335" i="10"/>
  <c r="J330" i="10"/>
  <c r="G334" i="10"/>
  <c r="I170" i="25"/>
  <c r="I169" i="25"/>
  <c r="O227" i="25"/>
  <c r="E287" i="25"/>
  <c r="E286" i="25"/>
  <c r="G100" i="25"/>
  <c r="G101" i="25"/>
  <c r="I200" i="25"/>
  <c r="I199" i="25"/>
  <c r="K205" i="25"/>
  <c r="K206" i="25"/>
  <c r="L176" i="25"/>
  <c r="L175" i="25"/>
  <c r="N164" i="25"/>
  <c r="N163" i="25"/>
  <c r="G61" i="19"/>
  <c r="E334" i="10"/>
  <c r="H311" i="10"/>
  <c r="I304" i="10"/>
  <c r="K301" i="10"/>
  <c r="G335" i="10"/>
  <c r="G303" i="10"/>
  <c r="K327" i="10"/>
  <c r="D169" i="25"/>
  <c r="P168" i="25"/>
  <c r="D170" i="25"/>
  <c r="D131" i="25"/>
  <c r="P129" i="25"/>
  <c r="D130" i="25"/>
  <c r="H257" i="25"/>
  <c r="H256" i="25"/>
  <c r="K281" i="25"/>
  <c r="K280" i="25"/>
  <c r="O118" i="25"/>
  <c r="O119" i="25"/>
  <c r="D313" i="10"/>
  <c r="C238" i="10"/>
  <c r="H309" i="10"/>
  <c r="J335" i="10"/>
  <c r="F328" i="10"/>
  <c r="J227" i="25"/>
  <c r="F212" i="25"/>
  <c r="F211" i="25"/>
  <c r="J112" i="25"/>
  <c r="J113" i="25"/>
  <c r="M176" i="25"/>
  <c r="M175" i="25"/>
  <c r="H324" i="10"/>
  <c r="H295" i="10"/>
  <c r="H296" i="10" s="1"/>
  <c r="E307" i="10"/>
  <c r="C293" i="10"/>
  <c r="D335" i="10"/>
  <c r="N308" i="25"/>
  <c r="F193" i="25"/>
  <c r="F194" i="25"/>
  <c r="J269" i="25"/>
  <c r="J268" i="25"/>
  <c r="M205" i="25"/>
  <c r="M206" i="25"/>
  <c r="I323" i="10"/>
  <c r="G333" i="10"/>
  <c r="D326" i="10"/>
  <c r="C284" i="10"/>
  <c r="K146" i="25"/>
  <c r="G187" i="25"/>
  <c r="G188" i="25"/>
  <c r="J286" i="25"/>
  <c r="J287" i="25"/>
  <c r="N281" i="25"/>
  <c r="N280" i="25"/>
  <c r="F320" i="10"/>
  <c r="H316" i="10"/>
  <c r="I314" i="10"/>
  <c r="H312" i="10"/>
  <c r="H250" i="10"/>
  <c r="H251" i="10" s="1"/>
  <c r="I312" i="10"/>
  <c r="I250" i="10"/>
  <c r="I251" i="10" s="1"/>
  <c r="H325" i="10"/>
  <c r="E324" i="10"/>
  <c r="E295" i="10"/>
  <c r="E296" i="10" s="1"/>
  <c r="K303" i="10"/>
  <c r="E268" i="25"/>
  <c r="E269" i="25"/>
  <c r="M262" i="25"/>
  <c r="M263" i="25"/>
  <c r="F106" i="25"/>
  <c r="F107" i="25"/>
  <c r="I308" i="25"/>
  <c r="N251" i="25"/>
  <c r="N250" i="25"/>
  <c r="E292" i="25"/>
  <c r="E293" i="25"/>
  <c r="O146" i="25"/>
  <c r="M82" i="25"/>
  <c r="M83" i="25"/>
  <c r="I257" i="25"/>
  <c r="I256" i="25"/>
  <c r="O182" i="25"/>
  <c r="O181" i="25"/>
  <c r="E146" i="25"/>
  <c r="M293" i="25"/>
  <c r="M292" i="25"/>
  <c r="I176" i="25"/>
  <c r="I175" i="25"/>
  <c r="J124" i="25"/>
  <c r="J125" i="25"/>
  <c r="E206" i="25"/>
  <c r="E205" i="25"/>
  <c r="I305" i="10"/>
  <c r="N146" i="25"/>
  <c r="D256" i="25"/>
  <c r="D257" i="25"/>
  <c r="P255" i="25"/>
  <c r="E107" i="25"/>
  <c r="E106" i="25"/>
  <c r="E124" i="25"/>
  <c r="E125" i="25"/>
  <c r="F274" i="25"/>
  <c r="F275" i="25"/>
  <c r="G118" i="25"/>
  <c r="G119" i="25"/>
  <c r="H280" i="25"/>
  <c r="H281" i="25"/>
  <c r="I274" i="25"/>
  <c r="I275" i="25"/>
  <c r="J281" i="25"/>
  <c r="J280" i="25"/>
  <c r="K124" i="25"/>
  <c r="K125" i="25"/>
  <c r="L101" i="25"/>
  <c r="L100" i="25"/>
  <c r="M119" i="25"/>
  <c r="M118" i="25"/>
  <c r="M287" i="25"/>
  <c r="M286" i="25"/>
  <c r="N257" i="25"/>
  <c r="N256" i="25"/>
  <c r="O95" i="25"/>
  <c r="O94" i="25"/>
  <c r="K322" i="10"/>
  <c r="E327" i="10"/>
  <c r="J313" i="10"/>
  <c r="E319" i="10"/>
  <c r="E313" i="10"/>
  <c r="K309" i="10"/>
  <c r="F317" i="10"/>
  <c r="H300" i="10"/>
  <c r="H205" i="10"/>
  <c r="H206" i="10" s="1"/>
  <c r="D308" i="10"/>
  <c r="C200" i="10"/>
  <c r="C194" i="10"/>
  <c r="D302" i="10"/>
  <c r="D316" i="10"/>
  <c r="C241" i="10"/>
  <c r="H328" i="10"/>
  <c r="J332" i="10"/>
  <c r="D305" i="10"/>
  <c r="C197" i="10"/>
  <c r="E308" i="25"/>
  <c r="M146" i="25"/>
  <c r="D292" i="25"/>
  <c r="P291" i="25"/>
  <c r="D293" i="25"/>
  <c r="E163" i="25"/>
  <c r="E164" i="25"/>
  <c r="F170" i="25"/>
  <c r="F169" i="25"/>
  <c r="G281" i="25"/>
  <c r="G280" i="25"/>
  <c r="H269" i="25"/>
  <c r="H268" i="25"/>
  <c r="I193" i="25"/>
  <c r="I194" i="25"/>
  <c r="I262" i="25"/>
  <c r="I263" i="25"/>
  <c r="J130" i="25"/>
  <c r="J131" i="25"/>
  <c r="K274" i="25"/>
  <c r="K275" i="25"/>
  <c r="L188" i="25"/>
  <c r="L187" i="25"/>
  <c r="M163" i="25"/>
  <c r="M164" i="25"/>
  <c r="N188" i="25"/>
  <c r="N187" i="25"/>
  <c r="O187" i="25"/>
  <c r="O188" i="25"/>
  <c r="H322" i="10"/>
  <c r="D315" i="10"/>
  <c r="C240" i="10"/>
  <c r="E317" i="10"/>
  <c r="F306" i="10"/>
  <c r="F334" i="10"/>
  <c r="F303" i="10"/>
  <c r="E302" i="10"/>
  <c r="J307" i="10"/>
  <c r="D334" i="10"/>
  <c r="C292" i="10"/>
  <c r="J318" i="10"/>
  <c r="K308" i="10"/>
  <c r="F326" i="10"/>
  <c r="I316" i="10"/>
  <c r="F333" i="10"/>
  <c r="F301" i="10"/>
  <c r="G146" i="25"/>
  <c r="M227" i="25"/>
  <c r="D280" i="25"/>
  <c r="P279" i="25"/>
  <c r="D281" i="25"/>
  <c r="E212" i="25"/>
  <c r="E211" i="25"/>
  <c r="F281" i="25"/>
  <c r="F280" i="25"/>
  <c r="G163" i="25"/>
  <c r="G164" i="25"/>
  <c r="H286" i="25"/>
  <c r="H287" i="25"/>
  <c r="I244" i="25"/>
  <c r="I245" i="25"/>
  <c r="J250" i="25"/>
  <c r="J251" i="25"/>
  <c r="J194" i="25"/>
  <c r="J193" i="25"/>
  <c r="K293" i="25"/>
  <c r="K292" i="25"/>
  <c r="L94" i="25"/>
  <c r="L95" i="25"/>
  <c r="M193" i="25"/>
  <c r="M194" i="25"/>
  <c r="N175" i="25"/>
  <c r="N176" i="25"/>
  <c r="O124" i="25"/>
  <c r="O125" i="25"/>
  <c r="L61" i="19"/>
  <c r="K318" i="10"/>
  <c r="E332" i="10"/>
  <c r="I306" i="10"/>
  <c r="H313" i="10"/>
  <c r="I313" i="10"/>
  <c r="G301" i="10"/>
  <c r="L205" i="10"/>
  <c r="L206" i="10" s="1"/>
  <c r="I309" i="10"/>
  <c r="J324" i="10"/>
  <c r="J295" i="10"/>
  <c r="J296" i="10" s="1"/>
  <c r="F319" i="10"/>
  <c r="F304" i="10"/>
  <c r="E320" i="10"/>
  <c r="G308" i="10"/>
  <c r="P225" i="25"/>
  <c r="D227" i="25"/>
  <c r="D182" i="25"/>
  <c r="P180" i="25"/>
  <c r="D181" i="25"/>
  <c r="D183" i="25" s="1"/>
  <c r="E175" i="25"/>
  <c r="E176" i="25"/>
  <c r="F130" i="25"/>
  <c r="F131" i="25"/>
  <c r="F245" i="25"/>
  <c r="F244" i="25"/>
  <c r="G193" i="25"/>
  <c r="G194" i="25"/>
  <c r="H130" i="25"/>
  <c r="H131" i="25"/>
  <c r="I181" i="25"/>
  <c r="I182" i="25"/>
  <c r="J83" i="25"/>
  <c r="J82" i="25"/>
  <c r="K193" i="25"/>
  <c r="K194" i="25"/>
  <c r="L293" i="25"/>
  <c r="L292" i="25"/>
  <c r="M101" i="25"/>
  <c r="M100" i="25"/>
  <c r="N131" i="25"/>
  <c r="N130" i="25"/>
  <c r="N212" i="25"/>
  <c r="N211" i="25"/>
  <c r="O268" i="25"/>
  <c r="O269" i="25"/>
  <c r="I308" i="10"/>
  <c r="H303" i="10"/>
  <c r="H305" i="10"/>
  <c r="H304" i="10"/>
  <c r="J311" i="10"/>
  <c r="E333" i="10"/>
  <c r="G318" i="10"/>
  <c r="K315" i="10"/>
  <c r="E331" i="10"/>
  <c r="G322" i="10"/>
  <c r="H318" i="10"/>
  <c r="H334" i="10"/>
  <c r="K328" i="10"/>
  <c r="D330" i="10"/>
  <c r="C288" i="10"/>
  <c r="F268" i="25"/>
  <c r="F269" i="25"/>
  <c r="J256" i="25"/>
  <c r="J257" i="25"/>
  <c r="K106" i="25"/>
  <c r="K107" i="25"/>
  <c r="L130" i="25"/>
  <c r="L131" i="25"/>
  <c r="M170" i="25"/>
  <c r="M169" i="25"/>
  <c r="N95" i="25"/>
  <c r="N94" i="25"/>
  <c r="N182" i="25"/>
  <c r="N181" i="25"/>
  <c r="O112" i="25"/>
  <c r="O113" i="25"/>
  <c r="G300" i="10"/>
  <c r="G205" i="10"/>
  <c r="G206" i="10" s="1"/>
  <c r="G302" i="10"/>
  <c r="D325" i="10"/>
  <c r="C283" i="10"/>
  <c r="G311" i="10"/>
  <c r="E322" i="10"/>
  <c r="F332" i="10"/>
  <c r="E310" i="10"/>
  <c r="H308" i="10"/>
  <c r="K332" i="10"/>
  <c r="K317" i="10"/>
  <c r="J305" i="10"/>
  <c r="H317" i="10"/>
  <c r="F335" i="10"/>
  <c r="E100" i="25"/>
  <c r="E101" i="25"/>
  <c r="F227" i="25"/>
  <c r="P99" i="25"/>
  <c r="D100" i="25"/>
  <c r="D101" i="25"/>
  <c r="E119" i="25"/>
  <c r="E118" i="25"/>
  <c r="F176" i="25"/>
  <c r="F175" i="25"/>
  <c r="G170" i="25"/>
  <c r="G169" i="25"/>
  <c r="G181" i="25"/>
  <c r="G182" i="25"/>
  <c r="H292" i="25"/>
  <c r="H293" i="25"/>
  <c r="I251" i="25"/>
  <c r="I250" i="25"/>
  <c r="K244" i="25"/>
  <c r="K245" i="25"/>
  <c r="L212" i="25"/>
  <c r="L211" i="25"/>
  <c r="N286" i="25"/>
  <c r="N287" i="25"/>
  <c r="L76" i="19"/>
  <c r="K323" i="10"/>
  <c r="H314" i="10"/>
  <c r="F205" i="10"/>
  <c r="F206" i="10" s="1"/>
  <c r="F300" i="10"/>
  <c r="I315" i="10"/>
  <c r="C282" i="10"/>
  <c r="D295" i="10"/>
  <c r="D296" i="10" s="1"/>
  <c r="D324" i="10"/>
  <c r="K310" i="10"/>
  <c r="K205" i="10"/>
  <c r="K206" i="10" s="1"/>
  <c r="K300" i="10"/>
  <c r="F125" i="25"/>
  <c r="F124" i="25"/>
  <c r="K227" i="25"/>
  <c r="D263" i="25"/>
  <c r="P261" i="25"/>
  <c r="D262" i="25"/>
  <c r="F251" i="25"/>
  <c r="F250" i="25"/>
  <c r="H100" i="25"/>
  <c r="H101" i="25"/>
  <c r="J182" i="25"/>
  <c r="J181" i="25"/>
  <c r="K256" i="25"/>
  <c r="K257" i="25"/>
  <c r="M244" i="25"/>
  <c r="M245" i="25"/>
  <c r="O200" i="25"/>
  <c r="O199" i="25"/>
  <c r="I311" i="10"/>
  <c r="D333" i="10"/>
  <c r="C291" i="10"/>
  <c r="I303" i="10"/>
  <c r="C239" i="10"/>
  <c r="D314" i="10"/>
  <c r="E306" i="10"/>
  <c r="H333" i="10"/>
  <c r="K325" i="10"/>
  <c r="E305" i="10"/>
  <c r="H244" i="25"/>
  <c r="H245" i="25"/>
  <c r="I146" i="25"/>
  <c r="F83" i="25"/>
  <c r="F82" i="25"/>
  <c r="J293" i="25"/>
  <c r="J292" i="25"/>
  <c r="M124" i="25"/>
  <c r="M125" i="25"/>
  <c r="J316" i="10"/>
  <c r="H330" i="10"/>
  <c r="G315" i="10"/>
  <c r="E227" i="25"/>
  <c r="D287" i="25"/>
  <c r="D286" i="25"/>
  <c r="P285" i="25"/>
  <c r="H194" i="25"/>
  <c r="H193" i="25"/>
  <c r="L199" i="25"/>
  <c r="L200" i="25"/>
  <c r="O292" i="25"/>
  <c r="O293" i="25"/>
  <c r="F250" i="10"/>
  <c r="F251" i="10" s="1"/>
  <c r="F312" i="10"/>
  <c r="K321" i="10"/>
  <c r="I322" i="10"/>
  <c r="F295" i="10"/>
  <c r="F296" i="10" s="1"/>
  <c r="F324" i="10"/>
  <c r="P186" i="25"/>
  <c r="D187" i="25"/>
  <c r="D188" i="25"/>
  <c r="H124" i="25"/>
  <c r="H125" i="25"/>
  <c r="L269" i="25"/>
  <c r="L268" i="25"/>
  <c r="O212" i="25"/>
  <c r="O211" i="25"/>
  <c r="J320" i="10"/>
  <c r="J328" i="10"/>
  <c r="F316" i="10"/>
  <c r="E326" i="10"/>
  <c r="E275" i="25"/>
  <c r="E274" i="25"/>
  <c r="H169" i="25"/>
  <c r="H170" i="25"/>
  <c r="L193" i="25"/>
  <c r="L194" i="25"/>
  <c r="K330" i="10"/>
  <c r="E308" i="10"/>
  <c r="G323" i="10"/>
  <c r="K295" i="10"/>
  <c r="K296" i="10" s="1"/>
  <c r="K324" i="10"/>
  <c r="J245" i="25"/>
  <c r="J244" i="25"/>
  <c r="K181" i="25"/>
  <c r="K182" i="25"/>
  <c r="L244" i="25"/>
  <c r="L245" i="25"/>
  <c r="M130" i="25"/>
  <c r="M131" i="25"/>
  <c r="N206" i="25"/>
  <c r="N205" i="25"/>
  <c r="O100" i="25"/>
  <c r="O101" i="25"/>
  <c r="O287" i="25"/>
  <c r="O286" i="25"/>
  <c r="I327" i="10"/>
  <c r="J319" i="10"/>
  <c r="G320" i="10"/>
  <c r="F325" i="10"/>
  <c r="E323" i="10"/>
  <c r="E315" i="10"/>
  <c r="D306" i="10"/>
  <c r="C198" i="10"/>
  <c r="J331" i="10"/>
  <c r="F313" i="10"/>
  <c r="H307" i="10"/>
  <c r="G331" i="10"/>
  <c r="E325" i="10"/>
  <c r="L146" i="25"/>
  <c r="G106" i="25"/>
  <c r="G107" i="25"/>
  <c r="N227" i="25"/>
  <c r="P267" i="25"/>
  <c r="D269" i="25"/>
  <c r="D268" i="25"/>
  <c r="E83" i="25"/>
  <c r="E82" i="25"/>
  <c r="F187" i="25"/>
  <c r="F188" i="25"/>
  <c r="G200" i="25"/>
  <c r="G199" i="25"/>
  <c r="G274" i="25"/>
  <c r="G275" i="25"/>
  <c r="H164" i="25"/>
  <c r="H163" i="25"/>
  <c r="I286" i="25"/>
  <c r="I287" i="25"/>
  <c r="J95" i="25"/>
  <c r="J94" i="25"/>
  <c r="K263" i="25"/>
  <c r="K262" i="25"/>
  <c r="L88" i="25"/>
  <c r="L89" i="25"/>
  <c r="M269" i="25"/>
  <c r="M268" i="25"/>
  <c r="N244" i="25"/>
  <c r="N245" i="25"/>
  <c r="O251" i="25"/>
  <c r="O250" i="25"/>
  <c r="O164" i="25"/>
  <c r="O163" i="25"/>
  <c r="C202" i="10"/>
  <c r="D310" i="10"/>
  <c r="J329" i="10"/>
  <c r="I331" i="10"/>
  <c r="D303" i="10"/>
  <c r="C195" i="10"/>
  <c r="K333" i="10"/>
  <c r="E321" i="10"/>
  <c r="G305" i="10"/>
  <c r="H326" i="10"/>
  <c r="E205" i="10"/>
  <c r="E206" i="10" s="1"/>
  <c r="E300" i="10"/>
  <c r="J317" i="10"/>
  <c r="J327" i="10"/>
  <c r="J309" i="10"/>
  <c r="D332" i="10"/>
  <c r="C290" i="10"/>
  <c r="F307" i="10"/>
  <c r="F199" i="25"/>
  <c r="F200" i="25"/>
  <c r="I163" i="25"/>
  <c r="I164" i="25"/>
  <c r="H146" i="25"/>
  <c r="L308" i="25"/>
  <c r="E95" i="25"/>
  <c r="E94" i="25"/>
  <c r="G113" i="25"/>
  <c r="G112" i="25"/>
  <c r="I125" i="25"/>
  <c r="I124" i="25"/>
  <c r="K187" i="25"/>
  <c r="K188" i="25"/>
  <c r="L124" i="25"/>
  <c r="L125" i="25"/>
  <c r="N268" i="25"/>
  <c r="N269" i="25"/>
  <c r="H76" i="19"/>
  <c r="G324" i="10"/>
  <c r="G295" i="10"/>
  <c r="G296" i="10" s="1"/>
  <c r="F327" i="10"/>
  <c r="G326" i="10"/>
  <c r="G307" i="10"/>
  <c r="I301" i="10"/>
  <c r="G286" i="25"/>
  <c r="G287" i="25"/>
  <c r="D244" i="25"/>
  <c r="D245" i="25"/>
  <c r="P243" i="25"/>
  <c r="E130" i="25"/>
  <c r="E131" i="25"/>
  <c r="G125" i="25"/>
  <c r="G124" i="25"/>
  <c r="I95" i="25"/>
  <c r="I94" i="25"/>
  <c r="K199" i="25"/>
  <c r="K200" i="25"/>
  <c r="L286" i="25"/>
  <c r="L287" i="25"/>
  <c r="N193" i="25"/>
  <c r="N194" i="25"/>
  <c r="J61" i="19"/>
  <c r="K302" i="10"/>
  <c r="G304" i="10"/>
  <c r="H327" i="10"/>
  <c r="E314" i="10"/>
  <c r="G321" i="10"/>
  <c r="K306" i="10"/>
  <c r="F315" i="10"/>
  <c r="P249" i="25"/>
  <c r="D250" i="25"/>
  <c r="D251" i="25"/>
  <c r="E182" i="25"/>
  <c r="E181" i="25"/>
  <c r="G244" i="25"/>
  <c r="G245" i="25"/>
  <c r="I106" i="25"/>
  <c r="I107" i="25"/>
  <c r="K83" i="25"/>
  <c r="K82" i="25"/>
  <c r="L250" i="25"/>
  <c r="L251" i="25"/>
  <c r="N293" i="25"/>
  <c r="N292" i="25"/>
  <c r="G306" i="10"/>
  <c r="F310" i="10"/>
  <c r="I328" i="10"/>
  <c r="J302" i="10"/>
  <c r="C285" i="10"/>
  <c r="D327" i="10"/>
  <c r="H329" i="10"/>
  <c r="G227" i="25"/>
  <c r="D83" i="25"/>
  <c r="D82" i="25"/>
  <c r="P81" i="25"/>
  <c r="F287" i="25"/>
  <c r="F286" i="25"/>
  <c r="H187" i="25"/>
  <c r="H188" i="25"/>
  <c r="I292" i="25"/>
  <c r="I293" i="25"/>
  <c r="K175" i="25"/>
  <c r="K176" i="25"/>
  <c r="M94" i="25"/>
  <c r="M95" i="25"/>
  <c r="O131" i="25"/>
  <c r="O130" i="25"/>
  <c r="I325" i="10"/>
  <c r="H302" i="10"/>
  <c r="G325" i="10"/>
  <c r="K319" i="10"/>
  <c r="J314" i="10"/>
  <c r="J310" i="10"/>
  <c r="P162" i="25"/>
  <c r="D164" i="25"/>
  <c r="D163" i="25"/>
  <c r="E251" i="25"/>
  <c r="E250" i="25"/>
  <c r="F205" i="25"/>
  <c r="F206" i="25"/>
  <c r="G262" i="25"/>
  <c r="G263" i="25"/>
  <c r="G176" i="25"/>
  <c r="G175" i="25"/>
  <c r="H176" i="25"/>
  <c r="H175" i="25"/>
  <c r="I119" i="25"/>
  <c r="I118" i="25"/>
  <c r="J118" i="25"/>
  <c r="J119" i="25"/>
  <c r="K286" i="25"/>
  <c r="K287" i="25"/>
  <c r="L263" i="25"/>
  <c r="L262" i="25"/>
  <c r="M89" i="25"/>
  <c r="M88" i="25"/>
  <c r="N170" i="25"/>
  <c r="N169" i="25"/>
  <c r="O257" i="25"/>
  <c r="O256" i="25"/>
  <c r="O89" i="25"/>
  <c r="O88" i="25"/>
  <c r="C201" i="10"/>
  <c r="D309" i="10"/>
  <c r="D331" i="10"/>
  <c r="C289" i="10"/>
  <c r="K313" i="10"/>
  <c r="K304" i="10"/>
  <c r="D205" i="10"/>
  <c r="D206" i="10" s="1"/>
  <c r="C192" i="10"/>
  <c r="D300" i="10"/>
  <c r="H335" i="10"/>
  <c r="G330" i="10"/>
  <c r="F318" i="10"/>
  <c r="E301" i="10"/>
  <c r="C196" i="10"/>
  <c r="D304" i="10"/>
  <c r="L295" i="10"/>
  <c r="L296" i="10" s="1"/>
  <c r="D118" i="25"/>
  <c r="P117" i="25"/>
  <c r="D119" i="25"/>
  <c r="O308" i="25"/>
  <c r="I227" i="25"/>
  <c r="D106" i="25"/>
  <c r="P105" i="25"/>
  <c r="D107" i="25"/>
  <c r="E200" i="25"/>
  <c r="E199" i="25"/>
  <c r="F256" i="25"/>
  <c r="F257" i="25"/>
  <c r="G205" i="25"/>
  <c r="G206" i="25"/>
  <c r="H206" i="25"/>
  <c r="H205" i="25"/>
  <c r="H82" i="25"/>
  <c r="H83" i="25"/>
  <c r="I269" i="25"/>
  <c r="I268" i="25"/>
  <c r="J275" i="25"/>
  <c r="J274" i="25"/>
  <c r="K119" i="25"/>
  <c r="K118" i="25"/>
  <c r="L205" i="25"/>
  <c r="L206" i="25"/>
  <c r="M187" i="25"/>
  <c r="M188" i="25"/>
  <c r="N101" i="25"/>
  <c r="N100" i="25"/>
  <c r="O274" i="25"/>
  <c r="O275" i="25"/>
  <c r="F322" i="10"/>
  <c r="G309" i="10"/>
  <c r="I317" i="10"/>
  <c r="L250" i="10"/>
  <c r="L251" i="10" s="1"/>
  <c r="J301" i="10"/>
  <c r="G310" i="10"/>
  <c r="G319" i="10"/>
  <c r="I205" i="10"/>
  <c r="I206" i="10" s="1"/>
  <c r="I300" i="10"/>
  <c r="J300" i="10"/>
  <c r="J205" i="10"/>
  <c r="J206" i="10" s="1"/>
  <c r="G327" i="10"/>
  <c r="K312" i="10"/>
  <c r="K250" i="10"/>
  <c r="K251" i="10" s="1"/>
  <c r="I321" i="10"/>
  <c r="K311" i="10"/>
  <c r="H308" i="25"/>
  <c r="D146" i="25"/>
  <c r="P144" i="25"/>
  <c r="D94" i="25"/>
  <c r="P93" i="25"/>
  <c r="D95" i="25"/>
  <c r="E89" i="25"/>
  <c r="E88" i="25"/>
  <c r="F113" i="25"/>
  <c r="F112" i="25"/>
  <c r="G268" i="25"/>
  <c r="G269" i="25"/>
  <c r="H200" i="25"/>
  <c r="H199" i="25"/>
  <c r="H113" i="25"/>
  <c r="H112" i="25"/>
  <c r="I131" i="25"/>
  <c r="I130" i="25"/>
  <c r="J88" i="25"/>
  <c r="J89" i="25"/>
  <c r="K89" i="25"/>
  <c r="K88" i="25"/>
  <c r="L280" i="25"/>
  <c r="L281" i="25"/>
  <c r="M107" i="25"/>
  <c r="M106" i="25"/>
  <c r="N263" i="25"/>
  <c r="N262" i="25"/>
  <c r="O170" i="25"/>
  <c r="O169" i="25"/>
  <c r="I335" i="10"/>
  <c r="I307" i="10"/>
  <c r="E318" i="10"/>
  <c r="E304" i="10"/>
  <c r="E335" i="10"/>
  <c r="K307" i="10"/>
  <c r="K329" i="10"/>
  <c r="J308" i="10"/>
  <c r="I318" i="10"/>
  <c r="C243" i="10"/>
  <c r="D318" i="10"/>
  <c r="E329" i="10"/>
  <c r="M308" i="25"/>
  <c r="P192" i="25"/>
  <c r="D193" i="25"/>
  <c r="D194" i="25"/>
  <c r="D89" i="25"/>
  <c r="D88" i="25"/>
  <c r="P87" i="25"/>
  <c r="E113" i="25"/>
  <c r="E112" i="25"/>
  <c r="F88" i="25"/>
  <c r="F89" i="25"/>
  <c r="G88" i="25"/>
  <c r="G89" i="25"/>
  <c r="H275" i="25"/>
  <c r="H274" i="25"/>
  <c r="I101" i="25"/>
  <c r="I100" i="25"/>
  <c r="J188" i="25"/>
  <c r="J187" i="25"/>
  <c r="K212" i="25"/>
  <c r="K211" i="25"/>
  <c r="L169" i="25"/>
  <c r="L170" i="25"/>
  <c r="L119" i="25"/>
  <c r="L118" i="25"/>
  <c r="M257" i="25"/>
  <c r="M256" i="25"/>
  <c r="N124" i="25"/>
  <c r="N125" i="25"/>
  <c r="O206" i="25"/>
  <c r="O205" i="25"/>
  <c r="C287" i="10"/>
  <c r="D329" i="10"/>
  <c r="G312" i="10"/>
  <c r="G250" i="10"/>
  <c r="G251" i="10" s="1"/>
  <c r="J321" i="10"/>
  <c r="I310" i="10"/>
  <c r="G313" i="10"/>
  <c r="H301" i="10"/>
  <c r="F314" i="10"/>
  <c r="F330" i="10"/>
  <c r="D319" i="10"/>
  <c r="C244" i="10"/>
  <c r="K320" i="10"/>
  <c r="E303" i="10"/>
  <c r="H310" i="10"/>
  <c r="L334" i="10"/>
  <c r="I224" i="27"/>
  <c r="L326" i="10"/>
  <c r="L331" i="10"/>
  <c r="L316" i="10"/>
  <c r="J224" i="27"/>
  <c r="L327" i="10"/>
  <c r="L303" i="10"/>
  <c r="F224" i="27"/>
  <c r="L309" i="10"/>
  <c r="L318" i="10"/>
  <c r="L315" i="10"/>
  <c r="L332" i="10"/>
  <c r="L323" i="10"/>
  <c r="L310" i="10"/>
  <c r="L300" i="10"/>
  <c r="L330" i="10"/>
  <c r="L324" i="10"/>
  <c r="E224" i="27"/>
  <c r="M224" i="27"/>
  <c r="L302" i="10"/>
  <c r="L319" i="10"/>
  <c r="L313" i="10"/>
  <c r="H224" i="27"/>
  <c r="L312" i="10"/>
  <c r="L329" i="10"/>
  <c r="F221" i="27"/>
  <c r="E221" i="27"/>
  <c r="I221" i="27"/>
  <c r="C224" i="27"/>
  <c r="L305" i="10"/>
  <c r="K224" i="27"/>
  <c r="L314" i="10"/>
  <c r="L335" i="10"/>
  <c r="L224" i="27"/>
  <c r="L322" i="10"/>
  <c r="L308" i="10"/>
  <c r="L328" i="10"/>
  <c r="L317" i="10"/>
  <c r="G224" i="27"/>
  <c r="L325" i="10"/>
  <c r="D224" i="27"/>
  <c r="L321" i="10"/>
  <c r="L333" i="10"/>
  <c r="L301" i="10"/>
  <c r="L306" i="10"/>
  <c r="L304" i="10"/>
  <c r="N224" i="27"/>
  <c r="L311" i="10"/>
  <c r="L307" i="10"/>
  <c r="L320" i="10"/>
  <c r="D114" i="25" l="1"/>
  <c r="D132" i="25"/>
  <c r="D207" i="25"/>
  <c r="D96" i="25"/>
  <c r="D213" i="25"/>
  <c r="D108" i="25"/>
  <c r="O294" i="25"/>
  <c r="L134" i="25"/>
  <c r="L171" i="25"/>
  <c r="K213" i="25"/>
  <c r="J189" i="25"/>
  <c r="I102" i="25"/>
  <c r="H276" i="25"/>
  <c r="G90" i="25"/>
  <c r="F90" i="25"/>
  <c r="E134" i="25"/>
  <c r="D90" i="25"/>
  <c r="D195" i="25"/>
  <c r="O171" i="25"/>
  <c r="N264" i="25"/>
  <c r="P107" i="25"/>
  <c r="L282" i="25"/>
  <c r="K90" i="25"/>
  <c r="J134" i="25"/>
  <c r="H114" i="25"/>
  <c r="H201" i="25"/>
  <c r="F114" i="25"/>
  <c r="E90" i="25"/>
  <c r="O276" i="25"/>
  <c r="N102" i="25"/>
  <c r="L207" i="25"/>
  <c r="K120" i="25"/>
  <c r="J276" i="25"/>
  <c r="H84" i="25"/>
  <c r="H207" i="25"/>
  <c r="F258" i="25"/>
  <c r="E201" i="25"/>
  <c r="O90" i="25"/>
  <c r="N216" i="25"/>
  <c r="K296" i="25"/>
  <c r="J120" i="25"/>
  <c r="F207" i="25"/>
  <c r="P251" i="25"/>
  <c r="O134" i="25"/>
  <c r="K216" i="25"/>
  <c r="I294" i="25"/>
  <c r="H189" i="25"/>
  <c r="N294" i="25"/>
  <c r="L252" i="25"/>
  <c r="K84" i="25"/>
  <c r="I108" i="25"/>
  <c r="D252" i="25"/>
  <c r="N195" i="25"/>
  <c r="L288" i="25"/>
  <c r="K201" i="25"/>
  <c r="E132" i="25"/>
  <c r="D246" i="25"/>
  <c r="L126" i="25"/>
  <c r="K189" i="25"/>
  <c r="I126" i="25"/>
  <c r="E96" i="25"/>
  <c r="I216" i="25"/>
  <c r="O165" i="25"/>
  <c r="O252" i="25"/>
  <c r="N246" i="25"/>
  <c r="L90" i="25"/>
  <c r="J96" i="25"/>
  <c r="H165" i="25"/>
  <c r="F189" i="25"/>
  <c r="E84" i="25"/>
  <c r="D270" i="25"/>
  <c r="O288" i="25"/>
  <c r="N207" i="25"/>
  <c r="K183" i="25"/>
  <c r="J246" i="25"/>
  <c r="L195" i="25"/>
  <c r="H171" i="25"/>
  <c r="E276" i="25"/>
  <c r="O213" i="25"/>
  <c r="L270" i="25"/>
  <c r="H126" i="25"/>
  <c r="D189" i="25"/>
  <c r="H195" i="25"/>
  <c r="J294" i="25"/>
  <c r="F84" i="25"/>
  <c r="H246" i="25"/>
  <c r="O201" i="25"/>
  <c r="J183" i="25"/>
  <c r="F252" i="25"/>
  <c r="F126" i="25"/>
  <c r="L213" i="25"/>
  <c r="I252" i="25"/>
  <c r="H294" i="25"/>
  <c r="F177" i="25"/>
  <c r="E120" i="25"/>
  <c r="N183" i="25"/>
  <c r="N96" i="25"/>
  <c r="J258" i="25"/>
  <c r="F270" i="25"/>
  <c r="N213" i="25"/>
  <c r="N132" i="25"/>
  <c r="J84" i="25"/>
  <c r="F246" i="25"/>
  <c r="J252" i="25"/>
  <c r="F282" i="25"/>
  <c r="E213" i="25"/>
  <c r="N189" i="25"/>
  <c r="L189" i="25"/>
  <c r="J132" i="25"/>
  <c r="H270" i="25"/>
  <c r="E165" i="25"/>
  <c r="N282" i="25"/>
  <c r="J288" i="25"/>
  <c r="J270" i="25"/>
  <c r="F195" i="25"/>
  <c r="J114" i="25"/>
  <c r="O120" i="25"/>
  <c r="H258" i="25"/>
  <c r="I201" i="25"/>
  <c r="O195" i="25"/>
  <c r="J207" i="25"/>
  <c r="G96" i="25"/>
  <c r="J171" i="25"/>
  <c r="N90" i="25"/>
  <c r="L114" i="25"/>
  <c r="J165" i="25"/>
  <c r="H264" i="25"/>
  <c r="O177" i="25"/>
  <c r="L276" i="25"/>
  <c r="F294" i="25"/>
  <c r="O246" i="25"/>
  <c r="H252" i="25"/>
  <c r="L84" i="25"/>
  <c r="J201" i="25"/>
  <c r="H120" i="25"/>
  <c r="F165" i="25"/>
  <c r="E258" i="25"/>
  <c r="H183" i="25"/>
  <c r="F96" i="25"/>
  <c r="H90" i="25"/>
  <c r="N108" i="25"/>
  <c r="H213" i="25"/>
  <c r="F183" i="25"/>
  <c r="J213" i="25"/>
  <c r="L258" i="25"/>
  <c r="J102" i="25"/>
  <c r="O282" i="25"/>
  <c r="D201" i="25"/>
  <c r="D126" i="25"/>
  <c r="D264" i="25"/>
  <c r="J216" i="25"/>
  <c r="J135" i="25"/>
  <c r="I296" i="25"/>
  <c r="P205" i="25"/>
  <c r="M258" i="25"/>
  <c r="M189" i="25"/>
  <c r="M96" i="25"/>
  <c r="M270" i="25"/>
  <c r="M126" i="25"/>
  <c r="M165" i="25"/>
  <c r="M207" i="25"/>
  <c r="M177" i="25"/>
  <c r="M183" i="25"/>
  <c r="L215" i="25"/>
  <c r="J90" i="25"/>
  <c r="I165" i="25"/>
  <c r="H297" i="25"/>
  <c r="M134" i="25"/>
  <c r="G135" i="25"/>
  <c r="N134" i="25"/>
  <c r="J296" i="25"/>
  <c r="H216" i="25"/>
  <c r="F216" i="25"/>
  <c r="D215" i="25"/>
  <c r="P175" i="25"/>
  <c r="M135" i="25"/>
  <c r="M90" i="25"/>
  <c r="K288" i="25"/>
  <c r="K177" i="25"/>
  <c r="K134" i="25"/>
  <c r="P292" i="25"/>
  <c r="J297" i="25"/>
  <c r="J215" i="25"/>
  <c r="I135" i="25"/>
  <c r="I215" i="25"/>
  <c r="G270" i="25"/>
  <c r="G126" i="25"/>
  <c r="G201" i="25"/>
  <c r="G189" i="25"/>
  <c r="P112" i="25"/>
  <c r="E114" i="25"/>
  <c r="P101" i="25"/>
  <c r="K215" i="25"/>
  <c r="K297" i="25"/>
  <c r="G296" i="25"/>
  <c r="P269" i="25"/>
  <c r="E252" i="25"/>
  <c r="P89" i="25"/>
  <c r="O215" i="25"/>
  <c r="P275" i="25"/>
  <c r="P83" i="25"/>
  <c r="P88" i="25"/>
  <c r="K195" i="25"/>
  <c r="K126" i="25"/>
  <c r="K207" i="25"/>
  <c r="K114" i="25"/>
  <c r="K252" i="25"/>
  <c r="K171" i="25"/>
  <c r="K132" i="25"/>
  <c r="K165" i="25"/>
  <c r="P181" i="25"/>
  <c r="P293" i="25"/>
  <c r="P125" i="25"/>
  <c r="P274" i="25"/>
  <c r="P193" i="25"/>
  <c r="P113" i="25"/>
  <c r="G207" i="25"/>
  <c r="G177" i="25"/>
  <c r="G264" i="25"/>
  <c r="G246" i="25"/>
  <c r="G288" i="25"/>
  <c r="G114" i="25"/>
  <c r="G171" i="25"/>
  <c r="P206" i="25"/>
  <c r="P194" i="25"/>
  <c r="G132" i="25"/>
  <c r="G252" i="25"/>
  <c r="G294" i="25"/>
  <c r="F296" i="25"/>
  <c r="F297" i="25"/>
  <c r="P94" i="25"/>
  <c r="D216" i="25"/>
  <c r="O207" i="25"/>
  <c r="O132" i="25"/>
  <c r="O135" i="25"/>
  <c r="O108" i="25"/>
  <c r="N171" i="25"/>
  <c r="N252" i="25"/>
  <c r="N276" i="25"/>
  <c r="N114" i="25"/>
  <c r="P245" i="25"/>
  <c r="M108" i="25"/>
  <c r="M171" i="25"/>
  <c r="M294" i="25"/>
  <c r="M84" i="25"/>
  <c r="M264" i="25"/>
  <c r="M213" i="25"/>
  <c r="M276" i="25"/>
  <c r="M282" i="25"/>
  <c r="M201" i="25"/>
  <c r="L120" i="25"/>
  <c r="P170" i="25"/>
  <c r="L183" i="25"/>
  <c r="L165" i="25"/>
  <c r="K96" i="25"/>
  <c r="P286" i="25"/>
  <c r="K264" i="25"/>
  <c r="P199" i="25"/>
  <c r="P182" i="25"/>
  <c r="K294" i="25"/>
  <c r="P281" i="25"/>
  <c r="P211" i="25"/>
  <c r="J264" i="25"/>
  <c r="P187" i="25"/>
  <c r="I183" i="25"/>
  <c r="I246" i="25"/>
  <c r="I276" i="25"/>
  <c r="I177" i="25"/>
  <c r="I171" i="25"/>
  <c r="I207" i="25"/>
  <c r="I189" i="25"/>
  <c r="P287" i="25"/>
  <c r="P164" i="25"/>
  <c r="P263" i="25"/>
  <c r="P106" i="25"/>
  <c r="P257" i="25"/>
  <c r="P212" i="25"/>
  <c r="P200" i="25"/>
  <c r="P131" i="25"/>
  <c r="P95" i="25"/>
  <c r="H177" i="25"/>
  <c r="P118" i="25"/>
  <c r="P163" i="25"/>
  <c r="H215" i="25"/>
  <c r="H132" i="25"/>
  <c r="H282" i="25"/>
  <c r="H96" i="25"/>
  <c r="P268" i="25"/>
  <c r="P119" i="25"/>
  <c r="P262" i="25"/>
  <c r="P130" i="25"/>
  <c r="P176" i="25"/>
  <c r="G297" i="25"/>
  <c r="P124" i="25"/>
  <c r="F288" i="25"/>
  <c r="P188" i="25"/>
  <c r="P244" i="25"/>
  <c r="P256" i="25"/>
  <c r="P280" i="25"/>
  <c r="P250" i="25"/>
  <c r="F215" i="25"/>
  <c r="F276" i="25"/>
  <c r="F108" i="25"/>
  <c r="F213" i="25"/>
  <c r="F120" i="25"/>
  <c r="F102" i="25"/>
  <c r="F264" i="25"/>
  <c r="E126" i="25"/>
  <c r="E207" i="25"/>
  <c r="E270" i="25"/>
  <c r="E264" i="25"/>
  <c r="E282" i="25"/>
  <c r="E189" i="25"/>
  <c r="P146" i="25"/>
  <c r="E179" i="27" s="1"/>
  <c r="F184" i="27" s="1"/>
  <c r="P308" i="25"/>
  <c r="G179" i="27" s="1"/>
  <c r="H184" i="27" s="1"/>
  <c r="P227" i="25"/>
  <c r="F179" i="27" s="1"/>
  <c r="G184" i="27" s="1"/>
  <c r="N126" i="25"/>
  <c r="I132" i="25"/>
  <c r="D135" i="25"/>
  <c r="P100" i="25"/>
  <c r="I270" i="25"/>
  <c r="H135" i="25"/>
  <c r="D134" i="25"/>
  <c r="O258" i="25"/>
  <c r="L264" i="25"/>
  <c r="I120" i="25"/>
  <c r="D165" i="25"/>
  <c r="P82" i="25"/>
  <c r="D84" i="25"/>
  <c r="E183" i="25"/>
  <c r="N215" i="25"/>
  <c r="I96" i="25"/>
  <c r="N270" i="25"/>
  <c r="F201" i="25"/>
  <c r="O216" i="25"/>
  <c r="O297" i="25"/>
  <c r="I288" i="25"/>
  <c r="G276" i="25"/>
  <c r="G216" i="25"/>
  <c r="G108" i="25"/>
  <c r="O102" i="25"/>
  <c r="M132" i="25"/>
  <c r="L246" i="25"/>
  <c r="L296" i="25"/>
  <c r="L201" i="25"/>
  <c r="D288" i="25"/>
  <c r="M296" i="25"/>
  <c r="M246" i="25"/>
  <c r="K258" i="25"/>
  <c r="H102" i="25"/>
  <c r="N288" i="25"/>
  <c r="K246" i="25"/>
  <c r="G183" i="25"/>
  <c r="D102" i="25"/>
  <c r="E102" i="25"/>
  <c r="O270" i="25"/>
  <c r="G195" i="25"/>
  <c r="F132" i="25"/>
  <c r="E177" i="25"/>
  <c r="O126" i="25"/>
  <c r="N177" i="25"/>
  <c r="M195" i="25"/>
  <c r="L96" i="25"/>
  <c r="J195" i="25"/>
  <c r="H288" i="25"/>
  <c r="G165" i="25"/>
  <c r="G215" i="25"/>
  <c r="O189" i="25"/>
  <c r="M215" i="25"/>
  <c r="K276" i="25"/>
  <c r="I264" i="25"/>
  <c r="I195" i="25"/>
  <c r="E215" i="25"/>
  <c r="N296" i="25"/>
  <c r="D171" i="25"/>
  <c r="O296" i="25"/>
  <c r="G134" i="25"/>
  <c r="G84" i="25"/>
  <c r="L135" i="25"/>
  <c r="K270" i="25"/>
  <c r="I90" i="25"/>
  <c r="O264" i="25"/>
  <c r="M252" i="25"/>
  <c r="K102" i="25"/>
  <c r="I213" i="25"/>
  <c r="E246" i="25"/>
  <c r="E296" i="25"/>
  <c r="G213" i="25"/>
  <c r="N84" i="25"/>
  <c r="E171" i="25"/>
  <c r="E135" i="25"/>
  <c r="H134" i="25"/>
  <c r="D120" i="25"/>
  <c r="K135" i="25"/>
  <c r="P169" i="25"/>
  <c r="F135" i="25"/>
  <c r="M297" i="25"/>
  <c r="D296" i="25"/>
  <c r="D297" i="25"/>
  <c r="F134" i="25"/>
  <c r="O114" i="25"/>
  <c r="L132" i="25"/>
  <c r="K108" i="25"/>
  <c r="M102" i="25"/>
  <c r="L294" i="25"/>
  <c r="I297" i="25"/>
  <c r="D282" i="25"/>
  <c r="M216" i="25"/>
  <c r="H296" i="25"/>
  <c r="G282" i="25"/>
  <c r="F171" i="25"/>
  <c r="E216" i="25"/>
  <c r="D294" i="25"/>
  <c r="O96" i="25"/>
  <c r="N258" i="25"/>
  <c r="M288" i="25"/>
  <c r="M120" i="25"/>
  <c r="L102" i="25"/>
  <c r="J282" i="25"/>
  <c r="G120" i="25"/>
  <c r="E108" i="25"/>
  <c r="D258" i="25"/>
  <c r="J126" i="25"/>
  <c r="O183" i="25"/>
  <c r="I258" i="25"/>
  <c r="E294" i="25"/>
  <c r="N297" i="25"/>
  <c r="K282" i="25"/>
  <c r="N165" i="25"/>
  <c r="L177" i="25"/>
  <c r="G102" i="25"/>
  <c r="E288" i="25"/>
  <c r="I282" i="25"/>
  <c r="E195" i="25"/>
  <c r="D177" i="25"/>
  <c r="O84" i="25"/>
  <c r="N201" i="25"/>
  <c r="L297" i="25"/>
  <c r="J177" i="25"/>
  <c r="J108" i="25"/>
  <c r="I114" i="25"/>
  <c r="H108" i="25"/>
  <c r="G258" i="25"/>
  <c r="N120" i="25"/>
  <c r="M114" i="25"/>
  <c r="E297" i="25"/>
  <c r="N135" i="25"/>
  <c r="I134" i="25"/>
  <c r="I84" i="25"/>
  <c r="L216" i="25"/>
  <c r="L108" i="25"/>
  <c r="D222" i="27"/>
  <c r="N222" i="27"/>
  <c r="M221" i="27"/>
  <c r="N221" i="27"/>
  <c r="C223" i="27"/>
  <c r="C222" i="27"/>
  <c r="C221" i="27"/>
  <c r="L222" i="27"/>
  <c r="G222" i="27"/>
  <c r="M222" i="27"/>
  <c r="K222" i="27"/>
  <c r="D221" i="27"/>
  <c r="I222" i="27"/>
  <c r="G223" i="27"/>
  <c r="D225" i="27"/>
  <c r="C225" i="27"/>
  <c r="J221" i="27"/>
  <c r="J222" i="27"/>
  <c r="H222" i="27"/>
  <c r="H221" i="27"/>
  <c r="G221" i="27"/>
  <c r="E222" i="27"/>
  <c r="K221" i="27"/>
  <c r="L221" i="27"/>
  <c r="F222" i="27"/>
  <c r="D223" i="27"/>
  <c r="K223" i="27"/>
  <c r="E223" i="27"/>
  <c r="H223" i="27"/>
  <c r="J223" i="27"/>
  <c r="I223" i="27"/>
  <c r="F223" i="27"/>
  <c r="M217" i="25" l="1"/>
  <c r="M230" i="25" s="1"/>
  <c r="D217" i="25"/>
  <c r="D230" i="25" s="1"/>
  <c r="D232" i="25" s="1"/>
  <c r="J298" i="25"/>
  <c r="J311" i="25" s="1"/>
  <c r="L298" i="25"/>
  <c r="L311" i="25" s="1"/>
  <c r="P90" i="25"/>
  <c r="H217" i="25"/>
  <c r="H230" i="25" s="1"/>
  <c r="K217" i="25"/>
  <c r="K230" i="25" s="1"/>
  <c r="G136" i="25"/>
  <c r="G149" i="25" s="1"/>
  <c r="E217" i="25"/>
  <c r="E230" i="25" s="1"/>
  <c r="P252" i="25"/>
  <c r="H298" i="25"/>
  <c r="H311" i="25" s="1"/>
  <c r="J217" i="25"/>
  <c r="J230" i="25" s="1"/>
  <c r="J136" i="25"/>
  <c r="J149" i="25" s="1"/>
  <c r="N136" i="25"/>
  <c r="N149" i="25" s="1"/>
  <c r="P165" i="25"/>
  <c r="M136" i="25"/>
  <c r="M149" i="25" s="1"/>
  <c r="L217" i="25"/>
  <c r="L230" i="25" s="1"/>
  <c r="F217" i="25"/>
  <c r="F230" i="25" s="1"/>
  <c r="F298" i="25"/>
  <c r="P276" i="25"/>
  <c r="L136" i="25"/>
  <c r="L149" i="25" s="1"/>
  <c r="K136" i="25"/>
  <c r="K149" i="25" s="1"/>
  <c r="P189" i="25"/>
  <c r="N298" i="25"/>
  <c r="N311" i="25" s="1"/>
  <c r="P126" i="25"/>
  <c r="P120" i="25"/>
  <c r="P171" i="25"/>
  <c r="H136" i="25"/>
  <c r="H149" i="25" s="1"/>
  <c r="P207" i="25"/>
  <c r="P288" i="25"/>
  <c r="P264" i="25"/>
  <c r="F136" i="25"/>
  <c r="F149" i="25" s="1"/>
  <c r="P108" i="25"/>
  <c r="P96" i="25"/>
  <c r="P201" i="25"/>
  <c r="P270" i="25"/>
  <c r="I136" i="25"/>
  <c r="I149" i="25" s="1"/>
  <c r="P195" i="25"/>
  <c r="G298" i="25"/>
  <c r="G311" i="25" s="1"/>
  <c r="D298" i="25"/>
  <c r="D311" i="25" s="1"/>
  <c r="D313" i="25" s="1"/>
  <c r="P183" i="25"/>
  <c r="P213" i="25"/>
  <c r="P215" i="25"/>
  <c r="F146" i="27" s="1"/>
  <c r="P135" i="25"/>
  <c r="D174" i="27" s="1"/>
  <c r="P177" i="25"/>
  <c r="P282" i="25"/>
  <c r="P216" i="25"/>
  <c r="E174" i="27" s="1"/>
  <c r="I217" i="25"/>
  <c r="I230" i="25" s="1"/>
  <c r="P84" i="25"/>
  <c r="P114" i="25"/>
  <c r="P246" i="25"/>
  <c r="P132" i="25"/>
  <c r="P294" i="25"/>
  <c r="P134" i="25"/>
  <c r="E141" i="27" s="1"/>
  <c r="P296" i="25"/>
  <c r="F173" i="27" s="1"/>
  <c r="O298" i="25"/>
  <c r="O311" i="25" s="1"/>
  <c r="O136" i="25"/>
  <c r="O149" i="25" s="1"/>
  <c r="O217" i="25"/>
  <c r="O230" i="25" s="1"/>
  <c r="N217" i="25"/>
  <c r="N230" i="25" s="1"/>
  <c r="P297" i="25"/>
  <c r="F174" i="27" s="1"/>
  <c r="P102" i="25"/>
  <c r="P258" i="25"/>
  <c r="G217" i="25"/>
  <c r="G230" i="25" s="1"/>
  <c r="E136" i="25"/>
  <c r="E149" i="25" s="1"/>
  <c r="E298" i="25"/>
  <c r="E311" i="25" s="1"/>
  <c r="D136" i="25"/>
  <c r="D149" i="25" s="1"/>
  <c r="D151" i="25" s="1"/>
  <c r="H179" i="27"/>
  <c r="I184" i="27"/>
  <c r="F311" i="25"/>
  <c r="I298" i="25"/>
  <c r="K298" i="25"/>
  <c r="M298" i="25"/>
  <c r="I225" i="27"/>
  <c r="H225" i="27"/>
  <c r="K225" i="27"/>
  <c r="G225" i="27"/>
  <c r="M223" i="27"/>
  <c r="N223" i="27"/>
  <c r="F225" i="27"/>
  <c r="J225" i="27"/>
  <c r="E225" i="27"/>
  <c r="L223" i="27"/>
  <c r="D315" i="25"/>
  <c r="D234" i="25"/>
  <c r="D153" i="25"/>
  <c r="G136" i="27" l="1"/>
  <c r="F136" i="27"/>
  <c r="E173" i="27"/>
  <c r="F141" i="27"/>
  <c r="G146" i="27"/>
  <c r="G141" i="27"/>
  <c r="G174" i="27"/>
  <c r="E146" i="27"/>
  <c r="E136" i="27"/>
  <c r="D173" i="27"/>
  <c r="P298" i="25"/>
  <c r="F175" i="27" s="1"/>
  <c r="P217" i="25"/>
  <c r="E175" i="27" s="1"/>
  <c r="P136" i="25"/>
  <c r="D175" i="27" s="1"/>
  <c r="P149" i="25"/>
  <c r="E178" i="27" s="1"/>
  <c r="I311" i="25"/>
  <c r="M311" i="25"/>
  <c r="K311" i="25"/>
  <c r="P230" i="25"/>
  <c r="F178" i="27" s="1"/>
  <c r="E151" i="25"/>
  <c r="E232" i="25"/>
  <c r="E313" i="25"/>
  <c r="L225" i="27"/>
  <c r="M225" i="27"/>
  <c r="N225" i="27"/>
  <c r="E315" i="25"/>
  <c r="E153" i="25"/>
  <c r="E234" i="25"/>
  <c r="G173" i="27" l="1"/>
  <c r="G175" i="27"/>
  <c r="E155" i="27"/>
  <c r="F155" i="27"/>
  <c r="P311" i="25"/>
  <c r="F151" i="25"/>
  <c r="F313" i="25"/>
  <c r="F232" i="25"/>
  <c r="F234" i="25"/>
  <c r="F315" i="25"/>
  <c r="F153" i="25"/>
  <c r="G178" i="27" l="1"/>
  <c r="H178" i="27" s="1"/>
  <c r="G155" i="27"/>
  <c r="G232" i="25"/>
  <c r="G313" i="25"/>
  <c r="G151" i="25"/>
  <c r="G315" i="25"/>
  <c r="G234" i="25"/>
  <c r="G153" i="25"/>
  <c r="H151" i="25" l="1"/>
  <c r="H313" i="25"/>
  <c r="H232" i="25"/>
  <c r="H315" i="25"/>
  <c r="H234" i="25"/>
  <c r="H153" i="25"/>
  <c r="I232" i="25" l="1"/>
  <c r="I313" i="25"/>
  <c r="I151" i="25"/>
  <c r="I315" i="25"/>
  <c r="I153" i="25"/>
  <c r="I234" i="25"/>
  <c r="J151" i="25" l="1"/>
  <c r="J313" i="25"/>
  <c r="J232" i="25"/>
  <c r="J315" i="25"/>
  <c r="J234" i="25"/>
  <c r="J153" i="25"/>
  <c r="K232" i="25" l="1"/>
  <c r="K313" i="25"/>
  <c r="K151" i="25"/>
  <c r="K315" i="25"/>
  <c r="K153" i="25"/>
  <c r="K234" i="25"/>
  <c r="L313" i="25" l="1"/>
  <c r="L151" i="25"/>
  <c r="L232" i="25"/>
  <c r="L153" i="25"/>
  <c r="L234" i="25"/>
  <c r="L315" i="25"/>
  <c r="M313" i="25" l="1"/>
  <c r="M232" i="25"/>
  <c r="M151" i="25"/>
  <c r="M234" i="25"/>
  <c r="M153" i="25"/>
  <c r="M315" i="25"/>
  <c r="N151" i="25" l="1"/>
  <c r="N232" i="25"/>
  <c r="N313" i="25"/>
  <c r="N234" i="25"/>
  <c r="N153" i="25"/>
  <c r="N315" i="25"/>
  <c r="O313" i="25" l="1"/>
  <c r="O232" i="25"/>
  <c r="O151" i="25"/>
  <c r="O234" i="25"/>
  <c r="O153" i="25"/>
  <c r="O315" i="25"/>
  <c r="P153" i="25" l="1"/>
  <c r="P152" i="25" s="1"/>
  <c r="P315" i="25"/>
  <c r="P234" i="25"/>
  <c r="P233" i="25" l="1"/>
  <c r="P314" i="25" s="1"/>
  <c r="D234" i="28" l="1"/>
  <c r="D236" i="28" s="1"/>
  <c r="D231" i="28"/>
</calcChain>
</file>

<file path=xl/sharedStrings.xml><?xml version="1.0" encoding="utf-8"?>
<sst xmlns="http://schemas.openxmlformats.org/spreadsheetml/2006/main" count="6307" uniqueCount="1622">
  <si>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</si>
  <si>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</si>
  <si>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</si>
  <si>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</si>
  <si>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</si>
  <si>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</si>
  <si>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</si>
  <si>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</si>
  <si>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</si>
  <si>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</si>
  <si>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</si>
  <si>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</si>
  <si>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</si>
  <si>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</si>
  <si>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</si>
  <si>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</si>
  <si>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</si>
  <si>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</si>
  <si>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</si>
  <si>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</si>
  <si>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</si>
  <si>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</si>
  <si>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</si>
  <si>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</si>
  <si>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</si>
  <si>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</si>
  <si>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</si>
  <si>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</si>
  <si>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</si>
  <si>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</si>
  <si>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</si>
  <si>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</si>
  <si>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</si>
  <si>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</si>
  <si>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</si>
  <si>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</si>
  <si>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</si>
  <si>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</si>
  <si>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</si>
  <si>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</si>
  <si>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</si>
  <si>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</si>
  <si>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</si>
  <si>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</si>
  <si>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</si>
  <si>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</si>
  <si>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</si>
  <si>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</si>
  <si>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</si>
  <si>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</si>
  <si>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</si>
  <si>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</si>
  <si>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</si>
  <si>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</si>
  <si>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</si>
  <si>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</si>
  <si>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</si>
  <si>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</si>
  <si>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</si>
  <si>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</si>
  <si>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</si>
  <si>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</si>
  <si>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</si>
  <si>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</si>
  <si>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</si>
  <si>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</si>
  <si>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</si>
  <si>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</si>
  <si>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</si>
  <si>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</si>
  <si>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</si>
  <si>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</si>
  <si>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</si>
  <si>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</si>
  <si>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</si>
  <si>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</si>
  <si>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</si>
  <si>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</si>
  <si>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</si>
  <si>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</si>
  <si>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</si>
  <si>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</si>
  <si>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</si>
  <si>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</si>
  <si>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</si>
  <si>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</si>
  <si>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</si>
  <si>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</si>
  <si>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</si>
  <si>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</si>
  <si>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</si>
  <si>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</si>
  <si>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</si>
  <si>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</si>
  <si>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</si>
  <si>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</si>
  <si>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</si>
  <si>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</si>
  <si>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</si>
  <si>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</si>
  <si>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</si>
  <si>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</si>
  <si>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</si>
  <si>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</si>
  <si>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</si>
  <si>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</si>
  <si>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</si>
  <si>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</si>
  <si>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</si>
  <si>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</si>
  <si>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</si>
  <si>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</si>
  <si>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</si>
  <si>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</si>
  <si>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</si>
  <si>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</si>
  <si>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</si>
  <si>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</si>
  <si>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</si>
  <si>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</si>
  <si>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</si>
  <si>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</si>
  <si>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</si>
  <si>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</si>
  <si>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</si>
  <si>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</si>
  <si>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</si>
  <si>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</si>
  <si>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</si>
  <si>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</si>
  <si>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</si>
  <si>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</si>
  <si>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</si>
  <si>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</si>
  <si>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</si>
  <si>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</si>
  <si>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</si>
  <si>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</si>
  <si>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</si>
  <si>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</si>
  <si>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</si>
  <si>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</si>
  <si>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</si>
  <si>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</si>
  <si>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</si>
  <si>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</si>
  <si>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</si>
  <si>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</si>
  <si>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</si>
  <si>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</si>
  <si>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</si>
  <si>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</si>
  <si>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</si>
  <si>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</si>
  <si>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</si>
  <si>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</si>
  <si>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</si>
  <si>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</si>
  <si>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</si>
  <si>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</si>
  <si>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</si>
  <si>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</si>
  <si>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</si>
  <si>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</si>
  <si>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</si>
  <si>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</si>
  <si>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</si>
  <si>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</si>
  <si>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</si>
  <si>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</si>
  <si>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</si>
  <si>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</si>
  <si>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</si>
  <si>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</si>
  <si>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</si>
  <si>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</si>
  <si>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</si>
  <si>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</si>
  <si>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</si>
  <si>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</si>
  <si>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</si>
  <si>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</si>
  <si>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</si>
  <si>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</si>
  <si>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</si>
  <si>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</si>
  <si>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</si>
  <si>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</si>
  <si>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</si>
  <si>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</si>
  <si>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</si>
  <si>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</si>
  <si>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</si>
  <si>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</si>
  <si>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</si>
  <si>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</si>
  <si>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</si>
  <si>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</si>
  <si>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</si>
  <si>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</si>
  <si>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</si>
  <si>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</si>
  <si>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</si>
  <si>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</si>
  <si>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</si>
  <si>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</si>
  <si>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</si>
  <si>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</si>
  <si>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</si>
  <si>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</si>
  <si>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</si>
  <si>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</si>
  <si>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</si>
  <si>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</si>
  <si>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</si>
  <si>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</si>
  <si>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</si>
  <si>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</si>
  <si>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</si>
  <si>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</si>
  <si>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</si>
  <si>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</si>
  <si>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</si>
  <si>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</si>
  <si>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</si>
  <si>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</si>
  <si>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</si>
  <si>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</si>
  <si>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</si>
  <si>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</si>
  <si>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</si>
  <si>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</si>
  <si>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</si>
  <si>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</si>
  <si>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</si>
  <si>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</si>
  <si>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</si>
  <si>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</si>
  <si>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</si>
  <si>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</si>
  <si>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</si>
  <si>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</si>
  <si>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</si>
  <si>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</si>
  <si>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</si>
  <si>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</si>
  <si>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</si>
  <si>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</si>
  <si>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</si>
  <si>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</si>
  <si>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</si>
  <si>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</si>
  <si>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</si>
  <si>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</si>
  <si>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</si>
  <si>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</si>
  <si>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</si>
  <si>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</si>
  <si>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</si>
  <si>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</si>
  <si>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</si>
  <si>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</si>
  <si>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</si>
  <si>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</si>
  <si>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</si>
  <si>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</si>
  <si>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</si>
  <si>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</si>
  <si>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</si>
  <si>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</si>
  <si>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</si>
  <si>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</si>
  <si>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</si>
  <si>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</si>
  <si>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</si>
  <si>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</si>
  <si>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</si>
  <si>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</si>
  <si>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</si>
  <si>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</si>
  <si>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</si>
  <si>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</si>
  <si>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</si>
  <si>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</si>
  <si>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</si>
  <si>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</si>
  <si>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</si>
  <si>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</si>
  <si>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</si>
  <si>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</si>
  <si>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</si>
  <si>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</si>
  <si>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</si>
  <si>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</si>
  <si>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</si>
  <si>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</si>
  <si>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</si>
  <si>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</si>
  <si>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</si>
  <si>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</si>
  <si>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</si>
  <si>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</si>
  <si>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</si>
  <si>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</si>
  <si>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</si>
  <si>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</si>
  <si>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</si>
  <si>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</si>
  <si>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</si>
  <si>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</si>
  <si>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</si>
  <si>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</si>
  <si>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</si>
  <si>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</si>
  <si>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</si>
  <si>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</si>
  <si>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</si>
  <si>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</si>
  <si>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</si>
  <si>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</si>
  <si>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</si>
  <si>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</si>
  <si>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</si>
  <si>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</si>
  <si>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</si>
  <si>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</si>
  <si>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</si>
  <si>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</si>
  <si>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</si>
  <si>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</si>
  <si>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</si>
  <si>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</si>
  <si>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</si>
  <si>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</si>
  <si>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</si>
  <si>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</si>
  <si>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</si>
  <si>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</si>
  <si>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</si>
  <si>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</si>
  <si>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</si>
  <si>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</si>
  <si>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</si>
  <si>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</si>
  <si>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</si>
  <si>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</si>
  <si>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</si>
  <si>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</si>
  <si>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</si>
  <si>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</si>
  <si>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</si>
  <si>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</si>
  <si>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</si>
  <si>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</si>
  <si>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</si>
  <si>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</si>
  <si>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</si>
  <si>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</si>
  <si>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</si>
  <si>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</si>
  <si>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</si>
  <si>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</si>
  <si>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</si>
  <si>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</si>
  <si>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</si>
  <si>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</si>
  <si>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</si>
  <si>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</si>
  <si>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</si>
  <si>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</si>
  <si>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</si>
  <si>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</si>
  <si>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</si>
  <si>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</si>
  <si>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</si>
  <si>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</si>
  <si>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</si>
  <si>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</si>
  <si>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</si>
  <si>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</si>
  <si>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</si>
  <si>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</si>
  <si>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</si>
  <si>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</si>
  <si>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</si>
  <si>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</si>
  <si>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</si>
  <si>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</si>
  <si>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</si>
  <si>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</si>
  <si>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</si>
  <si>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</si>
  <si>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</si>
  <si>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</si>
  <si>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</si>
  <si>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</si>
  <si>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</si>
  <si>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</si>
  <si>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</si>
  <si>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</si>
  <si>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</si>
  <si>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</si>
  <si>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</si>
  <si>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</si>
  <si>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</si>
  <si>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</si>
  <si>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</si>
  <si>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</si>
  <si>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</si>
  <si>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</si>
  <si>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</si>
  <si>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</si>
  <si>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</si>
  <si>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</si>
  <si>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</si>
  <si>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</si>
  <si>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</si>
  <si>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</si>
  <si>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</si>
  <si>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</si>
  <si>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</si>
  <si>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</si>
  <si>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</si>
  <si>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</si>
  <si>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</si>
  <si>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</si>
  <si>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</si>
  <si>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</si>
  <si>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</si>
  <si>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</si>
  <si>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</si>
  <si>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</si>
  <si>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</si>
  <si>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</si>
  <si>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</si>
  <si>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</si>
  <si>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</si>
  <si>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</si>
  <si>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</si>
  <si>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</si>
  <si>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</si>
  <si>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</si>
  <si>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</si>
  <si>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</si>
  <si>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</si>
  <si>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</si>
  <si>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</si>
  <si>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</si>
  <si>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</si>
  <si>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</si>
  <si>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</si>
  <si>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</si>
  <si>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</si>
  <si>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</si>
  <si>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</si>
  <si>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</si>
  <si>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</si>
  <si>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</si>
  <si>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</si>
  <si>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</si>
  <si>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</si>
  <si>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</si>
  <si>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</si>
  <si>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</si>
  <si>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</si>
  <si>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</si>
  <si>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</si>
  <si>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</si>
  <si>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</si>
  <si>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</si>
  <si>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</si>
  <si>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</si>
  <si>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</si>
  <si>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</si>
  <si>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</si>
  <si>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</si>
  <si>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</si>
  <si>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</si>
  <si>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</si>
  <si>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</si>
  <si>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</si>
  <si>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</si>
  <si>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</si>
  <si>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</si>
  <si>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</si>
  <si>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</si>
  <si>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</si>
  <si>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</si>
  <si>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</si>
  <si>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</si>
  <si>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</si>
  <si>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</si>
  <si>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</si>
  <si>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</si>
  <si>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</si>
  <si>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</si>
  <si>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</si>
  <si>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</si>
  <si>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</si>
  <si>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</si>
  <si>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</si>
  <si>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</si>
  <si>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</si>
  <si>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</si>
  <si>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</si>
  <si>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</si>
  <si>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</si>
  <si>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</si>
  <si>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</si>
  <si>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</si>
  <si>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</si>
  <si>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</si>
  <si>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</si>
  <si>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</si>
  <si>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</si>
  <si>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</si>
  <si>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</si>
  <si>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</si>
  <si>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</si>
  <si>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</si>
  <si>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</si>
  <si>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</si>
  <si>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</si>
  <si>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</si>
  <si>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</si>
  <si>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</si>
  <si>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</si>
  <si>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</si>
  <si>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</si>
  <si>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</si>
  <si>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</si>
  <si>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</si>
  <si>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</si>
  <si>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</si>
  <si>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</si>
  <si>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</si>
  <si>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</si>
  <si>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</si>
  <si>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</si>
  <si>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</si>
  <si>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</si>
  <si>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</si>
  <si>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</si>
  <si>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</si>
  <si>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</si>
  <si>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</si>
  <si>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</si>
  <si>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</si>
  <si>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</si>
  <si>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</si>
  <si>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</si>
  <si>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</si>
  <si>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</si>
  <si>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</si>
  <si>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</si>
  <si>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</si>
  <si>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</si>
  <si>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</si>
  <si>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</si>
  <si>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</si>
  <si>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</si>
  <si>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</si>
  <si>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</si>
  <si>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</si>
  <si>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</si>
  <si>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</si>
  <si>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</si>
  <si>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</si>
  <si>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</si>
  <si>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</si>
  <si>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</si>
  <si>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</si>
  <si>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</si>
  <si>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</si>
  <si>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</si>
  <si>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</si>
  <si>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</si>
  <si>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</si>
  <si>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</si>
  <si>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</si>
  <si>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</si>
  <si>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</si>
  <si>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</si>
  <si>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</si>
  <si>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</si>
  <si>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</si>
  <si>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</si>
  <si>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</si>
  <si>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</si>
  <si>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</si>
  <si>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</si>
  <si>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</si>
  <si>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</si>
  <si>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</si>
  <si>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</si>
  <si>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</si>
  <si>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</si>
  <si>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</si>
  <si>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</si>
  <si>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</si>
  <si>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</si>
  <si>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</si>
  <si>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</si>
  <si>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</si>
  <si>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</si>
  <si>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</si>
  <si>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</si>
  <si>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</si>
  <si>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</si>
  <si>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</si>
  <si>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</si>
  <si>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</si>
  <si>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</si>
  <si>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</si>
  <si>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</si>
  <si>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</si>
  <si>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</si>
  <si>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</si>
  <si>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</si>
  <si>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</si>
  <si>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</si>
  <si>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</si>
  <si>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</si>
  <si>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</si>
  <si>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</si>
  <si>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</si>
  <si>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</si>
  <si>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</si>
  <si>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</si>
  <si>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</si>
  <si>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</si>
  <si>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</si>
  <si>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</si>
  <si>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</si>
  <si>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</si>
  <si>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</si>
  <si>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</si>
  <si>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</si>
  <si>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</si>
  <si>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</si>
  <si>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</si>
  <si>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</si>
  <si>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</si>
  <si>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</si>
  <si>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</si>
  <si>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</si>
  <si>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</si>
  <si>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</si>
  <si>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</si>
  <si>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</si>
  <si>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</si>
  <si>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</si>
  <si>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</si>
  <si>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</si>
  <si>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</si>
  <si>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</si>
  <si>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</si>
  <si>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</si>
  <si>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</si>
  <si>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</si>
  <si>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</si>
  <si>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</si>
  <si>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</si>
  <si>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</si>
  <si>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</si>
  <si>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</si>
  <si>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</si>
  <si>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</si>
  <si>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</si>
  <si>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</si>
  <si>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</si>
  <si>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</si>
  <si>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</si>
  <si>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</si>
  <si>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</si>
  <si>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</si>
  <si>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</si>
  <si>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</si>
  <si>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</si>
  <si>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</si>
  <si>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</si>
  <si>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</si>
  <si>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</si>
  <si>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</si>
  <si>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</si>
  <si>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</si>
  <si>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</si>
  <si>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</si>
  <si>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</si>
  <si>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</si>
  <si>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</si>
  <si>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</si>
  <si>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</si>
  <si>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</si>
  <si>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</si>
  <si>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</si>
  <si>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</si>
  <si>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</si>
  <si>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</si>
  <si>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</si>
  <si>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</si>
  <si>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</si>
  <si>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</si>
  <si>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</si>
  <si>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</si>
  <si>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</si>
  <si>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</si>
  <si>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</si>
  <si>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</si>
  <si>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</si>
  <si>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</si>
  <si>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</si>
  <si>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</si>
  <si>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</si>
  <si>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</si>
  <si>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</si>
  <si>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</si>
  <si>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New York</t>
  </si>
  <si>
    <t>Jiaxing Lin, Wenhao Zhou, Xiner Cai, Yinzhu Jiang, Zeyu Zhang</t>
  </si>
  <si>
    <t>Main Street Brewery</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</si>
  <si>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</si>
  <si>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</si>
  <si>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</si>
  <si>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</si>
  <si>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</si>
  <si>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</si>
  <si>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</si>
  <si>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</si>
  <si>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</si>
  <si>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</si>
  <si>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</si>
  <si>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</si>
  <si>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</si>
  <si>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</si>
  <si>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</si>
  <si>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</si>
  <si>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</si>
  <si>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</si>
  <si>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</si>
  <si>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</si>
  <si>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</si>
  <si>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</si>
  <si>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</si>
  <si>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</si>
  <si>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</si>
  <si>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</si>
  <si>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</si>
  <si>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</si>
  <si>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</si>
  <si>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</si>
  <si>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</si>
  <si>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</si>
  <si>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</si>
  <si>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</si>
  <si>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</si>
  <si>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</si>
  <si>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</si>
  <si>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</si>
  <si>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</si>
  <si>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</si>
  <si>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</si>
  <si>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</si>
  <si>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</si>
  <si>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</si>
  <si>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</si>
  <si>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</si>
  <si>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</si>
  <si>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</si>
  <si>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</si>
  <si>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</si>
  <si>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</si>
  <si>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</si>
  <si>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</si>
  <si>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</si>
  <si>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</si>
  <si>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</si>
  <si>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</si>
  <si>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</si>
  <si>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</si>
  <si>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</si>
  <si>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</si>
  <si>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</si>
  <si>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</si>
  <si>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</si>
  <si>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</si>
  <si>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</si>
  <si>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</si>
  <si>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</si>
  <si>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</si>
  <si>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</si>
  <si>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</si>
  <si>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</si>
  <si>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</si>
  <si>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</si>
  <si>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</si>
  <si>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</si>
  <si>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</si>
  <si>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</si>
  <si>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</si>
  <si>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</si>
  <si>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</si>
  <si>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</si>
  <si>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</si>
  <si>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</si>
  <si>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</si>
  <si>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</si>
  <si>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</si>
  <si>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</si>
  <si>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</si>
  <si>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</si>
  <si>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</si>
  <si>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</si>
  <si>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</si>
  <si>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</si>
  <si>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</si>
  <si>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</si>
  <si>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</si>
  <si>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</si>
  <si>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</si>
  <si>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</si>
  <si>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</si>
  <si>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</si>
  <si>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</si>
  <si>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</si>
  <si>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</si>
  <si>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</si>
  <si>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</si>
  <si>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</si>
  <si>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</si>
  <si>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</si>
  <si>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</si>
  <si>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</si>
  <si>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</si>
  <si>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</si>
  <si>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</si>
  <si>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</si>
  <si>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</si>
  <si>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</si>
  <si>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</si>
  <si>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</si>
  <si>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</si>
  <si>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</si>
  <si>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</si>
  <si>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</si>
  <si>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</si>
  <si>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</si>
  <si>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</si>
  <si>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</si>
  <si>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</si>
  <si>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</si>
  <si>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</si>
  <si>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</si>
  <si>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</si>
  <si>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</si>
  <si>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</si>
  <si>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</si>
  <si>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</si>
  <si>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</si>
  <si>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</si>
  <si>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</si>
  <si>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</si>
  <si>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</si>
  <si>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</si>
  <si>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</si>
  <si>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</si>
  <si>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</si>
  <si>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</si>
  <si>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</si>
  <si>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</si>
  <si>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</si>
  <si>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</si>
  <si>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</si>
  <si>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</si>
  <si>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</si>
  <si>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</si>
  <si>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</si>
  <si>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</si>
  <si>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</si>
  <si>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</si>
  <si>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</si>
  <si>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</si>
  <si>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</si>
  <si>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</si>
  <si>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</si>
  <si>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</si>
  <si>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</si>
  <si>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</si>
  <si>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</si>
  <si>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</si>
  <si>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</si>
  <si>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</si>
  <si>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</si>
  <si>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</si>
  <si>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</si>
  <si>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</si>
  <si>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</si>
  <si>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</si>
  <si>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</si>
  <si>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</si>
  <si>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</si>
  <si>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</si>
  <si>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</si>
  <si>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</si>
  <si>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</si>
  <si>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</si>
  <si>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</si>
  <si>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</si>
  <si>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</si>
  <si>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</si>
  <si>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</si>
  <si>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</si>
  <si>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</si>
  <si>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</si>
  <si>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</si>
  <si>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</si>
  <si>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</si>
  <si>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</si>
  <si>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</si>
  <si>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</si>
  <si>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</si>
  <si>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</si>
  <si>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</si>
  <si>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</si>
  <si>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</si>
  <si>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</si>
  <si>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</si>
  <si>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</si>
  <si>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</si>
  <si>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</si>
  <si>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</si>
  <si>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</si>
  <si>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</si>
  <si>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</si>
  <si>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</si>
  <si>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</si>
  <si>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</si>
  <si>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</si>
  <si>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</si>
  <si>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</si>
  <si>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</si>
  <si>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</si>
  <si>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</si>
  <si>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</si>
  <si>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</si>
  <si>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</si>
  <si>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</si>
  <si>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</si>
  <si>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</si>
  <si>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</si>
  <si>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</si>
  <si>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</si>
  <si>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</si>
  <si>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</si>
  <si>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</si>
  <si>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</si>
  <si>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</si>
  <si>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</si>
  <si>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</si>
  <si>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</si>
  <si>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</si>
  <si>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</si>
  <si>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</si>
  <si>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</si>
  <si>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</si>
  <si>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</si>
  <si>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</si>
  <si>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</si>
  <si>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</si>
  <si>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</si>
  <si>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</si>
  <si>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</si>
  <si>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</si>
  <si>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</si>
  <si>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</si>
  <si>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</si>
  <si>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</si>
  <si>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</si>
  <si>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</si>
  <si>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</si>
  <si>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</si>
  <si>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</si>
  <si>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</si>
  <si>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</si>
  <si>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</si>
  <si>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</si>
  <si>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</si>
  <si>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</si>
  <si>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</si>
  <si>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</si>
  <si>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</si>
  <si>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</si>
  <si>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</si>
  <si>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</si>
  <si>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</si>
  <si>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</si>
  <si>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</si>
  <si>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</si>
  <si>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</si>
  <si>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</si>
  <si>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</si>
  <si>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</si>
  <si>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</si>
  <si>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</si>
  <si>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</si>
  <si>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</si>
  <si>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</si>
  <si>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</si>
  <si>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</si>
  <si>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</si>
  <si>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</si>
  <si>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</si>
  <si>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</si>
  <si>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</si>
  <si>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</si>
  <si>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</si>
  <si>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</si>
  <si>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</si>
  <si>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</si>
  <si>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</si>
  <si>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</si>
  <si>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</si>
  <si>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</si>
  <si>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</si>
  <si>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</si>
  <si>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</si>
  <si>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</si>
  <si>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</si>
  <si>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</si>
  <si>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</si>
  <si>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</si>
  <si>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</si>
  <si>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</si>
  <si>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</si>
  <si>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</si>
  <si>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</si>
  <si>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</si>
  <si>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</si>
  <si>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</si>
  <si>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</si>
  <si>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</si>
  <si>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</si>
  <si>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</si>
  <si>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</si>
  <si>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</si>
  <si>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</si>
  <si>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</si>
  <si>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</si>
  <si>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</si>
  <si>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</si>
  <si>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</si>
  <si>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</si>
  <si>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</si>
  <si>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</si>
  <si>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</si>
  <si>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</si>
  <si>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</si>
  <si>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</si>
  <si>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</si>
  <si>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</si>
  <si>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</si>
  <si>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</si>
  <si>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</si>
  <si>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</si>
  <si>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</si>
  <si>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</si>
  <si>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</si>
  <si>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</si>
  <si>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</si>
  <si>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</si>
  <si>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</si>
  <si>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</si>
  <si>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</si>
  <si>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</si>
  <si>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</si>
  <si>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</si>
  <si>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</si>
  <si>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</si>
  <si>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</si>
  <si>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</si>
  <si>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</si>
  <si>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</si>
  <si>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</si>
  <si>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</si>
  <si>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</si>
  <si>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</si>
  <si>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</si>
  <si>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</si>
  <si>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</si>
  <si>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</si>
  <si>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</si>
  <si>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</si>
  <si>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</si>
  <si>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</si>
  <si>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</si>
  <si>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</si>
  <si>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</si>
  <si>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</si>
  <si>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</si>
  <si>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</si>
  <si>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</si>
  <si>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</si>
  <si>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</si>
  <si>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</si>
  <si>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</si>
  <si>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</si>
  <si>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</si>
  <si>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</si>
  <si>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</si>
  <si>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</si>
  <si>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</si>
  <si>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</si>
  <si>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</si>
  <si>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</si>
  <si>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</si>
  <si>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</si>
  <si>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</si>
  <si>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</si>
  <si>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</si>
  <si>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</si>
  <si>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</si>
  <si>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</si>
  <si>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</si>
  <si>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</si>
  <si>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</si>
  <si>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</si>
  <si>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</si>
  <si>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</si>
  <si>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</si>
  <si>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</si>
  <si>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</si>
  <si>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</si>
  <si>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</si>
  <si>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</si>
  <si>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</si>
  <si>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</si>
  <si>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</si>
  <si>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</si>
  <si>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</si>
  <si>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</si>
  <si>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</si>
  <si>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</si>
  <si>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</si>
  <si>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</si>
  <si>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</si>
  <si>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</si>
  <si>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</si>
  <si>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</si>
  <si>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</si>
  <si>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</si>
  <si>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</si>
  <si>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</si>
  <si>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</si>
  <si>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</si>
  <si>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</si>
  <si>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</si>
  <si>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</si>
  <si>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</si>
  <si>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</si>
  <si>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</si>
  <si>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</si>
  <si>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</si>
  <si>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</si>
  <si>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</si>
  <si>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</si>
  <si>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</si>
  <si>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</si>
  <si>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</si>
  <si>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</si>
  <si>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</si>
  <si>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</si>
  <si>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</si>
  <si>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</si>
  <si>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</si>
  <si>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</si>
  <si>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</si>
  <si>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</si>
  <si>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</si>
  <si>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</si>
  <si>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</si>
  <si>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</si>
  <si>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</si>
  <si>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</si>
  <si>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</si>
  <si>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</si>
  <si>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</si>
  <si>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</si>
  <si>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</si>
  <si>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</si>
  <si>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</si>
  <si>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</si>
  <si>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</si>
  <si>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</si>
  <si>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</si>
  <si>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</si>
  <si>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</si>
  <si>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</si>
  <si>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</si>
  <si>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</si>
  <si>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</si>
  <si>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</si>
  <si>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</si>
  <si>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</si>
  <si>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</si>
  <si>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</si>
  <si>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</si>
  <si>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</si>
  <si>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</si>
  <si>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</si>
  <si>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</si>
  <si>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</si>
  <si>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</si>
  <si>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</si>
  <si>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</si>
  <si>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</si>
  <si>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</si>
  <si>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</si>
  <si>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</si>
  <si>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</si>
  <si>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</si>
  <si>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</si>
  <si>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</si>
  <si>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</si>
  <si>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</si>
  <si>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</si>
  <si>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</si>
  <si>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</si>
  <si>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</si>
  <si>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</si>
  <si>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</si>
  <si>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</si>
  <si>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</si>
  <si>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</si>
  <si>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</si>
  <si>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</si>
  <si>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</si>
  <si>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</si>
  <si>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</si>
  <si>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</si>
  <si>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</si>
  <si>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</si>
  <si>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</si>
  <si>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</si>
  <si>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</si>
  <si>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</si>
  <si>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</si>
  <si>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</si>
  <si>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</si>
  <si>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</si>
  <si>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</si>
  <si>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</si>
  <si>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</si>
  <si>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</si>
  <si>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</si>
  <si>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</si>
  <si>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</si>
  <si>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</si>
  <si>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</si>
  <si>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</si>
  <si>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</si>
  <si>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</si>
  <si>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</si>
  <si>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</si>
  <si>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</si>
  <si>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</si>
  <si>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</si>
  <si>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</si>
  <si>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</si>
  <si>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</si>
  <si>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</si>
  <si>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</si>
  <si>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</si>
  <si>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</si>
  <si>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</si>
  <si>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</si>
  <si>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</si>
  <si>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</si>
  <si>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</si>
  <si>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</si>
  <si>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</si>
  <si>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</si>
  <si>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</si>
  <si>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</si>
  <si>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</si>
  <si>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</si>
  <si>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</si>
  <si>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</si>
  <si>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</si>
  <si>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</si>
  <si>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</si>
  <si>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</si>
  <si>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</si>
  <si>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</si>
  <si>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</si>
  <si>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</si>
  <si>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</si>
  <si>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</si>
  <si>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</si>
  <si>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</si>
  <si>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</si>
  <si>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</si>
  <si>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</si>
  <si>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</si>
  <si>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</si>
  <si>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</si>
  <si>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</si>
  <si>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</si>
  <si>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</si>
  <si>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</si>
  <si>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</si>
  <si>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</si>
  <si>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</si>
  <si>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</si>
  <si>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</si>
  <si>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</si>
  <si>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</si>
  <si>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</si>
  <si>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</si>
  <si>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</si>
  <si>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</si>
  <si>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</si>
  <si>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</si>
  <si>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</si>
  <si>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</si>
  <si>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</si>
  <si>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</si>
  <si>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</si>
  <si>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</si>
  <si>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</si>
  <si>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</si>
  <si>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</si>
  <si>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</si>
  <si>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</si>
  <si>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</si>
  <si>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</si>
  <si>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</si>
  <si>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</si>
  <si>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</si>
  <si>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</si>
  <si>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</si>
  <si>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</si>
  <si>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</si>
  <si>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</si>
  <si>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</si>
  <si>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</si>
  <si>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</si>
  <si>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</si>
  <si>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</si>
  <si>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</si>
  <si>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</si>
  <si>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</si>
  <si>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</si>
  <si>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</si>
  <si>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</si>
  <si>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</si>
  <si>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</si>
  <si>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</si>
  <si>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</si>
  <si>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</si>
  <si>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</si>
  <si>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</si>
  <si>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</si>
  <si>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</si>
  <si>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</si>
  <si>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</si>
  <si>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</si>
  <si>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</si>
  <si>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</si>
  <si>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</si>
  <si>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</si>
  <si>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</si>
  <si>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</si>
  <si>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</si>
  <si>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</si>
  <si>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</si>
  <si>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</si>
  <si>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</si>
  <si>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</si>
  <si>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</si>
  <si>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</si>
  <si>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</si>
  <si>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</si>
  <si>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</si>
  <si>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</si>
  <si>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</si>
  <si>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</si>
  <si>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</si>
  <si>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</si>
  <si>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</si>
  <si>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</si>
  <si>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</si>
  <si>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</si>
  <si>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</si>
  <si>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</si>
  <si>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</si>
  <si>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</si>
  <si>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</si>
  <si>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</si>
  <si>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</si>
  <si>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</si>
  <si>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</si>
  <si>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</si>
  <si>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</si>
  <si>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</si>
  <si>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</si>
  <si>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</si>
  <si>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</si>
  <si>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</si>
  <si>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</si>
  <si>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</si>
  <si>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</si>
  <si>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</si>
  <si>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</si>
  <si>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</si>
  <si>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</si>
  <si>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</si>
  <si>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</si>
  <si>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</si>
  <si>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</si>
  <si>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</si>
  <si>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</si>
  <si>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</si>
  <si>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</si>
  <si>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</si>
  <si>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</si>
  <si>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</si>
  <si>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</si>
  <si>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</si>
  <si>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</si>
  <si>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</si>
  <si>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</si>
  <si>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</si>
  <si>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</si>
  <si>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</si>
  <si>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</si>
  <si>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</si>
  <si>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</si>
  <si>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</si>
  <si>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</si>
  <si>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</si>
  <si>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</si>
  <si>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</si>
  <si>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</si>
  <si>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</si>
  <si>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</si>
  <si>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</si>
  <si>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</si>
  <si>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</si>
  <si>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</si>
  <si>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</si>
  <si>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</si>
  <si>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</si>
  <si>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</si>
  <si>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</si>
  <si>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</si>
  <si>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</si>
  <si>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</si>
  <si>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</si>
  <si>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</si>
  <si>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</si>
  <si>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</si>
  <si>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</si>
  <si>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</si>
  <si>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</si>
  <si>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</si>
  <si>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</si>
  <si>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Special Event</t>
  </si>
  <si>
    <t>Social Media</t>
  </si>
  <si>
    <t>Special Event, Payment FY-1</t>
  </si>
  <si>
    <t>Special Event, Payment increase FY-2</t>
  </si>
  <si>
    <t>Special Event,  FY-3</t>
  </si>
  <si>
    <t>Social Media, Payment FY-1</t>
  </si>
  <si>
    <t>Social Media, Payment increase FY-2</t>
  </si>
  <si>
    <t>Social Media,  FY-3</t>
  </si>
  <si>
    <t>Website</t>
  </si>
  <si>
    <t>KOL</t>
  </si>
  <si>
    <t>Trade Show</t>
  </si>
  <si>
    <t>Website, Payment FY-1</t>
  </si>
  <si>
    <t>Website, Payment increase FY-2</t>
  </si>
  <si>
    <t>Website,  FY-3</t>
  </si>
  <si>
    <t>KOL, Payment FY-1</t>
  </si>
  <si>
    <t>KOL, Payment increase FY-2</t>
  </si>
  <si>
    <t>KOL,  FY-3</t>
  </si>
  <si>
    <t>Trade Show, Payment FY-1</t>
  </si>
  <si>
    <t>Trade Show, Payment increase FY-2</t>
  </si>
  <si>
    <t>Trade Show,  FY-3</t>
  </si>
  <si>
    <t>SensIt 1.46</t>
  </si>
  <si>
    <t>Many Inputs, One Output</t>
  </si>
  <si>
    <t>Single-Factor Sensitivity Analysis</t>
  </si>
  <si>
    <t xml:space="preserve">Date </t>
  </si>
  <si>
    <t xml:space="preserve">Time </t>
  </si>
  <si>
    <t xml:space="preserve">Workbook </t>
  </si>
  <si>
    <t>Jiaxing Lin, Wenhao Zhou, Xiner Cai, Yinzhu Jiang, Zeyu ZhangMain Street BreweryCycle2.xlsm</t>
  </si>
  <si>
    <t xml:space="preserve">Output Cell </t>
  </si>
  <si>
    <t>'D-Analysis'!$D$236</t>
  </si>
  <si>
    <t>Corresponding Input Value</t>
  </si>
  <si>
    <t>Output Value</t>
  </si>
  <si>
    <t>Percent</t>
  </si>
  <si>
    <t>Input Variable</t>
  </si>
  <si>
    <t>Swing</t>
  </si>
  <si>
    <t>Swing^2</t>
  </si>
  <si>
    <t>Low Output</t>
  </si>
  <si>
    <t>Base Case</t>
  </si>
  <si>
    <t>High Output</t>
  </si>
  <si>
    <t>Low</t>
  </si>
  <si>
    <t>High</t>
  </si>
  <si>
    <t>Input Value as % of Base</t>
  </si>
  <si>
    <t>Low %</t>
  </si>
  <si>
    <t>Base %</t>
  </si>
  <si>
    <t>High %</t>
  </si>
  <si>
    <t>Input Value</t>
  </si>
  <si>
    <t>Percent of Base</t>
  </si>
  <si>
    <t>Two-Factor Sensitivity Analysis</t>
  </si>
  <si>
    <t>Corresponding Input Values</t>
  </si>
  <si>
    <t>Input Variables</t>
  </si>
  <si>
    <t>Input A</t>
  </si>
  <si>
    <t>Input B</t>
  </si>
  <si>
    <t>A One</t>
  </si>
  <si>
    <t>B One</t>
  </si>
  <si>
    <t>Output</t>
  </si>
  <si>
    <t>B Base</t>
  </si>
  <si>
    <t>B Other</t>
  </si>
  <si>
    <t>A Base</t>
  </si>
  <si>
    <t>A Other</t>
  </si>
  <si>
    <t>BR01-01, &amp; BR01-02,</t>
  </si>
  <si>
    <t>BR01-01, &amp; BR01-03,</t>
  </si>
  <si>
    <t>BR01-01, &amp; BR01-04,</t>
  </si>
  <si>
    <t>BR01-01, &amp; BR01-05,</t>
  </si>
  <si>
    <t>BR01-01, &amp; BR01-06,</t>
  </si>
  <si>
    <t>BR01-01, &amp; BR01-07,</t>
  </si>
  <si>
    <t>BR01-01, &amp; BR01-08,</t>
  </si>
  <si>
    <t>BR01-02, &amp; BR01-03,</t>
  </si>
  <si>
    <t>BR01-02, &amp; BR01-04,</t>
  </si>
  <si>
    <t>BR01-02, &amp; BR01-05,</t>
  </si>
  <si>
    <t>BR01-02, &amp; BR01-06,</t>
  </si>
  <si>
    <t>BR01-02, &amp; BR01-07,</t>
  </si>
  <si>
    <t>BR01-02, &amp; BR01-08,</t>
  </si>
  <si>
    <t>BR01-03, &amp; BR01-04,</t>
  </si>
  <si>
    <t>BR01-03, &amp; BR01-05,</t>
  </si>
  <si>
    <t>BR01-03, &amp; BR01-06,</t>
  </si>
  <si>
    <t>BR01-03, &amp; BR01-07,</t>
  </si>
  <si>
    <t>BR01-03, &amp; BR01-08,</t>
  </si>
  <si>
    <t>BR01-04, &amp; BR01-05,</t>
  </si>
  <si>
    <t>BR01-04, &amp; BR01-06,</t>
  </si>
  <si>
    <t>BR01-04, &amp; BR01-07,</t>
  </si>
  <si>
    <t>BR01-04, &amp; BR01-08,</t>
  </si>
  <si>
    <t>BR01-05, &amp; BR01-06,</t>
  </si>
  <si>
    <t>BR01-05, &amp; BR01-07,</t>
  </si>
  <si>
    <t>BR01-05, &amp; BR01-08,</t>
  </si>
  <si>
    <t>BR01-06, &amp; BR01-07,</t>
  </si>
  <si>
    <t>BR01-06, &amp; BR01-08,</t>
  </si>
  <si>
    <t>BR01-07, &amp; BR01-08,</t>
  </si>
  <si>
    <t>$11.00 &amp; $11.00</t>
  </si>
  <si>
    <t>$8.00 &amp; $8.00</t>
  </si>
  <si>
    <t>$11.00 &amp; $10.00</t>
  </si>
  <si>
    <t>$8.00 &amp; $7.50</t>
  </si>
  <si>
    <t>$11.00 &amp; $1.80</t>
  </si>
  <si>
    <t>$8.00 &amp; $2.50</t>
  </si>
  <si>
    <t>$8.00 &amp; $5.30</t>
  </si>
  <si>
    <t>$10.00 &amp; $10.00</t>
  </si>
  <si>
    <t>$7.50 &amp; $7.50</t>
  </si>
  <si>
    <t>$10.00 &amp; $1.80</t>
  </si>
  <si>
    <t>$7.50 &amp; $2.50</t>
  </si>
  <si>
    <t>$7.50 &amp; $5.30</t>
  </si>
  <si>
    <t>$1.80 &amp; $1.80</t>
  </si>
  <si>
    <t>$2.50 &amp; $2.50</t>
  </si>
  <si>
    <t>$5.30 &amp; $5.30</t>
  </si>
  <si>
    <t>optimal price</t>
  </si>
  <si>
    <t xml:space="preserve">max revenue </t>
  </si>
  <si>
    <t>Fin</t>
  </si>
  <si>
    <t>BR01-01, Material</t>
  </si>
  <si>
    <t>BR01-01, Labor</t>
  </si>
  <si>
    <t>BR01-01, Others</t>
  </si>
  <si>
    <t>BR01-02, Material</t>
  </si>
  <si>
    <t>BR01-02, Labor</t>
  </si>
  <si>
    <t>BR01-02, Others</t>
  </si>
  <si>
    <t>BR01-03, Material</t>
  </si>
  <si>
    <t>BR01-03, Labor</t>
  </si>
  <si>
    <t>BR01-03, Others</t>
  </si>
  <si>
    <t>BR01-04, Material</t>
  </si>
  <si>
    <t>BR01-04, Labor</t>
  </si>
  <si>
    <t>BR01-04, Others</t>
  </si>
  <si>
    <t>BR01-05, Material</t>
  </si>
  <si>
    <t>BR01-05, Labor</t>
  </si>
  <si>
    <t>BR01-05, Others</t>
  </si>
  <si>
    <t>BR01-06, Material</t>
  </si>
  <si>
    <t>BR01-06, Labor</t>
  </si>
  <si>
    <t>BR01-06, Others</t>
  </si>
  <si>
    <t>BR01-07, Material</t>
  </si>
  <si>
    <t>BR01-07, Labor</t>
  </si>
  <si>
    <t>BR01-07, Others</t>
  </si>
  <si>
    <t>BR01-08, Material</t>
  </si>
  <si>
    <t>BR01-08, Labor</t>
  </si>
  <si>
    <t>BR01-08, Others</t>
  </si>
  <si>
    <t>BR01-09, Material</t>
  </si>
  <si>
    <t>BR01-09, Labor</t>
  </si>
  <si>
    <t>BR01-09, Others</t>
  </si>
  <si>
    <t>Other</t>
  </si>
  <si>
    <t>Variable Cost</t>
  </si>
  <si>
    <t>Oper</t>
  </si>
  <si>
    <t>Weight</t>
    <phoneticPr fontId="87" type="noConversion"/>
  </si>
  <si>
    <t>(lb)</t>
    <phoneticPr fontId="87" type="noConversion"/>
  </si>
  <si>
    <t>(full) (lb)</t>
    <phoneticPr fontId="87" type="noConversion"/>
  </si>
  <si>
    <t>Height</t>
    <phoneticPr fontId="87" type="noConversion"/>
  </si>
  <si>
    <t>(inches)</t>
    <phoneticPr fontId="87" type="noConversion"/>
  </si>
  <si>
    <t>Diameter</t>
    <phoneticPr fontId="87" type="noConversion"/>
  </si>
  <si>
    <t>Demanded Quantity per Month</t>
    <phoneticPr fontId="87" type="noConversion"/>
  </si>
  <si>
    <t>Number of Tanks to Produce and Serve</t>
    <phoneticPr fontId="87" type="noConversion"/>
  </si>
  <si>
    <t>Percent Monthly Demand by Year</t>
    <phoneticPr fontId="87" type="noConversion"/>
  </si>
  <si>
    <t>Yes</t>
  </si>
  <si>
    <t>Inn</t>
  </si>
  <si>
    <t>cycle7-final.xlsm</t>
  </si>
  <si>
    <t>$8.00 &amp; $3.30</t>
  </si>
  <si>
    <t>$7.50 &amp; $3.30</t>
  </si>
  <si>
    <t>$3.30 &amp; $3.30</t>
  </si>
  <si>
    <t>Miscellaneous (Consultants),  Number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</si>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</sst>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 numFmtId="181" formatCode="&quot;¥&quot;#,##0.00"/>
  </numFmts>
  <fonts count="88">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
      <u/>
      <sz val="11"/>
      <color theme="1"/>
      <name val="Calibri"/>
      <family val="2"/>
      <scheme val="minor"/>
    </font>
    <font>
      <sz val="9"/>
      <name val="Calibri"/>
      <family val="3"/>
      <charset val="134"/>
      <scheme val="minor"/>
    </font>
  </fonts>
  <fills count="35">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
      <patternFill patternType="solid">
        <fgColor rgb="FFB4B4B4"/>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style="thin">
        <color indexed="64"/>
      </right>
      <top style="thin">
        <color indexed="64"/>
      </top>
      <bottom style="double">
        <color theme="8"/>
      </bottom>
      <diagonal/>
    </border>
    <border>
      <left/>
      <right style="thin">
        <color indexed="64"/>
      </right>
      <top/>
      <bottom style="double">
        <color theme="8"/>
      </bottom>
      <diagonal/>
    </border>
    <border>
      <left/>
      <right/>
      <top/>
      <bottom style="medium">
        <color indexed="8"/>
      </bottom>
      <diagonal/>
    </border>
    <border>
      <left/>
      <right style="medium">
        <color indexed="8"/>
      </right>
      <top style="medium">
        <color indexed="8"/>
      </top>
      <bottom style="double">
        <color theme="8"/>
      </bottom>
      <diagonal/>
    </border>
    <border>
      <left/>
      <right style="medium">
        <color indexed="8"/>
      </right>
      <top/>
      <bottom style="double">
        <color theme="8"/>
      </bottom>
      <diagonal/>
    </border>
    <border>
      <left/>
      <right style="medium">
        <color indexed="8"/>
      </right>
      <top/>
      <bottom/>
      <diagonal/>
    </border>
    <border>
      <left/>
      <right style="medium">
        <color indexed="8"/>
      </right>
      <top style="medium">
        <color indexed="8"/>
      </top>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456">
    <xf numFmtId="0" fontId="0" fillId="0" borderId="0" xfId="0"/>
    <xf numFmtId="0" fontId="1" fillId="0" borderId="0" xfId="1" applyNumberFormat="1"/>
    <xf numFmtId="0" fontId="2"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4" fillId="0" borderId="1" xfId="1" applyNumberFormat="1" applyFont="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8" fillId="0" borderId="0" xfId="1" applyFont="1"/>
    <xf numFmtId="164" fontId="14" fillId="0" borderId="0" xfId="1" applyFont="1"/>
    <xf numFmtId="164" fontId="15" fillId="0" borderId="0" xfId="1" applyFont="1"/>
    <xf numFmtId="164" fontId="16" fillId="0" borderId="0" xfId="1" applyFont="1"/>
    <xf numFmtId="164" fontId="17" fillId="0" borderId="0" xfId="1" applyFont="1"/>
    <xf numFmtId="164" fontId="20" fillId="0" borderId="0" xfId="1" applyFont="1"/>
    <xf numFmtId="164" fontId="18" fillId="0" borderId="0" xfId="1" applyFont="1"/>
    <xf numFmtId="164" fontId="19" fillId="0" borderId="0" xfId="1" applyFont="1"/>
    <xf numFmtId="164" fontId="21" fillId="0" borderId="0" xfId="1" applyFont="1"/>
    <xf numFmtId="164" fontId="22" fillId="0" borderId="0" xfId="1" applyFont="1"/>
    <xf numFmtId="164" fontId="1" fillId="0" borderId="0" xfId="1" applyProtection="1">
      <protection locked="0"/>
    </xf>
    <xf numFmtId="164" fontId="18" fillId="0" borderId="0" xfId="1" applyFont="1" applyProtection="1">
      <protection locked="0"/>
    </xf>
    <xf numFmtId="164" fontId="18" fillId="0" borderId="0" xfId="1" applyFont="1" applyAlignment="1">
      <alignment horizontal="center"/>
    </xf>
    <xf numFmtId="164" fontId="23" fillId="0" borderId="0" xfId="1" applyFont="1"/>
    <xf numFmtId="0" fontId="3" fillId="0" borderId="0" xfId="1" applyNumberFormat="1" applyFont="1"/>
    <xf numFmtId="0" fontId="11" fillId="0" borderId="11" xfId="1" applyNumberFormat="1" applyFont="1" applyBorder="1"/>
    <xf numFmtId="0" fontId="14" fillId="0" borderId="14" xfId="1" applyNumberFormat="1" applyFont="1" applyBorder="1" applyAlignment="1">
      <alignment horizontal="left"/>
    </xf>
    <xf numFmtId="0" fontId="14" fillId="0" borderId="0" xfId="1" applyNumberFormat="1" applyFont="1"/>
    <xf numFmtId="0" fontId="11" fillId="0" borderId="12" xfId="1" applyNumberFormat="1" applyFont="1" applyBorder="1"/>
    <xf numFmtId="0" fontId="1" fillId="0" borderId="0" xfId="1" applyNumberFormat="1" applyAlignment="1">
      <alignment horizontal="center"/>
    </xf>
    <xf numFmtId="0" fontId="11" fillId="0" borderId="0" xfId="2" applyNumberFormat="1" applyFont="1" applyFill="1" applyBorder="1" applyAlignment="1">
      <alignment horizontal="center"/>
    </xf>
    <xf numFmtId="0" fontId="11" fillId="0" borderId="0" xfId="1" applyNumberFormat="1" applyFont="1" applyAlignment="1">
      <alignment horizontal="left"/>
    </xf>
    <xf numFmtId="0" fontId="14" fillId="0" borderId="0" xfId="1" applyNumberFormat="1" applyFont="1" applyAlignment="1">
      <alignment horizontal="left"/>
    </xf>
    <xf numFmtId="0" fontId="11" fillId="0" borderId="0" xfId="3" applyNumberFormat="1" applyFont="1" applyFill="1" applyBorder="1"/>
    <xf numFmtId="0" fontId="11" fillId="0" borderId="1" xfId="1" applyNumberFormat="1" applyFont="1" applyBorder="1" applyAlignment="1">
      <alignment horizontal="center"/>
    </xf>
    <xf numFmtId="0" fontId="9" fillId="0" borderId="0" xfId="1" applyNumberFormat="1" applyFont="1"/>
    <xf numFmtId="0" fontId="11" fillId="0" borderId="26" xfId="1" applyNumberFormat="1" applyFont="1" applyBorder="1"/>
    <xf numFmtId="0" fontId="9" fillId="0" borderId="0" xfId="1" applyNumberFormat="1" applyFont="1" applyAlignment="1">
      <alignment horizontal="right"/>
    </xf>
    <xf numFmtId="0" fontId="12" fillId="0" borderId="0" xfId="1" applyNumberFormat="1" applyFont="1"/>
    <xf numFmtId="0" fontId="14" fillId="0" borderId="0" xfId="1" applyNumberFormat="1" applyFont="1" applyAlignment="1">
      <alignment horizontal="center"/>
    </xf>
    <xf numFmtId="0" fontId="11" fillId="0" borderId="42" xfId="1" applyNumberFormat="1" applyFont="1" applyBorder="1" applyAlignment="1">
      <alignment horizontal="center"/>
    </xf>
    <xf numFmtId="0" fontId="8" fillId="0" borderId="0" xfId="1" applyNumberFormat="1" applyFont="1" applyAlignment="1">
      <alignment horizontal="center"/>
    </xf>
    <xf numFmtId="0" fontId="14" fillId="0" borderId="0" xfId="1" applyNumberFormat="1" applyFont="1" applyAlignment="1">
      <alignment horizontal="right"/>
    </xf>
    <xf numFmtId="0" fontId="14" fillId="0" borderId="1" xfId="1" applyNumberFormat="1" applyFont="1" applyBorder="1" applyAlignment="1">
      <alignment horizontal="center"/>
    </xf>
    <xf numFmtId="0" fontId="14" fillId="0" borderId="17" xfId="1" applyNumberFormat="1" applyFont="1" applyBorder="1" applyAlignment="1">
      <alignment horizontal="center"/>
    </xf>
    <xf numFmtId="0" fontId="11" fillId="0" borderId="33" xfId="1" applyNumberFormat="1" applyFont="1" applyBorder="1"/>
    <xf numFmtId="6" fontId="11" fillId="0" borderId="0" xfId="3" applyNumberFormat="1" applyFont="1" applyAlignment="1"/>
    <xf numFmtId="0" fontId="14" fillId="0" borderId="45" xfId="1" applyNumberFormat="1" applyFont="1" applyBorder="1" applyAlignment="1">
      <alignment horizontal="center"/>
    </xf>
    <xf numFmtId="0" fontId="11" fillId="0" borderId="0" xfId="1" applyNumberFormat="1" applyFont="1" applyAlignment="1">
      <alignment horizontal="right"/>
    </xf>
    <xf numFmtId="0" fontId="11" fillId="0" borderId="0" xfId="2" applyNumberFormat="1" applyFont="1" applyBorder="1" applyAlignment="1">
      <alignment horizontal="right"/>
    </xf>
    <xf numFmtId="0" fontId="14" fillId="0" borderId="0" xfId="1" applyNumberFormat="1" applyFont="1" applyAlignment="1">
      <alignment vertical="center"/>
    </xf>
    <xf numFmtId="0" fontId="11" fillId="0" borderId="0" xfId="1" applyNumberFormat="1" applyFont="1" applyAlignment="1">
      <alignment vertical="center"/>
    </xf>
    <xf numFmtId="0" fontId="26" fillId="0" borderId="0" xfId="1" applyNumberFormat="1" applyFont="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6" fontId="11" fillId="0" borderId="0" xfId="1" applyNumberFormat="1" applyFont="1" applyAlignment="1">
      <alignment horizontal="left"/>
    </xf>
    <xf numFmtId="6" fontId="11" fillId="0" borderId="0" xfId="1" applyNumberFormat="1" applyFont="1"/>
    <xf numFmtId="0" fontId="14" fillId="0" borderId="0" xfId="2" applyNumberFormat="1" applyFont="1" applyAlignment="1">
      <alignment horizontal="left"/>
    </xf>
    <xf numFmtId="0" fontId="11" fillId="0" borderId="0" xfId="2" applyNumberFormat="1" applyFont="1" applyFill="1" applyAlignment="1"/>
    <xf numFmtId="0" fontId="26" fillId="0" borderId="0" xfId="1" applyNumberFormat="1" applyFont="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27" fillId="0" borderId="0" xfId="1" applyNumberFormat="1" applyFont="1" applyAlignment="1">
      <alignment horizontal="center"/>
    </xf>
    <xf numFmtId="0" fontId="28" fillId="0" borderId="0" xfId="1" applyNumberFormat="1" applyFont="1" applyAlignment="1">
      <alignment horizontal="center"/>
    </xf>
    <xf numFmtId="0" fontId="11" fillId="0" borderId="28" xfId="1" applyNumberFormat="1" applyFont="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Border="1" applyAlignment="1">
      <alignment horizontal="center"/>
    </xf>
    <xf numFmtId="0" fontId="14" fillId="0" borderId="16" xfId="1" applyNumberFormat="1" applyFont="1" applyBorder="1" applyAlignment="1">
      <alignment horizontal="left"/>
    </xf>
    <xf numFmtId="0" fontId="11" fillId="0" borderId="46" xfId="1" applyNumberFormat="1" applyFont="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xf numFmtId="38" fontId="14" fillId="0" borderId="24" xfId="2" applyNumberFormat="1" applyFont="1" applyBorder="1" applyAlignment="1">
      <alignment horizontal="center"/>
    </xf>
    <xf numFmtId="0" fontId="26" fillId="0" borderId="0" xfId="1" applyNumberFormat="1" applyFont="1"/>
    <xf numFmtId="0" fontId="14" fillId="0" borderId="26" xfId="1" applyNumberFormat="1" applyFont="1" applyBorder="1"/>
    <xf numFmtId="38" fontId="11" fillId="0" borderId="0" xfId="1" applyNumberFormat="1" applyFont="1"/>
    <xf numFmtId="164" fontId="11" fillId="0" borderId="0" xfId="1" applyFont="1" applyAlignment="1">
      <alignment horizontal="left"/>
    </xf>
    <xf numFmtId="6" fontId="11" fillId="0" borderId="0" xfId="3" applyNumberFormat="1" applyFont="1" applyFill="1" applyBorder="1" applyAlignment="1">
      <alignment horizontal="center"/>
    </xf>
    <xf numFmtId="2" fontId="11" fillId="0" borderId="0" xfId="1" applyNumberFormat="1" applyFont="1" applyAlignment="1">
      <alignment horizontal="center"/>
    </xf>
    <xf numFmtId="38" fontId="11" fillId="0" borderId="0" xfId="2"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Border="1" applyAlignment="1">
      <alignment horizontal="left"/>
    </xf>
    <xf numFmtId="167" fontId="11" fillId="0" borderId="1" xfId="1" applyNumberFormat="1" applyFont="1" applyBorder="1" applyAlignment="1">
      <alignment horizontal="left"/>
    </xf>
    <xf numFmtId="0" fontId="14" fillId="0" borderId="1" xfId="1" applyNumberFormat="1" applyFont="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Alignment="1">
      <alignment horizontal="center"/>
    </xf>
    <xf numFmtId="0" fontId="11" fillId="0" borderId="0" xfId="2" applyNumberFormat="1" applyFont="1" applyFill="1" applyBorder="1" applyAlignment="1">
      <alignment horizontal="right"/>
    </xf>
    <xf numFmtId="0" fontId="11" fillId="0" borderId="42" xfId="1" applyNumberFormat="1" applyFont="1" applyBorder="1"/>
    <xf numFmtId="0" fontId="11" fillId="2" borderId="0" xfId="1" applyNumberFormat="1" applyFont="1" applyFill="1" applyAlignment="1">
      <alignment horizontal="center"/>
    </xf>
    <xf numFmtId="2" fontId="11" fillId="2" borderId="0" xfId="1" applyNumberFormat="1" applyFont="1" applyFill="1" applyAlignment="1">
      <alignment horizontal="center"/>
    </xf>
    <xf numFmtId="0" fontId="11" fillId="11" borderId="0" xfId="1" applyNumberFormat="1" applyFont="1" applyFill="1"/>
    <xf numFmtId="0" fontId="11" fillId="11" borderId="0" xfId="1" applyNumberFormat="1" applyFont="1" applyFill="1" applyAlignment="1">
      <alignment horizontal="center"/>
    </xf>
    <xf numFmtId="0" fontId="11" fillId="0" borderId="18" xfId="1" applyNumberFormat="1" applyFont="1" applyBorder="1"/>
    <xf numFmtId="0" fontId="11" fillId="0" borderId="2" xfId="1" applyNumberFormat="1" applyFont="1" applyBorder="1"/>
    <xf numFmtId="0" fontId="11" fillId="0" borderId="3" xfId="1" applyNumberFormat="1" applyFont="1" applyBorder="1"/>
    <xf numFmtId="0" fontId="11" fillId="0" borderId="38" xfId="1" applyNumberFormat="1" applyFont="1" applyBorder="1"/>
    <xf numFmtId="0" fontId="11" fillId="0" borderId="4" xfId="1" applyNumberFormat="1" applyFont="1" applyBorder="1" applyAlignment="1">
      <alignment horizontal="center"/>
    </xf>
    <xf numFmtId="0" fontId="44" fillId="0" borderId="0" xfId="0" applyFont="1"/>
    <xf numFmtId="0" fontId="11" fillId="12" borderId="0" xfId="1" applyNumberFormat="1" applyFont="1" applyFill="1" applyAlignment="1">
      <alignment horizontal="center"/>
    </xf>
    <xf numFmtId="0" fontId="11" fillId="12" borderId="0" xfId="1" applyNumberFormat="1" applyFont="1" applyFill="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Border="1" applyAlignment="1">
      <alignment horizontal="center"/>
    </xf>
    <xf numFmtId="0" fontId="11" fillId="0" borderId="12" xfId="1" applyNumberFormat="1" applyFont="1" applyBorder="1" applyAlignment="1">
      <alignment horizontal="left"/>
    </xf>
    <xf numFmtId="0" fontId="11" fillId="0" borderId="15" xfId="1" applyNumberFormat="1" applyFont="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Font="1" applyFill="1" applyBorder="1" applyAlignment="1">
      <alignment horizontal="center"/>
    </xf>
    <xf numFmtId="8" fontId="11" fillId="0" borderId="0" xfId="1" applyNumberFormat="1" applyFont="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xf numFmtId="0" fontId="14" fillId="0" borderId="7" xfId="1" applyNumberFormat="1" applyFont="1" applyBorder="1" applyAlignment="1">
      <alignment horizontal="center"/>
    </xf>
    <xf numFmtId="6" fontId="14" fillId="0" borderId="0" xfId="1" applyNumberFormat="1" applyFont="1" applyAlignment="1">
      <alignment horizontal="center"/>
    </xf>
    <xf numFmtId="166" fontId="14" fillId="0" borderId="0" xfId="1" applyNumberFormat="1" applyFont="1"/>
    <xf numFmtId="166" fontId="14" fillId="0" borderId="0" xfId="1" applyNumberFormat="1" applyFont="1" applyAlignment="1">
      <alignment horizontal="center"/>
    </xf>
    <xf numFmtId="7" fontId="0" fillId="0" borderId="0" xfId="0" applyNumberFormat="1"/>
    <xf numFmtId="1" fontId="11" fillId="0" borderId="0" xfId="2" applyNumberFormat="1" applyFont="1" applyFill="1" applyBorder="1" applyAlignment="1">
      <alignment horizontal="center"/>
    </xf>
    <xf numFmtId="0" fontId="47" fillId="0" borderId="0" xfId="1" applyNumberFormat="1" applyFont="1" applyAlignment="1">
      <alignment horizontal="left"/>
    </xf>
    <xf numFmtId="164" fontId="45" fillId="0" borderId="0" xfId="1" applyFont="1"/>
    <xf numFmtId="38" fontId="29" fillId="0" borderId="9" xfId="1" applyNumberFormat="1" applyFont="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Alignment="1">
      <alignment horizontal="center"/>
    </xf>
    <xf numFmtId="0" fontId="11" fillId="15" borderId="0" xfId="1" applyNumberFormat="1" applyFont="1" applyFill="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Alignment="1">
      <alignment horizontal="left"/>
    </xf>
    <xf numFmtId="38" fontId="11" fillId="0" borderId="0" xfId="2" applyNumberFormat="1" applyFont="1" applyFill="1" applyBorder="1" applyAlignment="1">
      <alignment horizontal="righ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164" fontId="11" fillId="16" borderId="0" xfId="1" applyFont="1" applyFill="1"/>
    <xf numFmtId="0" fontId="11" fillId="16" borderId="0" xfId="1" applyNumberFormat="1" applyFont="1" applyFill="1"/>
    <xf numFmtId="0" fontId="14" fillId="16" borderId="0" xfId="1" applyNumberFormat="1" applyFont="1" applyFill="1" applyAlignment="1">
      <alignment horizontal="center"/>
    </xf>
    <xf numFmtId="6" fontId="14" fillId="0" borderId="33" xfId="1" applyNumberFormat="1" applyFont="1" applyBorder="1"/>
    <xf numFmtId="164" fontId="1" fillId="0" borderId="0" xfId="1" applyAlignment="1">
      <alignment horizontal="center"/>
    </xf>
    <xf numFmtId="0" fontId="0" fillId="0" borderId="0" xfId="0" applyAlignment="1">
      <alignment horizontal="left"/>
    </xf>
    <xf numFmtId="0" fontId="0" fillId="0" borderId="10" xfId="0" applyBorder="1" applyAlignment="1">
      <alignment horizontal="left"/>
    </xf>
    <xf numFmtId="0" fontId="52" fillId="0" borderId="0" xfId="0" applyFont="1" applyAlignment="1">
      <alignment horizontal="left"/>
    </xf>
    <xf numFmtId="0" fontId="55" fillId="0" borderId="0" xfId="0" applyFont="1" applyAlignment="1">
      <alignment horizontal="right" vertical="center"/>
    </xf>
    <xf numFmtId="0" fontId="54" fillId="0" borderId="0" xfId="0" applyFont="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8" fillId="0" borderId="0" xfId="1" applyNumberFormat="1" applyFont="1" applyAlignment="1">
      <alignment horizontal="right" vertical="center"/>
    </xf>
    <xf numFmtId="0" fontId="47" fillId="0" borderId="0" xfId="1" applyNumberFormat="1" applyFont="1" applyAlignment="1">
      <alignment horizontal="center"/>
    </xf>
    <xf numFmtId="164" fontId="1" fillId="0" borderId="0" xfId="1" applyAlignment="1">
      <alignment horizontal="right"/>
    </xf>
    <xf numFmtId="0" fontId="3" fillId="0" borderId="0" xfId="1" applyNumberFormat="1" applyFont="1" applyAlignment="1">
      <alignment horizontal="right"/>
    </xf>
    <xf numFmtId="0" fontId="11" fillId="11" borderId="0" xfId="1" applyNumberFormat="1" applyFont="1" applyFill="1" applyAlignment="1">
      <alignment horizontal="right"/>
    </xf>
    <xf numFmtId="0" fontId="5" fillId="0" borderId="0" xfId="1" applyNumberFormat="1" applyFont="1" applyAlignment="1">
      <alignment horizontal="center"/>
    </xf>
    <xf numFmtId="0" fontId="3" fillId="0" borderId="1" xfId="1" applyNumberFormat="1" applyFont="1" applyBorder="1"/>
    <xf numFmtId="10" fontId="24" fillId="2" borderId="0" xfId="8" applyNumberFormat="1" applyFont="1" applyFill="1" applyBorder="1" applyAlignment="1" applyProtection="1">
      <alignment horizontal="center"/>
      <protection locked="0"/>
    </xf>
    <xf numFmtId="0" fontId="3" fillId="0" borderId="0" xfId="1" applyNumberFormat="1" applyFont="1" applyAlignment="1">
      <alignment horizontal="center" vertical="center"/>
    </xf>
    <xf numFmtId="0" fontId="1" fillId="0" borderId="1" xfId="1" applyNumberFormat="1" applyBorder="1"/>
    <xf numFmtId="0" fontId="1" fillId="0" borderId="0" xfId="1" applyNumberFormat="1" applyAlignment="1">
      <alignment horizontal="center" vertical="center"/>
    </xf>
    <xf numFmtId="10" fontId="11" fillId="0" borderId="0" xfId="1" applyNumberFormat="1" applyFont="1" applyAlignment="1">
      <alignment horizontal="center" vertical="center"/>
    </xf>
    <xf numFmtId="38" fontId="11" fillId="0" borderId="0" xfId="1" applyNumberFormat="1" applyFont="1" applyAlignment="1">
      <alignment horizontal="right"/>
    </xf>
    <xf numFmtId="169" fontId="1" fillId="0" borderId="0" xfId="1" applyNumberFormat="1"/>
    <xf numFmtId="0" fontId="5" fillId="0" borderId="0" xfId="1" applyNumberFormat="1" applyFont="1"/>
    <xf numFmtId="38" fontId="11" fillId="0" borderId="35" xfId="1" applyNumberFormat="1" applyFont="1" applyBorder="1" applyAlignment="1">
      <alignment horizontal="right"/>
    </xf>
    <xf numFmtId="38" fontId="11" fillId="0" borderId="1" xfId="1" applyNumberFormat="1" applyFont="1" applyBorder="1" applyAlignment="1">
      <alignment horizontal="right"/>
    </xf>
    <xf numFmtId="0" fontId="1" fillId="0" borderId="0" xfId="1" applyNumberFormat="1" applyAlignment="1">
      <alignment horizontal="right"/>
    </xf>
    <xf numFmtId="169" fontId="1" fillId="0" borderId="0" xfId="1" applyNumberFormat="1" applyAlignment="1">
      <alignment horizontal="center" vertical="center"/>
    </xf>
    <xf numFmtId="1" fontId="1" fillId="0" borderId="0" xfId="1" applyNumberFormat="1"/>
    <xf numFmtId="0" fontId="11" fillId="0" borderId="0" xfId="1" applyNumberFormat="1" applyFont="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Alignment="1">
      <alignment horizontal="center" vertical="center"/>
    </xf>
    <xf numFmtId="0" fontId="11" fillId="12" borderId="0" xfId="1" applyNumberFormat="1" applyFont="1" applyFill="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Alignment="1">
      <alignment horizontal="center"/>
    </xf>
    <xf numFmtId="0" fontId="5" fillId="0" borderId="0" xfId="1" applyNumberFormat="1" applyFont="1" applyAlignment="1">
      <alignment horizontal="left"/>
    </xf>
    <xf numFmtId="0" fontId="5" fillId="0" borderId="40" xfId="1" applyNumberFormat="1" applyFont="1" applyBorder="1" applyAlignment="1">
      <alignment horizontal="left"/>
    </xf>
    <xf numFmtId="164" fontId="8" fillId="0" borderId="0" xfId="1" applyFont="1" applyAlignment="1">
      <alignment horizontal="right"/>
    </xf>
    <xf numFmtId="0" fontId="5" fillId="0" borderId="1" xfId="1" applyNumberFormat="1" applyFont="1" applyBorder="1"/>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Border="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Alignment="1">
      <alignment horizontal="center"/>
    </xf>
    <xf numFmtId="40" fontId="11" fillId="15" borderId="0" xfId="2" applyFont="1" applyFill="1" applyBorder="1" applyAlignment="1">
      <alignment horizontal="center"/>
    </xf>
    <xf numFmtId="8" fontId="11" fillId="15" borderId="0" xfId="1" applyNumberFormat="1" applyFont="1" applyFill="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Border="1" applyAlignment="1">
      <alignment horizontal="center"/>
    </xf>
    <xf numFmtId="38" fontId="11" fillId="15" borderId="0" xfId="1" applyNumberFormat="1" applyFont="1" applyFill="1" applyAlignment="1">
      <alignment horizontal="right"/>
    </xf>
    <xf numFmtId="38" fontId="11" fillId="15" borderId="0" xfId="1" applyNumberFormat="1" applyFont="1" applyFill="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1" fillId="0" borderId="0" xfId="2" applyNumberFormat="1" applyFont="1" applyFill="1" applyBorder="1" applyAlignment="1" applyProtection="1">
      <alignment horizontal="center"/>
    </xf>
    <xf numFmtId="0" fontId="14" fillId="0" borderId="2" xfId="1" applyNumberFormat="1" applyFont="1" applyBorder="1" applyAlignment="1">
      <alignment horizontal="center"/>
    </xf>
    <xf numFmtId="0" fontId="14" fillId="0" borderId="2" xfId="1" applyNumberFormat="1" applyFont="1" applyBorder="1"/>
    <xf numFmtId="0" fontId="11" fillId="0" borderId="40" xfId="1" applyNumberFormat="1" applyFont="1" applyBorder="1"/>
    <xf numFmtId="0" fontId="11" fillId="0" borderId="40" xfId="1" applyNumberFormat="1" applyFont="1" applyBorder="1" applyAlignment="1">
      <alignment horizontal="right"/>
    </xf>
    <xf numFmtId="0" fontId="11" fillId="0" borderId="32" xfId="1" applyNumberFormat="1" applyFont="1" applyBorder="1"/>
    <xf numFmtId="0" fontId="11" fillId="0" borderId="32" xfId="1" applyNumberFormat="1" applyFont="1" applyBorder="1" applyAlignment="1">
      <alignment horizontal="right"/>
    </xf>
    <xf numFmtId="0" fontId="11" fillId="0" borderId="32" xfId="1" applyNumberFormat="1" applyFont="1" applyBorder="1" applyAlignment="1">
      <alignment horizontal="center" vertical="center" wrapText="1"/>
    </xf>
    <xf numFmtId="0" fontId="11" fillId="0" borderId="1" xfId="1" applyNumberFormat="1" applyFont="1" applyBorder="1" applyAlignment="1">
      <alignment horizontal="center" vertical="center" wrapText="1"/>
    </xf>
    <xf numFmtId="0" fontId="11" fillId="0" borderId="52" xfId="1" applyNumberFormat="1" applyFont="1" applyBorder="1"/>
    <xf numFmtId="0" fontId="11" fillId="0" borderId="42" xfId="1" applyNumberFormat="1" applyFont="1" applyBorder="1" applyAlignment="1">
      <alignment horizontal="right"/>
    </xf>
    <xf numFmtId="0" fontId="11" fillId="0" borderId="42" xfId="1" applyNumberFormat="1" applyFont="1" applyBorder="1" applyAlignment="1">
      <alignment horizontal="center" vertical="center" wrapText="1"/>
    </xf>
    <xf numFmtId="169" fontId="11" fillId="0" borderId="1" xfId="6" applyNumberFormat="1" applyFont="1" applyBorder="1" applyProtection="1"/>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Border="1"/>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xf numFmtId="169" fontId="11" fillId="0" borderId="1" xfId="1" applyNumberFormat="1" applyFont="1" applyBorder="1"/>
    <xf numFmtId="0" fontId="11" fillId="0" borderId="2" xfId="1" applyNumberFormat="1" applyFont="1" applyBorder="1" applyAlignment="1">
      <alignment horizontal="right"/>
    </xf>
    <xf numFmtId="0" fontId="11" fillId="0" borderId="34" xfId="1" applyNumberFormat="1" applyFont="1" applyBorder="1"/>
    <xf numFmtId="9" fontId="11" fillId="0" borderId="1" xfId="8" applyFont="1" applyFill="1" applyBorder="1" applyProtection="1"/>
    <xf numFmtId="0" fontId="11" fillId="0" borderId="1" xfId="1" applyNumberFormat="1" applyFont="1" applyBorder="1" applyAlignment="1">
      <alignment horizontal="right"/>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3" applyNumberFormat="1" applyFont="1" applyFill="1" applyBorder="1" applyAlignment="1" applyProtection="1">
      <alignment horizontal="center"/>
    </xf>
    <xf numFmtId="0" fontId="11" fillId="2" borderId="0" xfId="1" applyNumberFormat="1" applyFont="1" applyFill="1" applyAlignment="1">
      <alignment horizontal="right"/>
    </xf>
    <xf numFmtId="165" fontId="11" fillId="2" borderId="0" xfId="1" applyNumberFormat="1" applyFont="1" applyFill="1" applyAlignment="1">
      <alignment horizontal="center"/>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1" fillId="0" borderId="0" xfId="3" applyNumberFormat="1" applyFont="1" applyFill="1" applyBorder="1" applyAlignment="1" applyProtection="1">
      <alignment horizontal="center"/>
    </xf>
    <xf numFmtId="0" fontId="48" fillId="0" borderId="0" xfId="1" applyNumberFormat="1" applyFont="1"/>
    <xf numFmtId="169" fontId="11" fillId="0" borderId="0" xfId="6" applyNumberFormat="1" applyFont="1" applyFill="1" applyBorder="1" applyAlignment="1" applyProtection="1">
      <alignment horizontal="center"/>
    </xf>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169" fontId="24" fillId="0" borderId="0" xfId="6" applyNumberFormat="1" applyFont="1" applyFill="1" applyBorder="1" applyAlignment="1" applyProtection="1">
      <alignment horizontal="center"/>
    </xf>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24" fillId="0" borderId="1" xfId="6" applyNumberFormat="1" applyFont="1" applyFill="1" applyBorder="1" applyAlignment="1" applyProtection="1">
      <alignment horizontal="center"/>
    </xf>
    <xf numFmtId="173" fontId="11" fillId="0" borderId="0" xfId="6" applyNumberFormat="1" applyFont="1" applyFill="1" applyBorder="1" applyAlignment="1" applyProtection="1">
      <alignment horizontal="center"/>
    </xf>
    <xf numFmtId="10" fontId="1" fillId="0" borderId="0" xfId="8" applyNumberFormat="1" applyFont="1" applyFill="1" applyBorder="1" applyAlignment="1" applyProtection="1">
      <alignment horizontal="center" vertical="center"/>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164" fontId="11" fillId="0" borderId="0" xfId="1" applyFont="1" applyAlignment="1">
      <alignment horizontal="center"/>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7" fontId="11" fillId="0" borderId="0" xfId="1" applyNumberFormat="1" applyFont="1"/>
    <xf numFmtId="0" fontId="11" fillId="2" borderId="0" xfId="1" applyNumberFormat="1" applyFont="1" applyFill="1" applyAlignment="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40" fontId="14" fillId="0" borderId="10" xfId="2" applyFont="1" applyBorder="1" applyAlignment="1">
      <alignment horizontal="center"/>
    </xf>
    <xf numFmtId="0" fontId="14" fillId="0" borderId="10" xfId="1" applyNumberFormat="1" applyFont="1" applyBorder="1"/>
    <xf numFmtId="0" fontId="0" fillId="0" borderId="10" xfId="0" applyBorder="1"/>
    <xf numFmtId="0" fontId="44" fillId="0" borderId="38" xfId="0" applyFont="1" applyBorder="1"/>
    <xf numFmtId="0" fontId="0" fillId="0" borderId="38" xfId="0" applyBorder="1"/>
    <xf numFmtId="0" fontId="59" fillId="0" borderId="38" xfId="1" applyNumberFormat="1" applyFont="1" applyBorder="1" applyAlignment="1">
      <alignment horizontal="left"/>
    </xf>
    <xf numFmtId="0" fontId="59" fillId="0" borderId="38" xfId="1" applyNumberFormat="1" applyFont="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24" fillId="0" borderId="1" xfId="1" applyNumberFormat="1" applyFont="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Alignment="1">
      <alignment horizontal="center"/>
    </xf>
    <xf numFmtId="0" fontId="14" fillId="15" borderId="0" xfId="1" applyNumberFormat="1" applyFont="1" applyFill="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Border="1" applyAlignment="1">
      <alignment horizontal="center"/>
    </xf>
    <xf numFmtId="0" fontId="75" fillId="0" borderId="1" xfId="0" applyFont="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Alignment="1">
      <alignment horizontal="center"/>
    </xf>
    <xf numFmtId="0" fontId="51" fillId="0" borderId="0" xfId="0" applyFont="1"/>
    <xf numFmtId="0" fontId="4" fillId="0" borderId="0" xfId="0" applyFont="1"/>
    <xf numFmtId="0" fontId="78" fillId="0" borderId="0" xfId="0" applyFont="1"/>
    <xf numFmtId="0" fontId="74" fillId="0" borderId="0" xfId="0" applyFont="1" applyAlignment="1">
      <alignment horizontal="center"/>
    </xf>
    <xf numFmtId="0" fontId="79" fillId="0" borderId="0" xfId="0" applyFont="1" applyAlignment="1">
      <alignment horizontal="center"/>
    </xf>
    <xf numFmtId="0" fontId="44" fillId="29" borderId="0" xfId="0" applyFont="1" applyFill="1"/>
    <xf numFmtId="0" fontId="44" fillId="29" borderId="38" xfId="0" applyFont="1" applyFill="1" applyBorder="1"/>
    <xf numFmtId="0" fontId="8" fillId="29" borderId="38" xfId="1" applyNumberFormat="1" applyFont="1" applyFill="1" applyBorder="1"/>
    <xf numFmtId="10" fontId="44" fillId="0" borderId="0" xfId="0" applyNumberFormat="1" applyFont="1"/>
    <xf numFmtId="0" fontId="59" fillId="29" borderId="38" xfId="1" applyNumberFormat="1" applyFont="1" applyFill="1" applyBorder="1" applyAlignment="1">
      <alignment horizontal="left"/>
    </xf>
    <xf numFmtId="0" fontId="51" fillId="28" borderId="0" xfId="0" applyFont="1" applyFill="1" applyAlignment="1">
      <alignment horizontal="center"/>
    </xf>
    <xf numFmtId="0" fontId="19" fillId="0" borderId="38" xfId="1" applyNumberFormat="1" applyFont="1" applyBorder="1" applyAlignment="1">
      <alignment horizontal="left"/>
    </xf>
    <xf numFmtId="40" fontId="14" fillId="0" borderId="0" xfId="2" applyFont="1" applyFill="1" applyBorder="1" applyAlignment="1">
      <alignment horizontal="center"/>
    </xf>
    <xf numFmtId="6" fontId="14" fillId="0" borderId="0" xfId="1" applyNumberFormat="1" applyFont="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6" fontId="11" fillId="0" borderId="0" xfId="3" applyNumberFormat="1" applyFont="1" applyFill="1" applyBorder="1"/>
    <xf numFmtId="0" fontId="11" fillId="0" borderId="15" xfId="1" applyNumberFormat="1" applyFont="1" applyBorder="1"/>
    <xf numFmtId="0" fontId="11" fillId="0" borderId="0" xfId="2" applyNumberFormat="1" applyFont="1" applyFill="1" applyBorder="1" applyAlignment="1"/>
    <xf numFmtId="166" fontId="11" fillId="0" borderId="0" xfId="7" applyNumberFormat="1" applyFont="1" applyFill="1" applyBorder="1" applyAlignment="1"/>
    <xf numFmtId="8" fontId="14" fillId="0" borderId="0" xfId="1" applyNumberFormat="1" applyFont="1"/>
    <xf numFmtId="0" fontId="47" fillId="0" borderId="0" xfId="1" applyNumberFormat="1" applyFont="1" applyAlignment="1">
      <alignment horizontal="center" vertical="center"/>
    </xf>
    <xf numFmtId="175" fontId="11" fillId="0" borderId="12" xfId="1" applyNumberFormat="1" applyFont="1" applyBorder="1"/>
    <xf numFmtId="175" fontId="11" fillId="0" borderId="15" xfId="1" applyNumberFormat="1" applyFont="1" applyBorder="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4" fillId="0" borderId="15" xfId="1" applyNumberFormat="1" applyFont="1" applyBorder="1"/>
    <xf numFmtId="0" fontId="2" fillId="0" borderId="0" xfId="1" applyNumberFormat="1" applyFont="1" applyAlignment="1">
      <alignment horizontal="left"/>
    </xf>
    <xf numFmtId="0" fontId="8" fillId="0" borderId="0" xfId="1" applyNumberFormat="1" applyFont="1" applyAlignment="1">
      <alignment horizontal="left"/>
    </xf>
    <xf numFmtId="0" fontId="1" fillId="0" borderId="0" xfId="1" applyNumberFormat="1" applyAlignment="1">
      <alignment horizontal="left"/>
    </xf>
    <xf numFmtId="0" fontId="80" fillId="0" borderId="0" xfId="0" applyFont="1"/>
    <xf numFmtId="0" fontId="81" fillId="0" borderId="0" xfId="1" applyNumberFormat="1" applyFont="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Alignment="1" applyProtection="1">
      <alignment horizontal="center"/>
      <protection locked="0"/>
    </xf>
    <xf numFmtId="1" fontId="11" fillId="0" borderId="0" xfId="1" applyNumberFormat="1" applyFont="1"/>
    <xf numFmtId="0" fontId="46" fillId="14" borderId="0" xfId="1" applyNumberFormat="1" applyFont="1" applyFill="1" applyAlignment="1">
      <alignment horizontal="center"/>
    </xf>
    <xf numFmtId="0" fontId="47" fillId="14" borderId="0" xfId="1" applyNumberFormat="1" applyFont="1" applyFill="1"/>
    <xf numFmtId="0" fontId="46" fillId="14" borderId="0" xfId="1" applyNumberFormat="1" applyFont="1" applyFill="1"/>
    <xf numFmtId="0" fontId="48" fillId="14" borderId="0" xfId="1" applyNumberFormat="1" applyFont="1" applyFill="1"/>
    <xf numFmtId="0" fontId="14" fillId="0" borderId="32" xfId="1" applyNumberFormat="1" applyFont="1" applyBorder="1" applyAlignment="1">
      <alignment horizontal="center"/>
    </xf>
    <xf numFmtId="0" fontId="68" fillId="0" borderId="0" xfId="1" applyNumberFormat="1" applyFont="1" applyAlignment="1">
      <alignment horizontal="right"/>
    </xf>
    <xf numFmtId="0" fontId="11" fillId="0" borderId="35" xfId="1" applyNumberFormat="1" applyFont="1" applyBorder="1"/>
    <xf numFmtId="10" fontId="11" fillId="0" borderId="1" xfId="1" applyNumberFormat="1" applyFont="1" applyBorder="1" applyAlignment="1">
      <alignment horizontal="center"/>
    </xf>
    <xf numFmtId="0" fontId="11" fillId="0" borderId="35" xfId="1" applyNumberFormat="1" applyFont="1" applyBorder="1" applyAlignment="1">
      <alignment horizontal="center"/>
    </xf>
    <xf numFmtId="0" fontId="47" fillId="14" borderId="0" xfId="1" applyNumberFormat="1" applyFont="1" applyFill="1" applyAlignment="1">
      <alignment horizontal="center"/>
    </xf>
    <xf numFmtId="0" fontId="45" fillId="14" borderId="0" xfId="1" applyNumberFormat="1" applyFont="1" applyFill="1"/>
    <xf numFmtId="0" fontId="47" fillId="0" borderId="0" xfId="1" applyNumberFormat="1" applyFont="1"/>
    <xf numFmtId="0" fontId="45" fillId="0" borderId="0" xfId="1" applyNumberFormat="1" applyFont="1"/>
    <xf numFmtId="168" fontId="11" fillId="0" borderId="0" xfId="1" applyNumberFormat="1" applyFont="1"/>
    <xf numFmtId="0" fontId="11" fillId="0" borderId="2" xfId="2" applyNumberFormat="1" applyFont="1" applyFill="1" applyBorder="1" applyAlignment="1" applyProtection="1">
      <alignment horizontal="center"/>
    </xf>
    <xf numFmtId="169" fontId="11" fillId="0" borderId="0" xfId="6" applyNumberFormat="1" applyFont="1" applyFill="1" applyBorder="1" applyProtection="1"/>
    <xf numFmtId="171" fontId="11" fillId="0" borderId="0" xfId="1" applyNumberFormat="1" applyFont="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xf numFmtId="165" fontId="11" fillId="0" borderId="0" xfId="7" applyNumberFormat="1" applyFont="1" applyFill="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xf numFmtId="43" fontId="11" fillId="0" borderId="0" xfId="1" applyNumberFormat="1" applyFont="1" applyAlignment="1">
      <alignment horizontal="left"/>
    </xf>
    <xf numFmtId="9" fontId="11" fillId="0" borderId="0" xfId="8" applyFont="1" applyFill="1" applyBorder="1" applyAlignment="1" applyProtection="1">
      <alignment horizontal="right"/>
    </xf>
    <xf numFmtId="9" fontId="11" fillId="0" borderId="0" xfId="1" applyNumberFormat="1" applyFont="1" applyAlignment="1">
      <alignment horizontal="right"/>
    </xf>
    <xf numFmtId="43" fontId="11" fillId="0" borderId="0" xfId="1" applyNumberFormat="1" applyFont="1" applyAlignment="1">
      <alignment horizontal="right"/>
    </xf>
    <xf numFmtId="43" fontId="11" fillId="0" borderId="0" xfId="6" applyFont="1" applyFill="1" applyBorder="1" applyAlignment="1" applyProtection="1">
      <alignment horizontal="right"/>
    </xf>
    <xf numFmtId="9" fontId="11" fillId="0" borderId="0" xfId="1" applyNumberFormat="1" applyFont="1"/>
    <xf numFmtId="9" fontId="11" fillId="0" borderId="0" xfId="1" applyNumberFormat="1" applyFont="1" applyAlignment="1">
      <alignment horizontal="center" vertical="center"/>
    </xf>
    <xf numFmtId="1" fontId="11" fillId="0" borderId="0" xfId="1" applyNumberFormat="1" applyFont="1" applyAlignment="1">
      <alignment horizontal="left"/>
    </xf>
    <xf numFmtId="0" fontId="2" fillId="0" borderId="0" xfId="1" applyNumberFormat="1" applyFont="1" applyAlignment="1">
      <alignment horizontal="center"/>
    </xf>
    <xf numFmtId="0" fontId="47" fillId="0" borderId="0" xfId="1" applyNumberFormat="1" applyFont="1" applyAlignment="1">
      <alignment horizontal="right"/>
    </xf>
    <xf numFmtId="0" fontId="5" fillId="0" borderId="0" xfId="1" applyNumberFormat="1" applyFont="1" applyAlignment="1">
      <alignment horizontal="right"/>
    </xf>
    <xf numFmtId="0" fontId="3" fillId="0" borderId="0" xfId="1" applyNumberFormat="1" applyFont="1" applyAlignment="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47" fillId="14" borderId="0" xfId="1" applyNumberFormat="1" applyFont="1" applyFill="1" applyAlignment="1">
      <alignment horizontal="right"/>
    </xf>
    <xf numFmtId="0" fontId="3" fillId="0" borderId="18" xfId="1" applyNumberFormat="1" applyFont="1" applyBorder="1"/>
    <xf numFmtId="0" fontId="5" fillId="0" borderId="3" xfId="1" applyNumberFormat="1" applyFont="1" applyBorder="1" applyAlignment="1">
      <alignment horizontal="right"/>
    </xf>
    <xf numFmtId="0" fontId="3" fillId="0" borderId="35" xfId="1" applyNumberFormat="1" applyFont="1" applyBorder="1" applyAlignment="1">
      <alignment horizontal="center"/>
    </xf>
    <xf numFmtId="0" fontId="3" fillId="0" borderId="1" xfId="6" applyNumberFormat="1" applyFont="1" applyFill="1" applyBorder="1" applyAlignment="1" applyProtection="1">
      <alignment horizontal="center"/>
    </xf>
    <xf numFmtId="0" fontId="1" fillId="0" borderId="34" xfId="1" applyNumberFormat="1" applyBorder="1"/>
    <xf numFmtId="0" fontId="3" fillId="0" borderId="1" xfId="1" applyNumberFormat="1" applyFont="1" applyBorder="1" applyAlignment="1">
      <alignment horizontal="center"/>
    </xf>
    <xf numFmtId="0" fontId="3" fillId="0" borderId="17" xfId="1" applyNumberFormat="1" applyFont="1" applyBorder="1"/>
    <xf numFmtId="0" fontId="5" fillId="0" borderId="35" xfId="1" applyNumberFormat="1" applyFont="1" applyBorder="1" applyAlignment="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xf numFmtId="0" fontId="58" fillId="20" borderId="13" xfId="0" applyFont="1" applyFill="1" applyBorder="1" applyAlignment="1">
      <alignment horizontal="center"/>
    </xf>
    <xf numFmtId="0" fontId="58" fillId="20" borderId="12" xfId="0" applyFont="1" applyFill="1" applyBorder="1" applyAlignment="1">
      <alignment horizontal="center"/>
    </xf>
    <xf numFmtId="0" fontId="58" fillId="20" borderId="13" xfId="0" applyFont="1" applyFill="1" applyBorder="1"/>
    <xf numFmtId="0" fontId="58" fillId="20" borderId="12" xfId="0" applyFont="1" applyFill="1" applyBorder="1"/>
    <xf numFmtId="0" fontId="58" fillId="20" borderId="41" xfId="0" applyFont="1" applyFill="1" applyBorder="1"/>
    <xf numFmtId="0" fontId="58" fillId="20" borderId="40" xfId="0" applyFont="1" applyFill="1" applyBorder="1" applyAlignment="1">
      <alignment horizontal="center"/>
    </xf>
    <xf numFmtId="0" fontId="58" fillId="20" borderId="53" xfId="0" applyFont="1" applyFill="1" applyBorder="1" applyAlignment="1">
      <alignment horizontal="center"/>
    </xf>
    <xf numFmtId="0" fontId="58" fillId="20" borderId="41" xfId="0" applyFont="1" applyFill="1" applyBorder="1" applyAlignment="1">
      <alignment horizontal="center"/>
    </xf>
    <xf numFmtId="0" fontId="58" fillId="20" borderId="54" xfId="0" applyFont="1" applyFill="1" applyBorder="1"/>
    <xf numFmtId="0" fontId="58" fillId="20" borderId="42" xfId="0" applyFont="1" applyFill="1" applyBorder="1" applyAlignment="1">
      <alignment horizontal="center"/>
    </xf>
    <xf numFmtId="0" fontId="58" fillId="20" borderId="55" xfId="0" applyFont="1" applyFill="1" applyBorder="1" applyAlignment="1">
      <alignment horizontal="center"/>
    </xf>
    <xf numFmtId="0" fontId="58" fillId="20" borderId="54" xfId="0" applyFont="1" applyFill="1" applyBorder="1" applyAlignment="1">
      <alignment horizontal="center"/>
    </xf>
    <xf numFmtId="0" fontId="58" fillId="20" borderId="21" xfId="0" applyFont="1" applyFill="1" applyBorder="1" applyAlignment="1">
      <alignment horizontal="center"/>
    </xf>
    <xf numFmtId="0" fontId="58" fillId="20" borderId="1" xfId="0" applyFont="1" applyFill="1" applyBorder="1" applyAlignment="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Border="1"/>
    <xf numFmtId="0" fontId="8" fillId="0" borderId="49" xfId="1" applyNumberFormat="1" applyFont="1" applyBorder="1"/>
    <xf numFmtId="0" fontId="8" fillId="0" borderId="56" xfId="1" applyNumberFormat="1" applyFont="1" applyBorder="1"/>
    <xf numFmtId="0" fontId="11" fillId="30" borderId="0" xfId="1" applyNumberFormat="1" applyFont="1" applyFill="1"/>
    <xf numFmtId="0" fontId="11" fillId="30" borderId="0" xfId="1" applyNumberFormat="1" applyFont="1" applyFill="1" applyAlignment="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lignment horizontal="center"/>
    </xf>
    <xf numFmtId="0" fontId="11" fillId="2" borderId="17" xfId="1" applyNumberFormat="1" applyFont="1" applyFill="1" applyBorder="1" applyAlignment="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xf numFmtId="170" fontId="11" fillId="2" borderId="1" xfId="8" applyNumberFormat="1" applyFont="1" applyFill="1" applyBorder="1" applyProtection="1"/>
    <xf numFmtId="0" fontId="11" fillId="2" borderId="0" xfId="1" applyNumberFormat="1" applyFont="1" applyFill="1"/>
    <xf numFmtId="166" fontId="11" fillId="2" borderId="0" xfId="1" applyNumberFormat="1" applyFont="1" applyFill="1" applyAlignment="1">
      <alignment horizontal="center"/>
    </xf>
    <xf numFmtId="166" fontId="11" fillId="2" borderId="0" xfId="1" applyNumberFormat="1" applyFont="1" applyFill="1"/>
    <xf numFmtId="170" fontId="11" fillId="2" borderId="0" xfId="1" applyNumberFormat="1" applyFont="1" applyFill="1"/>
    <xf numFmtId="10" fontId="11" fillId="2" borderId="0" xfId="1" applyNumberFormat="1" applyFont="1" applyFill="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Alignment="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xf numFmtId="9" fontId="11" fillId="2" borderId="0" xfId="1" applyNumberFormat="1" applyFont="1" applyFill="1" applyAlignment="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Protection="1">
      <protection locked="0"/>
    </xf>
    <xf numFmtId="1" fontId="0" fillId="0" borderId="0" xfId="0" applyNumberFormat="1"/>
    <xf numFmtId="0" fontId="5" fillId="0" borderId="0" xfId="1" applyNumberFormat="1" applyFont="1" applyAlignment="1">
      <alignment horizontal="center" vertical="center" wrapText="1"/>
    </xf>
    <xf numFmtId="0" fontId="14" fillId="0" borderId="0" xfId="1" quotePrefix="1" applyNumberFormat="1" applyFont="1" applyAlignment="1">
      <alignment horizontal="center" vertical="center" wrapText="1"/>
    </xf>
    <xf numFmtId="0" fontId="11" fillId="0" borderId="96" xfId="1" applyNumberFormat="1" applyFont="1" applyBorder="1"/>
    <xf numFmtId="164" fontId="11" fillId="0" borderId="96" xfId="1" applyFont="1" applyBorder="1"/>
    <xf numFmtId="10" fontId="11" fillId="0" borderId="61" xfId="1" applyNumberFormat="1" applyFont="1" applyBorder="1" applyAlignment="1">
      <alignment horizontal="center"/>
    </xf>
    <xf numFmtId="0" fontId="14" fillId="20" borderId="157" xfId="1" applyNumberFormat="1" applyFont="1" applyFill="1" applyBorder="1" applyAlignment="1">
      <alignment horizontal="center"/>
    </xf>
    <xf numFmtId="0" fontId="14" fillId="20" borderId="158" xfId="1" applyNumberFormat="1" applyFont="1" applyFill="1" applyBorder="1"/>
    <xf numFmtId="0" fontId="11" fillId="20" borderId="65" xfId="1" applyNumberFormat="1" applyFont="1" applyFill="1" applyBorder="1" applyAlignment="1">
      <alignment horizontal="center"/>
    </xf>
    <xf numFmtId="0" fontId="11" fillId="0" borderId="65" xfId="1" applyNumberFormat="1" applyFont="1" applyBorder="1"/>
    <xf numFmtId="10" fontId="11" fillId="0" borderId="65" xfId="1" applyNumberFormat="1" applyFont="1" applyBorder="1" applyAlignment="1">
      <alignment horizontal="center"/>
    </xf>
    <xf numFmtId="10" fontId="11" fillId="0" borderId="66" xfId="1" applyNumberFormat="1" applyFont="1" applyBorder="1" applyAlignment="1">
      <alignment horizontal="center"/>
    </xf>
    <xf numFmtId="0" fontId="11" fillId="20" borderId="70" xfId="1" applyNumberFormat="1" applyFont="1" applyFill="1" applyBorder="1" applyAlignment="1">
      <alignment horizontal="center"/>
    </xf>
    <xf numFmtId="0" fontId="11" fillId="0" borderId="70" xfId="1" applyNumberFormat="1" applyFont="1" applyBorder="1" applyAlignment="1">
      <alignment horizontal="center"/>
    </xf>
    <xf numFmtId="0" fontId="11" fillId="20" borderId="75" xfId="1" applyNumberFormat="1" applyFont="1" applyFill="1" applyBorder="1" applyAlignment="1">
      <alignment horizontal="center"/>
    </xf>
    <xf numFmtId="0" fontId="11" fillId="0" borderId="75" xfId="1" applyNumberFormat="1" applyFont="1" applyBorder="1" applyAlignment="1">
      <alignment horizontal="center"/>
    </xf>
    <xf numFmtId="10" fontId="11" fillId="0" borderId="77" xfId="1" applyNumberFormat="1" applyFont="1" applyBorder="1" applyAlignment="1">
      <alignment horizontal="center"/>
    </xf>
    <xf numFmtId="0" fontId="14" fillId="0" borderId="89" xfId="1" applyNumberFormat="1" applyFont="1" applyBorder="1" applyAlignment="1">
      <alignment horizontal="center"/>
    </xf>
    <xf numFmtId="0" fontId="14" fillId="0" borderId="90" xfId="1" applyNumberFormat="1" applyFont="1" applyBorder="1"/>
    <xf numFmtId="0" fontId="11" fillId="24" borderId="92" xfId="1" applyNumberFormat="1" applyFont="1" applyFill="1" applyBorder="1" applyAlignment="1">
      <alignment horizontal="center"/>
    </xf>
    <xf numFmtId="0" fontId="11" fillId="0" borderId="92" xfId="1" applyNumberFormat="1" applyFont="1" applyBorder="1"/>
    <xf numFmtId="10" fontId="11" fillId="0" borderId="92" xfId="1" applyNumberFormat="1" applyFont="1" applyBorder="1" applyAlignment="1">
      <alignment horizontal="center"/>
    </xf>
    <xf numFmtId="10" fontId="11" fillId="0" borderId="93" xfId="1" applyNumberFormat="1" applyFont="1" applyBorder="1" applyAlignment="1">
      <alignment horizontal="center"/>
    </xf>
    <xf numFmtId="0" fontId="11" fillId="24" borderId="79" xfId="1" applyNumberFormat="1" applyFont="1" applyFill="1" applyBorder="1" applyAlignment="1">
      <alignment horizontal="center"/>
    </xf>
    <xf numFmtId="0" fontId="11" fillId="0" borderId="79" xfId="1" applyNumberFormat="1" applyFont="1" applyBorder="1" applyAlignment="1">
      <alignment horizontal="center"/>
    </xf>
    <xf numFmtId="0" fontId="11" fillId="24" borderId="82" xfId="1" applyNumberFormat="1" applyFont="1" applyFill="1" applyBorder="1" applyAlignment="1">
      <alignment horizontal="center"/>
    </xf>
    <xf numFmtId="0" fontId="11" fillId="0" borderId="82" xfId="1" applyNumberFormat="1" applyFont="1" applyBorder="1" applyAlignment="1">
      <alignment horizontal="center"/>
    </xf>
    <xf numFmtId="0" fontId="14" fillId="20" borderId="161" xfId="1" applyNumberFormat="1" applyFont="1" applyFill="1" applyBorder="1" applyAlignment="1">
      <alignment horizontal="center"/>
    </xf>
    <xf numFmtId="0" fontId="14" fillId="20" borderId="162" xfId="1" applyNumberFormat="1" applyFont="1" applyFill="1" applyBorder="1"/>
    <xf numFmtId="0" fontId="69" fillId="0" borderId="0" xfId="1" applyNumberFormat="1" applyFont="1" applyAlignment="1">
      <alignment horizontal="right"/>
    </xf>
    <xf numFmtId="0" fontId="11" fillId="20" borderId="65" xfId="1" applyNumberFormat="1" applyFont="1" applyFill="1" applyBorder="1" applyAlignment="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Border="1"/>
    <xf numFmtId="0" fontId="11" fillId="20" borderId="70" xfId="1" applyNumberFormat="1" applyFont="1" applyFill="1" applyBorder="1" applyAlignment="1">
      <alignment horizontal="center" vertical="center" wrapText="1"/>
    </xf>
    <xf numFmtId="169" fontId="11" fillId="0" borderId="70" xfId="6" applyNumberFormat="1" applyFont="1" applyFill="1" applyBorder="1" applyProtection="1"/>
    <xf numFmtId="0" fontId="11" fillId="0" borderId="70" xfId="1" applyNumberFormat="1" applyFont="1" applyBorder="1"/>
    <xf numFmtId="0" fontId="11" fillId="0" borderId="71" xfId="1" applyNumberFormat="1" applyFont="1" applyBorder="1"/>
    <xf numFmtId="0" fontId="11" fillId="20" borderId="70" xfId="1" applyNumberFormat="1" applyFont="1" applyFill="1" applyBorder="1" applyAlignment="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Border="1"/>
    <xf numFmtId="10" fontId="11" fillId="0" borderId="70" xfId="8" applyNumberFormat="1" applyFont="1" applyFill="1" applyBorder="1" applyProtection="1"/>
    <xf numFmtId="10" fontId="11" fillId="0" borderId="71" xfId="1" applyNumberFormat="1" applyFont="1" applyBorder="1"/>
    <xf numFmtId="169" fontId="11" fillId="0" borderId="71" xfId="1" applyNumberFormat="1" applyFont="1" applyBorder="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Border="1"/>
    <xf numFmtId="0" fontId="11" fillId="20" borderId="75" xfId="1" applyNumberFormat="1" applyFont="1" applyFill="1" applyBorder="1" applyAlignment="1">
      <alignment horizontal="center" vertical="center"/>
    </xf>
    <xf numFmtId="169" fontId="11" fillId="0" borderId="75" xfId="6" applyNumberFormat="1" applyFont="1" applyFill="1" applyBorder="1" applyProtection="1"/>
    <xf numFmtId="10" fontId="11" fillId="0" borderId="76" xfId="1" applyNumberFormat="1" applyFont="1" applyBorder="1"/>
    <xf numFmtId="10" fontId="11" fillId="0" borderId="87" xfId="1" applyNumberFormat="1" applyFont="1" applyBorder="1" applyAlignment="1">
      <alignment horizontal="center"/>
    </xf>
    <xf numFmtId="0" fontId="11" fillId="24" borderId="92" xfId="1" applyNumberFormat="1" applyFont="1" applyFill="1" applyBorder="1" applyAlignment="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Border="1"/>
    <xf numFmtId="0" fontId="11" fillId="24" borderId="79" xfId="1" applyNumberFormat="1" applyFont="1" applyFill="1" applyBorder="1" applyAlignment="1">
      <alignment horizontal="center" vertical="center" wrapText="1"/>
    </xf>
    <xf numFmtId="0" fontId="11" fillId="0" borderId="79" xfId="1" applyNumberFormat="1" applyFont="1" applyBorder="1"/>
    <xf numFmtId="0" fontId="11" fillId="0" borderId="80" xfId="1" applyNumberFormat="1" applyFont="1" applyBorder="1"/>
    <xf numFmtId="0" fontId="11" fillId="24" borderId="79" xfId="1" applyNumberFormat="1" applyFont="1" applyFill="1" applyBorder="1" applyAlignment="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Border="1"/>
    <xf numFmtId="10" fontId="11" fillId="0" borderId="79" xfId="8" applyNumberFormat="1" applyFont="1" applyFill="1" applyBorder="1" applyProtection="1"/>
    <xf numFmtId="10" fontId="11" fillId="0" borderId="80" xfId="1" applyNumberFormat="1" applyFont="1" applyBorder="1"/>
    <xf numFmtId="169" fontId="11" fillId="0" borderId="80" xfId="1" applyNumberFormat="1" applyFont="1" applyBorder="1"/>
    <xf numFmtId="9" fontId="11" fillId="0" borderId="79" xfId="8"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lignment horizontal="center" vertical="center"/>
    </xf>
    <xf numFmtId="169" fontId="11" fillId="0" borderId="82" xfId="6" applyNumberFormat="1" applyFont="1" applyFill="1" applyBorder="1" applyProtection="1"/>
    <xf numFmtId="10" fontId="11" fillId="0" borderId="83" xfId="1" applyNumberFormat="1" applyFont="1" applyBorder="1"/>
    <xf numFmtId="0" fontId="67" fillId="0" borderId="166" xfId="0" applyFont="1" applyBorder="1" applyAlignment="1">
      <alignment horizontal="center" vertical="center" readingOrder="1"/>
    </xf>
    <xf numFmtId="0" fontId="11" fillId="0" borderId="167" xfId="1" applyNumberFormat="1" applyFont="1" applyBorder="1" applyAlignment="1">
      <alignment horizontal="center" vertical="center"/>
    </xf>
    <xf numFmtId="0" fontId="11" fillId="0" borderId="168" xfId="1" applyNumberFormat="1" applyFont="1" applyBorder="1" applyAlignment="1">
      <alignment horizontal="center" vertical="center"/>
    </xf>
    <xf numFmtId="164" fontId="11" fillId="0" borderId="0" xfId="1" applyFont="1" applyAlignment="1">
      <alignment horizontal="center" vertical="center"/>
    </xf>
    <xf numFmtId="164" fontId="11" fillId="0" borderId="167" xfId="1" applyFont="1" applyBorder="1" applyAlignment="1">
      <alignment horizontal="center" vertical="center"/>
    </xf>
    <xf numFmtId="164" fontId="11" fillId="0" borderId="168" xfId="1" applyFont="1" applyBorder="1" applyAlignment="1">
      <alignment horizontal="center" vertical="center"/>
    </xf>
    <xf numFmtId="164" fontId="11" fillId="20" borderId="163" xfId="1" applyFont="1" applyFill="1" applyBorder="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xf numFmtId="169" fontId="11" fillId="24" borderId="115" xfId="1" applyNumberFormat="1" applyFont="1" applyFill="1" applyBorder="1" applyAlignment="1">
      <alignment horizontal="right"/>
    </xf>
    <xf numFmtId="169" fontId="11" fillId="24" borderId="120" xfId="1" applyNumberFormat="1" applyFont="1" applyFill="1" applyBorder="1" applyAlignment="1">
      <alignment horizontal="right"/>
    </xf>
    <xf numFmtId="169" fontId="11" fillId="24" borderId="115" xfId="1" applyNumberFormat="1" applyFont="1" applyFill="1" applyBorder="1"/>
    <xf numFmtId="169" fontId="11" fillId="24" borderId="120" xfId="1" applyNumberFormat="1" applyFont="1" applyFill="1" applyBorder="1"/>
    <xf numFmtId="169" fontId="11" fillId="24" borderId="115" xfId="1" applyNumberFormat="1" applyFont="1" applyFill="1" applyBorder="1" applyAlignment="1">
      <alignment horizontal="right" vertical="center"/>
    </xf>
    <xf numFmtId="169" fontId="11" fillId="24" borderId="120" xfId="1" applyNumberFormat="1" applyFont="1" applyFill="1" applyBorder="1" applyAlignment="1">
      <alignment horizontal="right" vertical="center"/>
    </xf>
    <xf numFmtId="164" fontId="11" fillId="0" borderId="121" xfId="1" applyFont="1" applyBorder="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164" fontId="11" fillId="13" borderId="0" xfId="1" applyFont="1" applyFill="1"/>
    <xf numFmtId="0" fontId="14" fillId="0" borderId="96" xfId="1" applyNumberFormat="1" applyFont="1" applyBorder="1" applyAlignment="1">
      <alignment horizontal="right"/>
    </xf>
    <xf numFmtId="0" fontId="14" fillId="20" borderId="171" xfId="1" applyNumberFormat="1" applyFont="1" applyFill="1" applyBorder="1"/>
    <xf numFmtId="0" fontId="14" fillId="20" borderId="94" xfId="1" applyNumberFormat="1" applyFont="1" applyFill="1" applyBorder="1" applyAlignment="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xf numFmtId="0" fontId="14" fillId="20" borderId="95" xfId="1" applyNumberFormat="1" applyFont="1" applyFill="1" applyBorder="1" applyAlignment="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xf numFmtId="0" fontId="14" fillId="20" borderId="172" xfId="1" applyNumberFormat="1" applyFont="1" applyFill="1" applyBorder="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Border="1"/>
    <xf numFmtId="10" fontId="11" fillId="0" borderId="0" xfId="8" applyNumberFormat="1" applyFont="1" applyFill="1" applyAlignment="1" applyProtection="1">
      <alignment horizontal="center"/>
    </xf>
    <xf numFmtId="49" fontId="72" fillId="0" borderId="137" xfId="1" applyNumberFormat="1" applyFont="1" applyBorder="1"/>
    <xf numFmtId="0" fontId="11" fillId="0" borderId="138" xfId="1" applyNumberFormat="1" applyFont="1" applyBorder="1"/>
    <xf numFmtId="0" fontId="14" fillId="0" borderId="138" xfId="1" applyNumberFormat="1" applyFont="1" applyBorder="1" applyAlignment="1">
      <alignment horizontal="right"/>
    </xf>
    <xf numFmtId="0" fontId="11" fillId="0" borderId="138" xfId="1" applyNumberFormat="1" applyFont="1" applyBorder="1" applyAlignment="1">
      <alignment horizontal="center"/>
    </xf>
    <xf numFmtId="0" fontId="11" fillId="0" borderId="139" xfId="1" applyNumberFormat="1" applyFont="1" applyBorder="1" applyAlignment="1">
      <alignment horizontal="center"/>
    </xf>
    <xf numFmtId="0" fontId="14" fillId="0" borderId="140" xfId="1" applyNumberFormat="1" applyFont="1" applyBorder="1"/>
    <xf numFmtId="8" fontId="11" fillId="0" borderId="129" xfId="1" applyNumberFormat="1" applyFont="1" applyBorder="1" applyAlignment="1">
      <alignment horizontal="center"/>
    </xf>
    <xf numFmtId="0" fontId="25" fillId="0" borderId="0" xfId="1" applyNumberFormat="1" applyFont="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lignment horizontal="left"/>
    </xf>
    <xf numFmtId="0" fontId="11" fillId="0" borderId="140" xfId="1" applyNumberFormat="1" applyFont="1" applyBorder="1"/>
    <xf numFmtId="49" fontId="72" fillId="0" borderId="140" xfId="1" applyNumberFormat="1" applyFont="1" applyBorder="1"/>
    <xf numFmtId="8" fontId="11" fillId="0" borderId="0" xfId="3" applyFont="1" applyFill="1" applyBorder="1" applyAlignment="1" applyProtection="1">
      <alignment horizontal="center"/>
    </xf>
    <xf numFmtId="0" fontId="25" fillId="0" borderId="0" xfId="1" applyNumberFormat="1" applyFont="1" applyAlignment="1">
      <alignment wrapText="1"/>
    </xf>
    <xf numFmtId="0" fontId="25" fillId="0" borderId="140" xfId="1" applyNumberFormat="1" applyFont="1" applyBorder="1" applyAlignment="1">
      <alignment wrapText="1"/>
    </xf>
    <xf numFmtId="0" fontId="11" fillId="0" borderId="129" xfId="1" applyNumberFormat="1" applyFont="1" applyBorder="1" applyAlignment="1">
      <alignment horizontal="center"/>
    </xf>
    <xf numFmtId="0" fontId="11" fillId="0" borderId="141" xfId="1" applyNumberFormat="1" applyFont="1" applyBorder="1"/>
    <xf numFmtId="0" fontId="11" fillId="0" borderId="130" xfId="1" applyNumberFormat="1" applyFont="1" applyBorder="1" applyAlignment="1">
      <alignment horizontal="center"/>
    </xf>
    <xf numFmtId="0" fontId="11" fillId="0" borderId="130" xfId="1" applyNumberFormat="1" applyFont="1" applyBorder="1" applyAlignment="1">
      <alignment horizontal="right"/>
    </xf>
    <xf numFmtId="0" fontId="11" fillId="0" borderId="131" xfId="1" applyNumberFormat="1" applyFont="1" applyBorder="1" applyAlignment="1">
      <alignment horizontal="center"/>
    </xf>
    <xf numFmtId="49" fontId="72" fillId="0" borderId="142" xfId="1" applyNumberFormat="1" applyFont="1" applyBorder="1"/>
    <xf numFmtId="0" fontId="11" fillId="0" borderId="132" xfId="1" applyNumberFormat="1" applyFont="1" applyBorder="1" applyAlignment="1">
      <alignment horizontal="center"/>
    </xf>
    <xf numFmtId="0" fontId="11" fillId="0" borderId="132" xfId="1" applyNumberFormat="1" applyFont="1" applyBorder="1" applyAlignment="1">
      <alignment horizontal="right"/>
    </xf>
    <xf numFmtId="0" fontId="11" fillId="0" borderId="133" xfId="1" applyNumberFormat="1" applyFont="1" applyBorder="1" applyAlignment="1">
      <alignment horizontal="center"/>
    </xf>
    <xf numFmtId="0" fontId="14" fillId="0" borderId="143" xfId="1" applyNumberFormat="1" applyFont="1" applyBorder="1"/>
    <xf numFmtId="8" fontId="11" fillId="0" borderId="134" xfId="1" applyNumberFormat="1" applyFont="1" applyBorder="1" applyAlignment="1">
      <alignment horizontal="center"/>
    </xf>
    <xf numFmtId="8" fontId="11" fillId="0" borderId="134" xfId="3" applyFont="1" applyFill="1" applyBorder="1" applyAlignment="1" applyProtection="1">
      <alignment horizontal="center"/>
    </xf>
    <xf numFmtId="0" fontId="25" fillId="0" borderId="135" xfId="1" applyNumberFormat="1" applyFont="1" applyBorder="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Alignment="1">
      <alignment vertical="center" wrapText="1"/>
    </xf>
    <xf numFmtId="0" fontId="9" fillId="0" borderId="0" xfId="1" applyNumberFormat="1" applyFont="1" applyAlignment="1">
      <alignment horizontal="center" wrapText="1"/>
    </xf>
    <xf numFmtId="0" fontId="11" fillId="0" borderId="176" xfId="1" applyNumberFormat="1" applyFont="1" applyBorder="1" applyAlignment="1">
      <alignment vertical="center"/>
    </xf>
    <xf numFmtId="0" fontId="14" fillId="0" borderId="177" xfId="1" applyNumberFormat="1" applyFont="1" applyBorder="1" applyAlignment="1">
      <alignment horizontal="center" vertical="center"/>
    </xf>
    <xf numFmtId="0" fontId="14" fillId="0" borderId="178" xfId="1" applyNumberFormat="1" applyFont="1" applyBorder="1" applyAlignment="1">
      <alignment vertical="center" wrapText="1"/>
    </xf>
    <xf numFmtId="38" fontId="11" fillId="0" borderId="173" xfId="1" applyNumberFormat="1" applyFont="1" applyBorder="1" applyAlignment="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Border="1" applyAlignment="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38" fontId="11" fillId="25" borderId="20" xfId="1" applyNumberFormat="1" applyFont="1" applyFill="1" applyBorder="1" applyAlignment="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xf numFmtId="0" fontId="11" fillId="0" borderId="179" xfId="1" applyNumberFormat="1" applyFont="1" applyBorder="1" applyAlignment="1">
      <alignment vertical="center"/>
    </xf>
    <xf numFmtId="38" fontId="11" fillId="0" borderId="0" xfId="1" applyNumberFormat="1" applyFont="1" applyAlignment="1">
      <alignment vertical="center"/>
    </xf>
    <xf numFmtId="38" fontId="11" fillId="25" borderId="54" xfId="1" applyNumberFormat="1" applyFont="1" applyFill="1" applyBorder="1" applyAlignment="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lignment vertical="center"/>
    </xf>
    <xf numFmtId="38" fontId="11" fillId="26" borderId="145" xfId="1" applyNumberFormat="1" applyFont="1" applyFill="1" applyBorder="1" applyAlignment="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lignment vertical="center"/>
    </xf>
    <xf numFmtId="38" fontId="11" fillId="26" borderId="54" xfId="1" applyNumberFormat="1" applyFont="1" applyFill="1" applyBorder="1" applyAlignment="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lignment vertical="center"/>
    </xf>
    <xf numFmtId="0" fontId="31" fillId="0" borderId="0" xfId="1" applyNumberFormat="1" applyFont="1"/>
    <xf numFmtId="0" fontId="9" fillId="0" borderId="0" xfId="1" applyNumberFormat="1" applyFont="1" applyAlignment="1">
      <alignment wrapText="1"/>
    </xf>
    <xf numFmtId="0" fontId="11" fillId="0" borderId="0" xfId="1" quotePrefix="1" applyNumberFormat="1" applyFont="1" applyAlignment="1">
      <alignment horizontal="center"/>
    </xf>
    <xf numFmtId="0" fontId="11" fillId="0" borderId="0" xfId="1" quotePrefix="1" applyNumberFormat="1" applyFont="1" applyAlignment="1">
      <alignment horizontal="right"/>
    </xf>
    <xf numFmtId="0" fontId="30" fillId="0" borderId="0" xfId="1" applyNumberFormat="1" applyFont="1"/>
    <xf numFmtId="0" fontId="14" fillId="0" borderId="21" xfId="1" applyNumberFormat="1" applyFont="1" applyBorder="1" applyAlignment="1">
      <alignment horizontal="center"/>
    </xf>
    <xf numFmtId="0" fontId="14" fillId="0" borderId="31" xfId="1" applyNumberFormat="1" applyFont="1" applyBorder="1" applyAlignment="1">
      <alignment horizontal="center"/>
    </xf>
    <xf numFmtId="0" fontId="11" fillId="0" borderId="46" xfId="1" applyNumberFormat="1" applyFont="1" applyBorder="1"/>
    <xf numFmtId="6" fontId="11" fillId="0" borderId="21" xfId="1" applyNumberFormat="1" applyFont="1" applyBorder="1"/>
    <xf numFmtId="0" fontId="11" fillId="0" borderId="25" xfId="1" applyNumberFormat="1" applyFont="1" applyBorder="1"/>
    <xf numFmtId="0" fontId="11" fillId="0" borderId="28" xfId="1" applyNumberFormat="1" applyFont="1" applyBorder="1"/>
    <xf numFmtId="3" fontId="0" fillId="0" borderId="0" xfId="0" applyNumberFormat="1"/>
    <xf numFmtId="2" fontId="0" fillId="0" borderId="0" xfId="0" applyNumberFormat="1"/>
    <xf numFmtId="0" fontId="82" fillId="0" borderId="60" xfId="1" applyNumberFormat="1" applyFont="1" applyBorder="1" applyAlignment="1">
      <alignment horizontal="left"/>
    </xf>
    <xf numFmtId="0" fontId="44" fillId="15" borderId="32" xfId="0" applyFont="1" applyFill="1" applyBorder="1" applyAlignment="1">
      <alignment horizontal="right"/>
    </xf>
    <xf numFmtId="0" fontId="44" fillId="15" borderId="35" xfId="0" applyFont="1" applyFill="1" applyBorder="1"/>
    <xf numFmtId="0" fontId="0" fillId="15" borderId="32" xfId="0" applyFill="1" applyBorder="1"/>
    <xf numFmtId="0" fontId="61" fillId="15" borderId="35" xfId="0"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Alignment="1" applyProtection="1">
      <alignment horizontal="right"/>
      <protection locked="0"/>
    </xf>
    <xf numFmtId="2" fontId="11" fillId="2" borderId="0" xfId="1" applyNumberFormat="1" applyFont="1" applyFill="1" applyAlignment="1" applyProtection="1">
      <alignment horizontal="center"/>
      <protection locked="0"/>
    </xf>
    <xf numFmtId="165" fontId="11" fillId="2" borderId="0" xfId="1" applyNumberFormat="1" applyFont="1" applyFill="1" applyAlignment="1" applyProtection="1">
      <alignment horizontal="center"/>
      <protection locked="0"/>
    </xf>
    <xf numFmtId="164" fontId="1" fillId="0" borderId="0" xfId="1" applyAlignment="1">
      <alignment horizontal="left"/>
    </xf>
    <xf numFmtId="0" fontId="14" fillId="11" borderId="0" xfId="1" applyNumberFormat="1" applyFont="1" applyFill="1"/>
    <xf numFmtId="166" fontId="11" fillId="11" borderId="0" xfId="1" applyNumberFormat="1" applyFont="1" applyFill="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lignment horizontal="center"/>
    </xf>
    <xf numFmtId="2" fontId="11" fillId="0" borderId="76" xfId="1" applyNumberFormat="1" applyFont="1" applyBorder="1" applyAlignment="1">
      <alignment horizontal="center"/>
    </xf>
    <xf numFmtId="2" fontId="11" fillId="0" borderId="80" xfId="1" applyNumberFormat="1" applyFont="1" applyBorder="1" applyAlignment="1">
      <alignment horizontal="center"/>
    </xf>
    <xf numFmtId="2" fontId="11" fillId="0" borderId="83" xfId="1" applyNumberFormat="1" applyFont="1" applyBorder="1" applyAlignment="1">
      <alignment horizontal="center"/>
    </xf>
    <xf numFmtId="2" fontId="44" fillId="0" borderId="0" xfId="0" applyNumberFormat="1" applyFont="1"/>
    <xf numFmtId="179" fontId="44" fillId="0" borderId="0" xfId="0" applyNumberFormat="1" applyFont="1"/>
    <xf numFmtId="49" fontId="55" fillId="0" borderId="0" xfId="0" quotePrefix="1" applyNumberFormat="1" applyFont="1" applyAlignment="1">
      <alignment horizontal="right" vertical="center"/>
    </xf>
    <xf numFmtId="49" fontId="55" fillId="0" borderId="0" xfId="0" applyNumberFormat="1" applyFont="1" applyAlignment="1">
      <alignment vertical="center"/>
    </xf>
    <xf numFmtId="49" fontId="0" fillId="0" borderId="0" xfId="0" applyNumberFormat="1" applyAlignment="1">
      <alignment horizontal="left"/>
    </xf>
    <xf numFmtId="0" fontId="0" fillId="0" borderId="0" xfId="0" applyAlignment="1">
      <alignment horizontal="left" vertical="top" wrapText="1"/>
    </xf>
    <xf numFmtId="0" fontId="0" fillId="0" borderId="0" xfId="0" applyAlignment="1">
      <alignment horizontal="right" vertical="top"/>
    </xf>
    <xf numFmtId="0" fontId="0" fillId="2" borderId="0" xfId="0" applyFill="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Alignment="1">
      <alignment horizontal="left" vertical="center"/>
    </xf>
    <xf numFmtId="0" fontId="44" fillId="0" borderId="0" xfId="0" applyFont="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Alignment="1">
      <alignment horizontal="left" vertical="center" wrapText="1"/>
    </xf>
    <xf numFmtId="0" fontId="14" fillId="0" borderId="0" xfId="1" quotePrefix="1" applyNumberFormat="1" applyFont="1" applyAlignment="1">
      <alignment horizontal="left" vertical="center" wrapText="1"/>
    </xf>
    <xf numFmtId="2" fontId="1" fillId="0" borderId="0" xfId="1" applyNumberFormat="1"/>
    <xf numFmtId="0" fontId="11" fillId="0" borderId="0" xfId="1" quotePrefix="1" applyNumberFormat="1" applyFont="1"/>
    <xf numFmtId="2" fontId="11" fillId="0" borderId="0" xfId="1" quotePrefix="1" applyNumberFormat="1" applyFont="1"/>
    <xf numFmtId="2" fontId="11" fillId="0" borderId="0" xfId="1" applyNumberFormat="1" applyFont="1"/>
    <xf numFmtId="2" fontId="8" fillId="0" borderId="0" xfId="1" applyNumberFormat="1" applyFont="1"/>
    <xf numFmtId="2" fontId="14" fillId="0" borderId="0" xfId="1" applyNumberFormat="1" applyFont="1"/>
    <xf numFmtId="0" fontId="11" fillId="20" borderId="97" xfId="1" applyNumberFormat="1" applyFont="1" applyFill="1" applyBorder="1"/>
    <xf numFmtId="0" fontId="11" fillId="20" borderId="98" xfId="1" applyNumberFormat="1" applyFont="1" applyFill="1" applyBorder="1"/>
    <xf numFmtId="164" fontId="11" fillId="20" borderId="99" xfId="1" applyFont="1" applyFill="1" applyBorder="1"/>
    <xf numFmtId="2" fontId="11" fillId="20" borderId="98" xfId="1" applyNumberFormat="1" applyFont="1" applyFill="1" applyBorder="1"/>
    <xf numFmtId="0" fontId="11" fillId="20" borderId="100" xfId="1" applyNumberFormat="1" applyFont="1" applyFill="1" applyBorder="1"/>
    <xf numFmtId="0" fontId="14" fillId="20" borderId="101" xfId="1" applyNumberFormat="1" applyFont="1" applyFill="1" applyBorder="1"/>
    <xf numFmtId="0" fontId="11" fillId="20" borderId="101" xfId="1" applyNumberFormat="1" applyFont="1" applyFill="1" applyBorder="1"/>
    <xf numFmtId="164" fontId="11" fillId="20" borderId="102" xfId="1" applyFont="1" applyFill="1" applyBorder="1"/>
    <xf numFmtId="0" fontId="11" fillId="0" borderId="101" xfId="1" applyNumberFormat="1" applyFont="1" applyBorder="1" applyAlignment="1">
      <alignment horizontal="center"/>
    </xf>
    <xf numFmtId="164" fontId="11" fillId="0" borderId="101" xfId="1" applyFont="1" applyBorder="1" applyAlignment="1">
      <alignment horizontal="left"/>
    </xf>
    <xf numFmtId="164" fontId="11" fillId="0" borderId="101" xfId="1" applyFont="1" applyBorder="1"/>
    <xf numFmtId="0" fontId="11" fillId="0" borderId="101" xfId="1" applyNumberFormat="1" applyFont="1" applyBorder="1"/>
    <xf numFmtId="2" fontId="11" fillId="0" borderId="101" xfId="1" applyNumberFormat="1" applyFont="1" applyBorder="1"/>
    <xf numFmtId="0" fontId="11" fillId="20" borderId="0" xfId="1" applyNumberFormat="1" applyFont="1" applyFill="1" applyAlignment="1">
      <alignment horizontal="center"/>
    </xf>
    <xf numFmtId="8" fontId="11" fillId="0" borderId="104" xfId="1" applyNumberFormat="1" applyFont="1" applyBorder="1"/>
    <xf numFmtId="6" fontId="11" fillId="0" borderId="104" xfId="1" applyNumberFormat="1" applyFont="1" applyBorder="1"/>
    <xf numFmtId="0" fontId="11" fillId="20" borderId="103" xfId="1" applyNumberFormat="1" applyFont="1" applyFill="1" applyBorder="1"/>
    <xf numFmtId="0" fontId="14" fillId="20" borderId="0" xfId="1" applyNumberFormat="1" applyFont="1" applyFill="1" applyAlignment="1">
      <alignment horizontal="right"/>
    </xf>
    <xf numFmtId="0" fontId="11" fillId="20" borderId="0" xfId="1" applyNumberFormat="1" applyFont="1" applyFill="1"/>
    <xf numFmtId="0" fontId="11" fillId="0" borderId="104" xfId="1" applyNumberFormat="1" applyFont="1" applyBorder="1"/>
    <xf numFmtId="0" fontId="26" fillId="20" borderId="96" xfId="1" applyNumberFormat="1" applyFont="1" applyFill="1" applyBorder="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Border="1" applyAlignment="1">
      <alignment horizontal="left"/>
    </xf>
    <xf numFmtId="40" fontId="11" fillId="0" borderId="118" xfId="2" applyFont="1" applyFill="1" applyBorder="1" applyProtection="1"/>
    <xf numFmtId="0" fontId="34" fillId="0" borderId="0" xfId="1" applyNumberFormat="1" applyFont="1" applyAlignment="1">
      <alignment horizontal="left"/>
    </xf>
    <xf numFmtId="40" fontId="34" fillId="0" borderId="0" xfId="2"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xf numFmtId="0" fontId="14" fillId="0" borderId="115" xfId="1" applyNumberFormat="1" applyFont="1" applyBorder="1" applyAlignment="1">
      <alignment horizontal="left"/>
    </xf>
    <xf numFmtId="6" fontId="11" fillId="0" borderId="120" xfId="1" applyNumberFormat="1" applyFont="1" applyBorder="1"/>
    <xf numFmtId="0" fontId="34" fillId="0" borderId="0" xfId="1" applyNumberFormat="1" applyFont="1"/>
    <xf numFmtId="6" fontId="34" fillId="0" borderId="0" xfId="1" applyNumberFormat="1" applyFont="1"/>
    <xf numFmtId="2" fontId="38" fillId="0" borderId="0" xfId="1" applyNumberFormat="1" applyFont="1"/>
    <xf numFmtId="38" fontId="11" fillId="0" borderId="115" xfId="2" applyNumberFormat="1" applyFont="1" applyFill="1" applyBorder="1" applyProtection="1"/>
    <xf numFmtId="40" fontId="11" fillId="0" borderId="120" xfId="2" applyFont="1" applyFill="1" applyBorder="1" applyProtection="1"/>
    <xf numFmtId="2" fontId="11" fillId="0" borderId="0" xfId="2" applyNumberFormat="1" applyFont="1" applyProtection="1"/>
    <xf numFmtId="6" fontId="11" fillId="0" borderId="115" xfId="1" applyNumberFormat="1" applyFont="1" applyBorder="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Border="1"/>
    <xf numFmtId="38" fontId="11" fillId="0" borderId="123" xfId="2" applyNumberFormat="1" applyFont="1" applyFill="1" applyBorder="1" applyProtection="1"/>
    <xf numFmtId="8" fontId="11" fillId="0" borderId="0" xfId="1" applyNumberFormat="1" applyFont="1"/>
    <xf numFmtId="0" fontId="37" fillId="0" borderId="0" xfId="1" applyNumberFormat="1" applyFont="1" applyAlignment="1">
      <alignment horizontal="left" vertical="center"/>
    </xf>
    <xf numFmtId="0" fontId="37" fillId="0" borderId="0" xfId="1" applyNumberFormat="1" applyFont="1" applyAlignment="1">
      <alignment vertical="center"/>
    </xf>
    <xf numFmtId="2" fontId="14" fillId="0" borderId="0" xfId="1" applyNumberFormat="1" applyFont="1" applyAlignment="1">
      <alignment horizontal="left"/>
    </xf>
    <xf numFmtId="0" fontId="14" fillId="20" borderId="100" xfId="1" applyNumberFormat="1" applyFont="1" applyFill="1" applyBorder="1"/>
    <xf numFmtId="0" fontId="26" fillId="20" borderId="103" xfId="1" applyNumberFormat="1" applyFont="1" applyFill="1" applyBorder="1"/>
    <xf numFmtId="6" fontId="26" fillId="0" borderId="104" xfId="1" applyNumberFormat="1" applyFont="1" applyBorder="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xf numFmtId="0" fontId="11" fillId="20" borderId="96" xfId="1" applyNumberFormat="1" applyFont="1" applyFill="1" applyBorder="1" applyAlignment="1">
      <alignment horizontal="center"/>
    </xf>
    <xf numFmtId="0" fontId="11" fillId="0" borderId="106" xfId="1" applyNumberFormat="1" applyFont="1" applyBorder="1"/>
    <xf numFmtId="10" fontId="11" fillId="0" borderId="96" xfId="4" applyNumberFormat="1" applyFont="1" applyFill="1" applyBorder="1" applyProtection="1"/>
    <xf numFmtId="0" fontId="26" fillId="0" borderId="0" xfId="1" applyNumberFormat="1" applyFont="1" applyAlignment="1">
      <alignment horizontal="right"/>
    </xf>
    <xf numFmtId="0" fontId="26" fillId="0" borderId="107" xfId="1" applyNumberFormat="1" applyFont="1" applyBorder="1"/>
    <xf numFmtId="0" fontId="11" fillId="0" borderId="108" xfId="1" applyNumberFormat="1" applyFont="1" applyBorder="1" applyAlignment="1">
      <alignment horizontal="center"/>
    </xf>
    <xf numFmtId="0" fontId="11" fillId="0" borderId="108" xfId="1" applyNumberFormat="1" applyFont="1" applyBorder="1"/>
    <xf numFmtId="164" fontId="11" fillId="0" borderId="108" xfId="1" applyFont="1" applyBorder="1"/>
    <xf numFmtId="0" fontId="11" fillId="0" borderId="110" xfId="1" applyNumberFormat="1" applyFont="1" applyBorder="1"/>
    <xf numFmtId="0" fontId="11" fillId="0" borderId="111" xfId="1" applyNumberFormat="1" applyFont="1" applyBorder="1"/>
    <xf numFmtId="10" fontId="11" fillId="0" borderId="111" xfId="4" applyNumberFormat="1" applyFont="1" applyFill="1" applyBorder="1" applyProtection="1"/>
    <xf numFmtId="6" fontId="11" fillId="0" borderId="111" xfId="1" applyNumberFormat="1" applyFont="1" applyBorder="1"/>
    <xf numFmtId="0" fontId="11" fillId="0" borderId="111" xfId="4" applyNumberFormat="1" applyFont="1" applyFill="1" applyBorder="1" applyProtection="1"/>
    <xf numFmtId="0" fontId="34" fillId="0" borderId="110" xfId="1" applyNumberFormat="1" applyFont="1" applyBorder="1" applyAlignment="1">
      <alignment horizontal="left"/>
    </xf>
    <xf numFmtId="2" fontId="34" fillId="0" borderId="111" xfId="1" applyNumberFormat="1" applyFont="1" applyBorder="1" applyAlignment="1">
      <alignment horizontal="right"/>
    </xf>
    <xf numFmtId="0" fontId="34" fillId="0" borderId="112" xfId="1" applyNumberFormat="1" applyFont="1" applyBorder="1"/>
    <xf numFmtId="0" fontId="34" fillId="0" borderId="113" xfId="1" applyNumberFormat="1" applyFont="1" applyBorder="1" applyAlignment="1">
      <alignment horizontal="left"/>
    </xf>
    <xf numFmtId="6" fontId="34" fillId="0" borderId="114" xfId="1" applyNumberFormat="1" applyFont="1" applyBorder="1" applyAlignment="1">
      <alignment horizontal="right"/>
    </xf>
    <xf numFmtId="164" fontId="11" fillId="0" borderId="113" xfId="1" applyFont="1" applyBorder="1"/>
    <xf numFmtId="0" fontId="11" fillId="0" borderId="113" xfId="1" applyNumberFormat="1" applyFont="1" applyBorder="1"/>
    <xf numFmtId="2" fontId="11" fillId="0" borderId="113" xfId="1" applyNumberFormat="1" applyFont="1" applyBorder="1"/>
    <xf numFmtId="6" fontId="34" fillId="0" borderId="0" xfId="1" applyNumberFormat="1" applyFont="1" applyAlignment="1">
      <alignment horizontal="right"/>
    </xf>
    <xf numFmtId="10" fontId="11" fillId="0" borderId="111" xfId="4" applyNumberFormat="1" applyFont="1" applyBorder="1" applyProtection="1"/>
    <xf numFmtId="0" fontId="11" fillId="0" borderId="111" xfId="4" applyNumberFormat="1" applyFont="1" applyBorder="1" applyProtection="1"/>
    <xf numFmtId="2" fontId="34" fillId="0" borderId="0" xfId="1" applyNumberFormat="1" applyFont="1" applyAlignment="1">
      <alignment horizontal="right"/>
    </xf>
    <xf numFmtId="0" fontId="14" fillId="0" borderId="113" xfId="1" applyNumberFormat="1" applyFont="1" applyBorder="1" applyAlignment="1">
      <alignment horizontal="center"/>
    </xf>
    <xf numFmtId="2" fontId="34" fillId="0" borderId="113" xfId="1" applyNumberFormat="1" applyFont="1" applyBorder="1" applyAlignment="1">
      <alignment horizontal="right"/>
    </xf>
    <xf numFmtId="0" fontId="35" fillId="0" borderId="0" xfId="1" applyNumberFormat="1" applyFont="1" applyAlignment="1">
      <alignment vertical="center"/>
    </xf>
    <xf numFmtId="8" fontId="12" fillId="0" borderId="0" xfId="3" applyFont="1" applyFill="1" applyBorder="1" applyProtection="1"/>
    <xf numFmtId="0" fontId="11" fillId="0" borderId="107" xfId="1" applyNumberFormat="1" applyFont="1" applyBorder="1"/>
    <xf numFmtId="6" fontId="11" fillId="0" borderId="109" xfId="1" applyNumberFormat="1" applyFont="1" applyBorder="1"/>
    <xf numFmtId="0" fontId="26" fillId="0" borderId="110" xfId="1" applyNumberFormat="1" applyFont="1" applyBorder="1"/>
    <xf numFmtId="38" fontId="34" fillId="0" borderId="0" xfId="2" applyNumberFormat="1" applyFont="1" applyBorder="1" applyProtection="1"/>
    <xf numFmtId="2" fontId="34" fillId="0" borderId="0" xfId="1" applyNumberFormat="1" applyFont="1"/>
    <xf numFmtId="0" fontId="35" fillId="0" borderId="0" xfId="1" applyNumberFormat="1" applyFont="1" applyAlignment="1">
      <alignment vertical="center" wrapText="1"/>
    </xf>
    <xf numFmtId="0" fontId="11" fillId="0" borderId="97" xfId="1" applyNumberFormat="1" applyFont="1" applyBorder="1"/>
    <xf numFmtId="0" fontId="11" fillId="0" borderId="98" xfId="1" applyNumberFormat="1" applyFont="1" applyBorder="1"/>
    <xf numFmtId="0" fontId="12" fillId="20" borderId="103" xfId="1" applyNumberFormat="1" applyFont="1" applyFill="1" applyBorder="1"/>
    <xf numFmtId="0" fontId="12" fillId="0" borderId="0" xfId="1" applyNumberFormat="1" applyFont="1" applyAlignment="1">
      <alignment horizontal="right"/>
    </xf>
    <xf numFmtId="0" fontId="12" fillId="0" borderId="110" xfId="1" applyNumberFormat="1" applyFont="1" applyBorder="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0" fontId="14" fillId="20" borderId="100" xfId="1" applyNumberFormat="1" applyFont="1" applyFill="1" applyBorder="1" applyAlignment="1">
      <alignment horizontal="center"/>
    </xf>
    <xf numFmtId="0" fontId="11" fillId="20" borderId="101" xfId="1" applyNumberFormat="1" applyFont="1" applyFill="1" applyBorder="1" applyAlignment="1">
      <alignment horizontal="center"/>
    </xf>
    <xf numFmtId="164" fontId="11" fillId="20" borderId="102" xfId="1" applyFont="1" applyFill="1" applyBorder="1" applyAlignment="1">
      <alignment horizontal="center"/>
    </xf>
    <xf numFmtId="38" fontId="11" fillId="0" borderId="104" xfId="1" applyNumberFormat="1" applyFont="1" applyBorder="1"/>
    <xf numFmtId="6" fontId="11" fillId="0" borderId="106" xfId="1" applyNumberFormat="1" applyFont="1" applyBorder="1"/>
    <xf numFmtId="6" fontId="11" fillId="0" borderId="96" xfId="1" applyNumberFormat="1" applyFont="1" applyBorder="1"/>
    <xf numFmtId="2" fontId="11" fillId="0" borderId="96" xfId="1" applyNumberFormat="1" applyFont="1" applyBorder="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xf numFmtId="1" fontId="11" fillId="0" borderId="0" xfId="2" applyNumberFormat="1" applyFont="1" applyFill="1" applyBorder="1" applyProtection="1"/>
    <xf numFmtId="1" fontId="11" fillId="0" borderId="111" xfId="2" applyNumberFormat="1" applyFont="1" applyFill="1" applyBorder="1" applyProtection="1"/>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xf numFmtId="164" fontId="11" fillId="20" borderId="104" xfId="1" applyFont="1" applyFill="1" applyBorder="1"/>
    <xf numFmtId="164" fontId="11" fillId="0" borderId="109" xfId="1" applyFont="1" applyBorder="1"/>
    <xf numFmtId="164" fontId="11" fillId="0" borderId="111" xfId="1" applyFont="1" applyBorder="1"/>
    <xf numFmtId="3" fontId="11" fillId="0" borderId="0" xfId="1" applyNumberFormat="1" applyFont="1"/>
    <xf numFmtId="6" fontId="11" fillId="0" borderId="111" xfId="2" applyNumberFormat="1" applyFont="1" applyFill="1" applyBorder="1" applyProtection="1"/>
    <xf numFmtId="0" fontId="12" fillId="0" borderId="0" xfId="2" applyNumberFormat="1" applyFont="1" applyFill="1" applyAlignment="1" applyProtection="1">
      <alignment horizontal="center"/>
    </xf>
    <xf numFmtId="4" fontId="11" fillId="0" borderId="0" xfId="1" applyNumberFormat="1" applyFont="1"/>
    <xf numFmtId="170" fontId="11" fillId="0" borderId="0" xfId="1" applyNumberFormat="1" applyFont="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Protection="1">
      <protection locked="0"/>
    </xf>
    <xf numFmtId="165" fontId="11"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lignment horizontal="center" vertical="top"/>
    </xf>
    <xf numFmtId="167" fontId="44" fillId="0" borderId="0" xfId="0" applyNumberFormat="1" applyFont="1"/>
    <xf numFmtId="166" fontId="11" fillId="0" borderId="33" xfId="1" applyNumberFormat="1" applyFont="1" applyBorder="1"/>
    <xf numFmtId="10" fontId="12" fillId="0" borderId="111" xfId="8" applyNumberFormat="1" applyFont="1" applyBorder="1" applyProtection="1"/>
    <xf numFmtId="164" fontId="85" fillId="0" borderId="0" xfId="1" applyFont="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Alignment="1">
      <alignment horizontal="center"/>
    </xf>
    <xf numFmtId="0" fontId="45" fillId="0" borderId="52" xfId="1" applyNumberFormat="1" applyFont="1" applyBorder="1"/>
    <xf numFmtId="2" fontId="76" fillId="2" borderId="0" xfId="0" applyNumberFormat="1" applyFont="1" applyFill="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xf numFmtId="0" fontId="14" fillId="0" borderId="1" xfId="1" applyNumberFormat="1" applyFont="1" applyBorder="1" applyAlignment="1">
      <alignment horizontal="left" vertical="top"/>
    </xf>
    <xf numFmtId="0" fontId="14" fillId="0" borderId="17" xfId="1" applyNumberFormat="1" applyFont="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170" fontId="11" fillId="0" borderId="0" xfId="8"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lignment horizontal="left"/>
    </xf>
    <xf numFmtId="166" fontId="11" fillId="2" borderId="0" xfId="1" applyNumberFormat="1" applyFont="1" applyFill="1" applyProtection="1">
      <protection locked="0"/>
    </xf>
    <xf numFmtId="170" fontId="11" fillId="2" borderId="0" xfId="1" applyNumberFormat="1" applyFont="1" applyFill="1" applyProtection="1">
      <protection locked="0"/>
    </xf>
    <xf numFmtId="10" fontId="11" fillId="2" borderId="0" xfId="8" applyNumberFormat="1" applyFont="1" applyFill="1" applyBorder="1" applyAlignment="1" applyProtection="1">
      <alignment horizontal="center"/>
      <protection locked="0"/>
    </xf>
    <xf numFmtId="38" fontId="14" fillId="0" borderId="0" xfId="1" applyNumberFormat="1" applyFont="1" applyAlignment="1">
      <alignment horizontal="left"/>
    </xf>
    <xf numFmtId="1" fontId="11" fillId="15" borderId="0" xfId="1" applyNumberFormat="1" applyFont="1" applyFill="1"/>
    <xf numFmtId="165" fontId="0" fillId="0" borderId="0" xfId="0" applyNumberFormat="1"/>
    <xf numFmtId="0" fontId="0" fillId="2" borderId="0" xfId="0" applyFill="1"/>
    <xf numFmtId="7" fontId="0" fillId="2" borderId="0" xfId="0" applyNumberFormat="1" applyFill="1"/>
    <xf numFmtId="7" fontId="0" fillId="9" borderId="0" xfId="0" applyNumberFormat="1" applyFill="1"/>
    <xf numFmtId="0" fontId="0" fillId="9" borderId="0" xfId="0" applyFill="1"/>
    <xf numFmtId="10" fontId="0" fillId="2" borderId="0" xfId="0" applyNumberFormat="1" applyFill="1"/>
    <xf numFmtId="2" fontId="0" fillId="2" borderId="0" xfId="0" applyNumberFormat="1" applyFill="1"/>
    <xf numFmtId="165" fontId="0" fillId="9" borderId="0" xfId="0" applyNumberFormat="1" applyFill="1"/>
    <xf numFmtId="2" fontId="0" fillId="9" borderId="0" xfId="0" applyNumberFormat="1" applyFill="1"/>
    <xf numFmtId="7" fontId="11" fillId="2" borderId="0" xfId="2" applyNumberFormat="1" applyFont="1" applyFill="1" applyBorder="1" applyAlignment="1" applyProtection="1">
      <alignment horizontal="center"/>
      <protection locked="0"/>
    </xf>
    <xf numFmtId="7" fontId="0" fillId="8" borderId="0" xfId="0" applyNumberFormat="1" applyFill="1"/>
    <xf numFmtId="0" fontId="0" fillId="0" borderId="0" xfId="0" applyAlignment="1">
      <alignment horizontal="right"/>
    </xf>
    <xf numFmtId="15" fontId="0" fillId="0" borderId="0" xfId="0" applyNumberFormat="1" applyAlignment="1">
      <alignment horizontal="left"/>
    </xf>
    <xf numFmtId="18" fontId="0" fillId="0" borderId="0" xfId="0" applyNumberFormat="1" applyAlignment="1">
      <alignment horizontal="left"/>
    </xf>
    <xf numFmtId="0" fontId="0" fillId="0" borderId="0" xfId="0" quotePrefix="1"/>
    <xf numFmtId="6" fontId="0" fillId="0" borderId="0" xfId="0" applyNumberFormat="1"/>
    <xf numFmtId="0" fontId="0" fillId="0" borderId="0" xfId="0" applyAlignment="1">
      <alignment horizontal="centerContinuous"/>
    </xf>
    <xf numFmtId="0" fontId="86" fillId="0" borderId="0" xfId="0" applyFont="1" applyAlignment="1">
      <alignment horizontal="centerContinuous"/>
    </xf>
    <xf numFmtId="0" fontId="0" fillId="0" borderId="42" xfId="0" applyBorder="1" applyAlignment="1">
      <alignment horizontal="right"/>
    </xf>
    <xf numFmtId="164" fontId="11" fillId="0" borderId="187" xfId="1" applyFont="1" applyBorder="1"/>
    <xf numFmtId="164" fontId="11" fillId="0" borderId="188" xfId="1" applyFont="1" applyBorder="1"/>
    <xf numFmtId="0" fontId="11" fillId="0" borderId="188" xfId="1" applyNumberFormat="1" applyFont="1" applyBorder="1" applyAlignment="1">
      <alignment horizontal="center"/>
    </xf>
    <xf numFmtId="164" fontId="11" fillId="0" borderId="188" xfId="1" applyFont="1" applyBorder="1" applyAlignment="1">
      <alignment horizontal="left"/>
    </xf>
    <xf numFmtId="165" fontId="11" fillId="2" borderId="3" xfId="3" applyNumberFormat="1" applyFont="1" applyFill="1" applyBorder="1" applyProtection="1">
      <protection locked="0"/>
    </xf>
    <xf numFmtId="165" fontId="11" fillId="2" borderId="38" xfId="3" applyNumberFormat="1" applyFont="1" applyFill="1" applyBorder="1" applyProtection="1">
      <protection locked="0"/>
    </xf>
    <xf numFmtId="6" fontId="0" fillId="0" borderId="3" xfId="0" applyNumberFormat="1" applyBorder="1"/>
    <xf numFmtId="6" fontId="0" fillId="0" borderId="38" xfId="0" applyNumberFormat="1" applyBorder="1"/>
    <xf numFmtId="170" fontId="11" fillId="2" borderId="0" xfId="3" applyNumberFormat="1" applyFont="1" applyFill="1" applyBorder="1" applyProtection="1">
      <protection locked="0"/>
    </xf>
    <xf numFmtId="170" fontId="11" fillId="2" borderId="3" xfId="3" applyNumberFormat="1" applyFont="1" applyFill="1" applyBorder="1" applyProtection="1">
      <protection locked="0"/>
    </xf>
    <xf numFmtId="170" fontId="11" fillId="2" borderId="38" xfId="3" applyNumberFormat="1" applyFont="1" applyFill="1" applyBorder="1" applyProtection="1">
      <protection locked="0"/>
    </xf>
    <xf numFmtId="0" fontId="0" fillId="0" borderId="108" xfId="0" applyBorder="1"/>
    <xf numFmtId="0" fontId="0" fillId="0" borderId="189" xfId="0" applyBorder="1"/>
    <xf numFmtId="0" fontId="0" fillId="0" borderId="189" xfId="0" applyBorder="1" applyAlignment="1">
      <alignment horizontal="right"/>
    </xf>
    <xf numFmtId="0" fontId="0" fillId="0" borderId="190" xfId="0" applyBorder="1"/>
    <xf numFmtId="0" fontId="0" fillId="0" borderId="191" xfId="0" applyBorder="1"/>
    <xf numFmtId="164" fontId="11" fillId="0" borderId="191" xfId="1" applyFont="1" applyBorder="1"/>
    <xf numFmtId="164" fontId="11" fillId="0" borderId="192" xfId="1" applyFont="1" applyBorder="1"/>
    <xf numFmtId="0" fontId="0" fillId="0" borderId="192" xfId="0" applyBorder="1"/>
    <xf numFmtId="0" fontId="11" fillId="0" borderId="192" xfId="1" applyNumberFormat="1" applyFont="1" applyBorder="1" applyAlignment="1">
      <alignment horizontal="center"/>
    </xf>
    <xf numFmtId="164" fontId="11" fillId="0" borderId="192" xfId="1" applyFont="1" applyBorder="1" applyAlignment="1">
      <alignment horizontal="left"/>
    </xf>
    <xf numFmtId="0" fontId="0" fillId="0" borderId="193" xfId="0" applyBorder="1"/>
    <xf numFmtId="165" fontId="11" fillId="2" borderId="192" xfId="3" applyNumberFormat="1" applyFont="1" applyFill="1" applyBorder="1" applyProtection="1">
      <protection locked="0"/>
    </xf>
    <xf numFmtId="6" fontId="0" fillId="0" borderId="193" xfId="0" applyNumberFormat="1" applyBorder="1"/>
    <xf numFmtId="6" fontId="0" fillId="0" borderId="192" xfId="0" applyNumberFormat="1" applyBorder="1"/>
    <xf numFmtId="165" fontId="0" fillId="7" borderId="0" xfId="0" applyNumberFormat="1" applyFill="1"/>
    <xf numFmtId="0" fontId="47" fillId="21" borderId="0" xfId="2" applyNumberFormat="1" applyFont="1" applyFill="1" applyBorder="1" applyAlignment="1" applyProtection="1">
      <alignment horizontal="left"/>
    </xf>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6" borderId="0" xfId="0" applyNumberFormat="1" applyFill="1"/>
    <xf numFmtId="0" fontId="0" fillId="6" borderId="0" xfId="0" applyFill="1"/>
    <xf numFmtId="7" fontId="0" fillId="7" borderId="0" xfId="0" applyNumberFormat="1" applyFill="1"/>
    <xf numFmtId="7" fontId="78" fillId="0" borderId="0" xfId="0" applyNumberFormat="1" applyFont="1"/>
    <xf numFmtId="7" fontId="11" fillId="0" borderId="0" xfId="1" applyNumberFormat="1" applyFont="1" applyAlignment="1">
      <alignment horizontal="center"/>
    </xf>
    <xf numFmtId="0" fontId="1" fillId="0" borderId="0" xfId="1" applyNumberFormat="1" applyProtection="1"/>
    <xf numFmtId="164" fontId="1" fillId="0" borderId="0" xfId="1" applyProtection="1"/>
    <xf numFmtId="0" fontId="24" fillId="0" borderId="0" xfId="1" applyNumberFormat="1" applyFont="1" applyProtection="1"/>
    <xf numFmtId="0" fontId="41" fillId="0" borderId="0" xfId="1" applyNumberFormat="1" applyFont="1" applyProtection="1"/>
    <xf numFmtId="164" fontId="24" fillId="0" borderId="0" xfId="1" applyFont="1" applyProtection="1"/>
    <xf numFmtId="0" fontId="47" fillId="10" borderId="0" xfId="1" applyNumberFormat="1" applyFont="1" applyFill="1" applyAlignment="1" applyProtection="1">
      <alignment horizontal="center"/>
    </xf>
    <xf numFmtId="0" fontId="47" fillId="10" borderId="0" xfId="1" applyNumberFormat="1" applyFont="1" applyFill="1" applyProtection="1"/>
    <xf numFmtId="0" fontId="11" fillId="10" borderId="0" xfId="1" applyNumberFormat="1" applyFont="1" applyFill="1" applyProtection="1"/>
    <xf numFmtId="0" fontId="11" fillId="0" borderId="0" xfId="1" applyNumberFormat="1" applyFont="1" applyProtection="1"/>
    <xf numFmtId="0" fontId="26" fillId="0" borderId="0" xfId="1" applyNumberFormat="1" applyFont="1" applyProtection="1"/>
    <xf numFmtId="0" fontId="11" fillId="0" borderId="0" xfId="1" applyNumberFormat="1" applyFont="1" applyAlignment="1" applyProtection="1">
      <alignment horizontal="left"/>
    </xf>
    <xf numFmtId="0" fontId="8" fillId="0" borderId="0" xfId="1" applyNumberFormat="1" applyFont="1" applyAlignment="1" applyProtection="1">
      <alignment horizontal="center"/>
    </xf>
    <xf numFmtId="0" fontId="8" fillId="0" borderId="0" xfId="1" applyNumberFormat="1" applyFont="1" applyProtection="1"/>
    <xf numFmtId="0" fontId="8" fillId="0" borderId="0" xfId="1" applyNumberFormat="1" applyFont="1" applyAlignment="1" applyProtection="1">
      <alignment horizontal="right"/>
    </xf>
    <xf numFmtId="0" fontId="11" fillId="0" borderId="2" xfId="1" applyNumberFormat="1" applyFont="1" applyBorder="1" applyProtection="1"/>
    <xf numFmtId="0" fontId="11" fillId="12" borderId="0" xfId="1" applyNumberFormat="1" applyFont="1" applyFill="1" applyProtection="1"/>
    <xf numFmtId="0" fontId="11" fillId="12" borderId="34" xfId="1" applyNumberFormat="1" applyFont="1" applyFill="1" applyBorder="1" applyAlignment="1" applyProtection="1">
      <alignment horizontal="center"/>
    </xf>
    <xf numFmtId="0" fontId="11" fillId="12" borderId="0" xfId="1" applyNumberFormat="1" applyFont="1" applyFill="1" applyAlignment="1" applyProtection="1">
      <alignment horizontal="center"/>
    </xf>
    <xf numFmtId="0" fontId="11" fillId="12" borderId="38" xfId="1" applyNumberFormat="1" applyFont="1" applyFill="1" applyBorder="1" applyAlignment="1" applyProtection="1">
      <alignment horizontal="center"/>
    </xf>
    <xf numFmtId="0" fontId="11" fillId="0" borderId="0" xfId="1" applyNumberFormat="1" applyFont="1" applyAlignment="1" applyProtection="1">
      <alignment horizontal="center"/>
    </xf>
    <xf numFmtId="0" fontId="11" fillId="11" borderId="0" xfId="1" applyNumberFormat="1" applyFont="1" applyFill="1" applyProtection="1"/>
    <xf numFmtId="0" fontId="11" fillId="11" borderId="0" xfId="1" applyNumberFormat="1" applyFont="1" applyFill="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0" borderId="0" xfId="1" applyNumberFormat="1" applyFont="1" applyAlignment="1" applyProtection="1">
      <alignment horizontal="right"/>
    </xf>
    <xf numFmtId="165" fontId="11" fillId="0" borderId="0" xfId="1" applyNumberFormat="1" applyFont="1" applyAlignment="1" applyProtection="1">
      <alignment horizontal="center"/>
    </xf>
    <xf numFmtId="0" fontId="11" fillId="2" borderId="0" xfId="1" applyNumberFormat="1" applyFont="1" applyFill="1" applyAlignment="1" applyProtection="1">
      <alignment horizontal="center"/>
    </xf>
    <xf numFmtId="0" fontId="9" fillId="0" borderId="0" xfId="1" applyNumberFormat="1" applyFont="1" applyProtection="1"/>
    <xf numFmtId="0" fontId="12" fillId="0" borderId="0" xfId="1" applyNumberFormat="1" applyFont="1" applyProtection="1"/>
    <xf numFmtId="0" fontId="9" fillId="0" borderId="0" xfId="1" applyNumberFormat="1" applyFont="1" applyAlignment="1" applyProtection="1">
      <alignment horizontal="right"/>
    </xf>
    <xf numFmtId="0" fontId="51" fillId="10" borderId="0" xfId="1" applyNumberFormat="1" applyFont="1" applyFill="1" applyAlignment="1" applyProtection="1">
      <alignment horizontal="center"/>
    </xf>
    <xf numFmtId="0" fontId="51" fillId="10" borderId="0" xfId="1" applyNumberFormat="1" applyFont="1" applyFill="1" applyProtection="1"/>
    <xf numFmtId="0" fontId="24" fillId="10" borderId="0" xfId="1" applyNumberFormat="1" applyFont="1" applyFill="1" applyProtection="1"/>
    <xf numFmtId="0" fontId="24" fillId="10" borderId="0" xfId="1" applyNumberFormat="1" applyFont="1" applyFill="1" applyAlignment="1" applyProtection="1">
      <alignment horizontal="center"/>
    </xf>
    <xf numFmtId="0" fontId="24" fillId="0" borderId="0" xfId="1" applyNumberFormat="1" applyFont="1" applyAlignment="1" applyProtection="1">
      <alignment horizontal="center"/>
    </xf>
    <xf numFmtId="164" fontId="3" fillId="0" borderId="0" xfId="1" applyFont="1" applyProtection="1"/>
    <xf numFmtId="0" fontId="14" fillId="0" borderId="0" xfId="1" applyNumberFormat="1" applyFont="1" applyAlignment="1" applyProtection="1">
      <alignment horizontal="right"/>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0" borderId="0" xfId="1" applyNumberFormat="1" applyFont="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Alignment="1" applyProtection="1">
      <alignment horizontal="center" vertical="center"/>
    </xf>
    <xf numFmtId="0" fontId="14" fillId="0" borderId="0" xfId="1" applyNumberFormat="1" applyFont="1" applyAlignment="1" applyProtection="1">
      <alignment horizontal="left"/>
    </xf>
    <xf numFmtId="1" fontId="11" fillId="0" borderId="0" xfId="1" applyNumberFormat="1" applyFont="1" applyAlignment="1" applyProtection="1">
      <alignment horizontal="center"/>
    </xf>
    <xf numFmtId="0" fontId="14" fillId="0" borderId="0" xfId="1" applyNumberFormat="1" applyFont="1" applyProtection="1"/>
    <xf numFmtId="1" fontId="24" fillId="0" borderId="0" xfId="1" applyNumberFormat="1" applyFont="1" applyAlignment="1" applyProtection="1">
      <alignment horizontal="center"/>
    </xf>
    <xf numFmtId="0" fontId="47" fillId="21" borderId="0" xfId="1" applyNumberFormat="1" applyFont="1" applyFill="1" applyProtection="1"/>
    <xf numFmtId="0" fontId="50" fillId="10" borderId="0" xfId="1" applyNumberFormat="1" applyFont="1" applyFill="1" applyProtection="1"/>
    <xf numFmtId="164" fontId="1" fillId="0" borderId="0" xfId="1" applyAlignment="1" applyProtection="1">
      <alignment horizontal="right"/>
    </xf>
    <xf numFmtId="0" fontId="3" fillId="0" borderId="0" xfId="1" applyNumberFormat="1" applyFont="1" applyProtection="1"/>
    <xf numFmtId="0" fontId="5" fillId="0" borderId="0" xfId="1" applyNumberFormat="1" applyFont="1" applyAlignment="1" applyProtection="1">
      <alignment horizontal="center"/>
    </xf>
    <xf numFmtId="0" fontId="5" fillId="0" borderId="0" xfId="1" applyNumberFormat="1" applyFont="1" applyAlignment="1" applyProtection="1">
      <alignment horizontal="left"/>
    </xf>
    <xf numFmtId="0" fontId="3" fillId="0" borderId="1" xfId="1" applyNumberFormat="1" applyFont="1" applyBorder="1" applyProtection="1"/>
    <xf numFmtId="0" fontId="1" fillId="0" borderId="1" xfId="1" applyNumberFormat="1" applyBorder="1" applyProtection="1"/>
    <xf numFmtId="10" fontId="11" fillId="0" borderId="0" xfId="1" applyNumberFormat="1" applyFont="1" applyAlignment="1" applyProtection="1">
      <alignment horizontal="center" vertical="center"/>
    </xf>
    <xf numFmtId="0" fontId="8" fillId="0" borderId="0" xfId="1" applyNumberFormat="1" applyFont="1" applyAlignment="1" applyProtection="1">
      <alignment horizontal="left" vertical="center"/>
    </xf>
    <xf numFmtId="0" fontId="8" fillId="0" borderId="0" xfId="1" applyNumberFormat="1" applyFont="1" applyAlignment="1" applyProtection="1">
      <alignment horizontal="center" vertical="center"/>
    </xf>
    <xf numFmtId="38" fontId="11" fillId="0" borderId="0" xfId="1" applyNumberFormat="1" applyFont="1" applyAlignment="1" applyProtection="1">
      <alignment horizontal="right"/>
    </xf>
    <xf numFmtId="164" fontId="8" fillId="0" borderId="0" xfId="1" applyFont="1" applyAlignment="1" applyProtection="1">
      <alignment horizontal="right"/>
    </xf>
    <xf numFmtId="0" fontId="5" fillId="0" borderId="1" xfId="1" applyNumberFormat="1" applyFont="1" applyBorder="1" applyProtection="1"/>
    <xf numFmtId="169" fontId="1" fillId="0" borderId="0" xfId="1" applyNumberFormat="1" applyProtection="1"/>
    <xf numFmtId="0" fontId="1" fillId="0" borderId="0" xfId="1" applyNumberFormat="1" applyAlignment="1" applyProtection="1">
      <alignment horizontal="center" vertical="center"/>
    </xf>
    <xf numFmtId="0" fontId="5" fillId="0" borderId="0" xfId="1" applyNumberFormat="1" applyFont="1" applyProtection="1"/>
    <xf numFmtId="38" fontId="11" fillId="0" borderId="35" xfId="1" applyNumberFormat="1" applyFont="1" applyBorder="1" applyAlignment="1" applyProtection="1">
      <alignment horizontal="right"/>
    </xf>
    <xf numFmtId="38" fontId="11" fillId="0" borderId="1" xfId="1" applyNumberFormat="1" applyFont="1" applyBorder="1" applyAlignment="1" applyProtection="1">
      <alignment horizontal="right"/>
    </xf>
    <xf numFmtId="0" fontId="5" fillId="0" borderId="40" xfId="1" applyNumberFormat="1" applyFont="1" applyBorder="1" applyAlignment="1" applyProtection="1">
      <alignment horizontal="left"/>
    </xf>
    <xf numFmtId="0" fontId="3" fillId="0" borderId="0" xfId="1" applyNumberFormat="1" applyFont="1" applyAlignment="1" applyProtection="1">
      <alignment horizontal="right"/>
    </xf>
    <xf numFmtId="0" fontId="1" fillId="0" borderId="0" xfId="1" applyNumberFormat="1" applyAlignment="1" applyProtection="1">
      <alignment horizontal="right"/>
    </xf>
    <xf numFmtId="0" fontId="1" fillId="0" borderId="0" xfId="1" applyNumberFormat="1" applyAlignment="1" applyProtection="1">
      <alignment horizontal="center"/>
    </xf>
    <xf numFmtId="38" fontId="11" fillId="0" borderId="35" xfId="1" applyNumberFormat="1" applyFont="1" applyBorder="1" applyAlignment="1" applyProtection="1">
      <alignment horizontal="center"/>
    </xf>
    <xf numFmtId="38" fontId="11" fillId="0" borderId="1" xfId="1" applyNumberFormat="1" applyFont="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Border="1" applyAlignment="1" applyProtection="1">
      <alignment horizontal="center"/>
    </xf>
    <xf numFmtId="0" fontId="3" fillId="0" borderId="0" xfId="1" applyNumberFormat="1" applyFont="1" applyAlignment="1" applyProtection="1">
      <alignment horizontal="center" vertical="center"/>
    </xf>
    <xf numFmtId="1" fontId="11" fillId="0" borderId="1" xfId="1" applyNumberFormat="1" applyFont="1" applyBorder="1" applyAlignment="1" applyProtection="1">
      <alignment horizontal="center"/>
    </xf>
    <xf numFmtId="169" fontId="1" fillId="0" borderId="0" xfId="1" applyNumberFormat="1" applyAlignment="1" applyProtection="1">
      <alignment horizontal="center" vertical="center"/>
    </xf>
    <xf numFmtId="0" fontId="24" fillId="0" borderId="1" xfId="1" applyNumberFormat="1" applyFont="1" applyBorder="1" applyProtection="1"/>
    <xf numFmtId="1" fontId="1" fillId="0" borderId="0" xfId="1" applyNumberFormat="1" applyProtection="1"/>
    <xf numFmtId="0" fontId="41" fillId="0" borderId="0" xfId="1" applyNumberFormat="1" applyFont="1" applyAlignment="1" applyProtection="1">
      <alignment horizontal="left"/>
    </xf>
    <xf numFmtId="0" fontId="42" fillId="0" borderId="0" xfId="1" applyNumberFormat="1" applyFont="1" applyProtection="1"/>
    <xf numFmtId="0" fontId="41" fillId="0" borderId="0" xfId="1" applyNumberFormat="1" applyFont="1" applyAlignment="1" applyProtection="1">
      <alignment horizontal="center"/>
    </xf>
    <xf numFmtId="0" fontId="14" fillId="0" borderId="0" xfId="1" applyNumberFormat="1" applyFont="1" applyAlignment="1" applyProtection="1">
      <alignment horizontal="center"/>
    </xf>
    <xf numFmtId="0" fontId="14" fillId="0" borderId="0" xfId="1" applyNumberFormat="1" applyFont="1" applyFill="1" applyAlignment="1" applyProtection="1">
      <alignment horizontal="right"/>
    </xf>
    <xf numFmtId="0" fontId="11" fillId="0" borderId="0" xfId="1" applyNumberFormat="1" applyFont="1" applyFill="1" applyProtection="1"/>
    <xf numFmtId="0" fontId="11" fillId="0" borderId="0" xfId="1" applyNumberFormat="1" applyFont="1" applyFill="1" applyAlignment="1" applyProtection="1">
      <alignment horizontal="center"/>
    </xf>
    <xf numFmtId="167" fontId="11" fillId="0" borderId="0" xfId="1" applyNumberFormat="1" applyFont="1" applyFill="1" applyAlignment="1" applyProtection="1">
      <alignment horizontal="center"/>
    </xf>
    <xf numFmtId="0" fontId="11" fillId="0" borderId="0" xfId="1" applyNumberFormat="1" applyFont="1" applyFill="1" applyAlignment="1" applyProtection="1">
      <alignment horizontal="center" vertical="center"/>
    </xf>
    <xf numFmtId="9" fontId="11" fillId="2" borderId="0" xfId="8" applyFont="1" applyFill="1" applyBorder="1" applyAlignment="1" applyProtection="1">
      <alignment horizontal="center"/>
    </xf>
    <xf numFmtId="9" fontId="11" fillId="0" borderId="0" xfId="1" applyNumberFormat="1" applyFont="1" applyFill="1" applyAlignment="1" applyProtection="1">
      <alignment horizontal="center"/>
    </xf>
    <xf numFmtId="9" fontId="11" fillId="2" borderId="0" xfId="1" applyNumberFormat="1" applyFont="1" applyFill="1" applyAlignment="1" applyProtection="1">
      <alignment horizontal="center"/>
    </xf>
    <xf numFmtId="9" fontId="11" fillId="0" borderId="0" xfId="1" applyNumberFormat="1" applyFont="1" applyFill="1" applyAlignment="1" applyProtection="1">
      <alignment horizontal="center" vertical="center"/>
    </xf>
    <xf numFmtId="9" fontId="11" fillId="2" borderId="0" xfId="1" applyNumberFormat="1" applyFont="1" applyFill="1" applyAlignment="1" applyProtection="1">
      <alignment horizontal="center" vertical="center"/>
    </xf>
    <xf numFmtId="0" fontId="11" fillId="32" borderId="0" xfId="1" applyNumberFormat="1" applyFont="1" applyFill="1" applyProtection="1"/>
    <xf numFmtId="0" fontId="11" fillId="32" borderId="0" xfId="1" applyNumberFormat="1" applyFont="1" applyFill="1" applyAlignment="1" applyProtection="1">
      <alignment horizontal="right"/>
    </xf>
    <xf numFmtId="0" fontId="11" fillId="32" borderId="4" xfId="1" applyNumberFormat="1" applyFont="1" applyFill="1" applyBorder="1" applyAlignment="1" applyProtection="1">
      <alignment horizontal="center"/>
    </xf>
    <xf numFmtId="0" fontId="11" fillId="32" borderId="0" xfId="1" applyNumberFormat="1" applyFont="1" applyFill="1" applyAlignment="1" applyProtection="1">
      <alignment horizontal="center"/>
    </xf>
    <xf numFmtId="0" fontId="11" fillId="0" borderId="0" xfId="1" applyNumberFormat="1" applyFont="1" applyFill="1" applyAlignment="1" applyProtection="1">
      <alignment horizontal="right"/>
    </xf>
    <xf numFmtId="165" fontId="11" fillId="0" borderId="0" xfId="1" applyNumberFormat="1" applyFont="1" applyFill="1" applyAlignment="1" applyProtection="1">
      <alignment horizontal="center"/>
    </xf>
    <xf numFmtId="0" fontId="3" fillId="0" borderId="0" xfId="1" applyNumberFormat="1" applyFont="1" applyFill="1" applyProtection="1"/>
    <xf numFmtId="0" fontId="1" fillId="0" borderId="0" xfId="1" applyNumberFormat="1" applyFill="1" applyProtection="1"/>
    <xf numFmtId="0" fontId="0" fillId="8" borderId="0" xfId="0" applyFill="1"/>
    <xf numFmtId="0" fontId="0" fillId="2" borderId="0" xfId="0" applyNumberFormat="1" applyFill="1"/>
    <xf numFmtId="181" fontId="0" fillId="7" borderId="0" xfId="0" applyNumberFormat="1" applyFill="1"/>
    <xf numFmtId="0" fontId="0" fillId="33" borderId="0" xfId="0" applyNumberFormat="1" applyFill="1"/>
    <xf numFmtId="181" fontId="0" fillId="9" borderId="0" xfId="0" applyNumberFormat="1" applyFill="1"/>
    <xf numFmtId="0" fontId="0" fillId="33" borderId="0" xfId="0" applyFill="1"/>
    <xf numFmtId="38" fontId="14" fillId="0" borderId="33" xfId="1" applyNumberFormat="1" applyFont="1" applyFill="1" applyBorder="1" applyAlignment="1">
      <alignment horizontal="center"/>
    </xf>
    <xf numFmtId="0" fontId="11" fillId="0" borderId="15" xfId="1" applyNumberFormat="1" applyFont="1" applyFill="1" applyBorder="1" applyAlignment="1">
      <alignment horizontal="center"/>
    </xf>
    <xf numFmtId="0" fontId="14" fillId="0" borderId="33" xfId="1" applyNumberFormat="1" applyFont="1" applyFill="1" applyBorder="1" applyAlignment="1">
      <alignment horizontal="center"/>
    </xf>
    <xf numFmtId="0" fontId="14" fillId="0" borderId="16" xfId="1" applyNumberFormat="1" applyFont="1" applyFill="1" applyBorder="1" applyAlignment="1">
      <alignment horizontal="center"/>
    </xf>
    <xf numFmtId="0" fontId="11" fillId="0" borderId="0" xfId="1" applyNumberFormat="1" applyFont="1" applyFill="1" applyAlignment="1">
      <alignment horizontal="center"/>
    </xf>
    <xf numFmtId="8" fontId="11" fillId="0" borderId="0" xfId="1" applyNumberFormat="1" applyFont="1" applyFill="1" applyAlignment="1">
      <alignment horizontal="center"/>
    </xf>
    <xf numFmtId="0" fontId="14" fillId="0" borderId="0" xfId="1" applyNumberFormat="1" applyFont="1" applyFill="1" applyAlignment="1">
      <alignment horizontal="center"/>
    </xf>
    <xf numFmtId="0" fontId="14" fillId="0" borderId="0" xfId="1" applyNumberFormat="1" applyFont="1" applyFill="1" applyAlignment="1">
      <alignment horizontal="left"/>
    </xf>
    <xf numFmtId="38" fontId="11" fillId="0" borderId="0" xfId="1" applyNumberFormat="1" applyFont="1" applyFill="1" applyAlignment="1">
      <alignment horizontal="right"/>
    </xf>
    <xf numFmtId="0" fontId="14" fillId="0" borderId="0" xfId="1" applyNumberFormat="1" applyFont="1" applyFill="1"/>
    <xf numFmtId="38" fontId="11" fillId="0" borderId="0" xfId="1" applyNumberFormat="1" applyFont="1" applyFill="1"/>
    <xf numFmtId="164" fontId="14" fillId="0" borderId="0" xfId="1" applyFont="1" applyFill="1"/>
    <xf numFmtId="1" fontId="11" fillId="0" borderId="0" xfId="1" applyNumberFormat="1" applyFont="1" applyFill="1"/>
    <xf numFmtId="164" fontId="18" fillId="0" borderId="0" xfId="1" applyFont="1" applyAlignment="1">
      <alignment horizontal="left" vertical="center" wrapText="1"/>
    </xf>
    <xf numFmtId="14" fontId="2" fillId="0" borderId="0" xfId="1" applyNumberFormat="1" applyFont="1" applyAlignment="1">
      <alignment horizontal="left"/>
    </xf>
    <xf numFmtId="164" fontId="4" fillId="0" borderId="0" xfId="1" applyFont="1" applyAlignment="1">
      <alignment horizontal="center"/>
    </xf>
    <xf numFmtId="164" fontId="4" fillId="0" borderId="0" xfId="1" applyFont="1" applyAlignment="1">
      <alignment horizontal="left"/>
    </xf>
    <xf numFmtId="0" fontId="4" fillId="0" borderId="0" xfId="1" applyNumberFormat="1" applyFont="1" applyAlignment="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Alignment="1">
      <alignment horizontal="center" wrapText="1"/>
    </xf>
    <xf numFmtId="0" fontId="47" fillId="14" borderId="0" xfId="1" applyNumberFormat="1" applyFont="1" applyFill="1" applyAlignment="1">
      <alignment horizontal="left"/>
    </xf>
    <xf numFmtId="0" fontId="11" fillId="0" borderId="1" xfId="1" applyNumberFormat="1" applyFont="1" applyBorder="1" applyAlignment="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lignment horizontal="center"/>
    </xf>
    <xf numFmtId="0" fontId="14" fillId="20" borderId="103" xfId="1" applyNumberFormat="1" applyFont="1" applyFill="1" applyBorder="1" applyAlignment="1">
      <alignment horizontal="center"/>
    </xf>
    <xf numFmtId="0" fontId="14" fillId="20" borderId="0" xfId="1" applyNumberFormat="1" applyFont="1" applyFill="1" applyAlignment="1">
      <alignment horizontal="center"/>
    </xf>
    <xf numFmtId="0" fontId="26" fillId="20" borderId="105" xfId="1" applyNumberFormat="1" applyFont="1" applyFill="1" applyBorder="1" applyAlignment="1">
      <alignment horizontal="center"/>
    </xf>
    <xf numFmtId="0" fontId="26" fillId="20" borderId="96" xfId="1" applyNumberFormat="1" applyFont="1" applyFill="1" applyBorder="1" applyAlignment="1">
      <alignment horizontal="center"/>
    </xf>
    <xf numFmtId="0" fontId="11" fillId="0" borderId="121" xfId="1" applyNumberFormat="1" applyFont="1" applyBorder="1" applyAlignment="1">
      <alignment horizontal="center"/>
    </xf>
    <xf numFmtId="0" fontId="11" fillId="0" borderId="122" xfId="1" applyNumberFormat="1" applyFont="1" applyBorder="1" applyAlignment="1">
      <alignment horizontal="center"/>
    </xf>
    <xf numFmtId="0" fontId="11" fillId="0" borderId="119" xfId="1" applyNumberFormat="1" applyFont="1" applyBorder="1" applyAlignment="1">
      <alignment horizontal="center"/>
    </xf>
    <xf numFmtId="0" fontId="11" fillId="0" borderId="115" xfId="1" applyNumberFormat="1" applyFont="1" applyBorder="1" applyAlignment="1">
      <alignment horizontal="center"/>
    </xf>
    <xf numFmtId="0" fontId="14" fillId="0" borderId="116" xfId="1" applyNumberFormat="1" applyFont="1" applyBorder="1" applyAlignment="1">
      <alignment horizontal="center" vertical="center"/>
    </xf>
    <xf numFmtId="0" fontId="14" fillId="0" borderId="117" xfId="1" applyNumberFormat="1" applyFont="1" applyBorder="1" applyAlignment="1">
      <alignment horizontal="center" vertical="center"/>
    </xf>
    <xf numFmtId="0" fontId="14" fillId="0" borderId="119" xfId="1" applyNumberFormat="1" applyFont="1" applyBorder="1" applyAlignment="1">
      <alignment horizontal="center" vertical="center"/>
    </xf>
    <xf numFmtId="0" fontId="14" fillId="0" borderId="115" xfId="1" applyNumberFormat="1" applyFont="1" applyBorder="1" applyAlignment="1">
      <alignment horizontal="center" vertical="center"/>
    </xf>
    <xf numFmtId="0" fontId="11" fillId="0" borderId="124" xfId="1" applyNumberFormat="1" applyFont="1" applyBorder="1" applyAlignment="1">
      <alignment horizontal="center"/>
    </xf>
    <xf numFmtId="0" fontId="11" fillId="0" borderId="126" xfId="1" applyNumberFormat="1" applyFont="1" applyBorder="1" applyAlignment="1">
      <alignment horizontal="center"/>
    </xf>
    <xf numFmtId="0" fontId="11" fillId="0" borderId="125" xfId="1" applyNumberFormat="1" applyFont="1" applyBorder="1" applyAlignment="1">
      <alignment horizontal="center"/>
    </xf>
    <xf numFmtId="0" fontId="14" fillId="0" borderId="0" xfId="1" applyNumberFormat="1" applyFont="1" applyAlignment="1">
      <alignment horizontal="right"/>
    </xf>
    <xf numFmtId="0" fontId="11" fillId="24" borderId="146" xfId="1" applyNumberFormat="1" applyFont="1" applyFill="1" applyBorder="1" applyAlignment="1">
      <alignment horizontal="left" vertical="center"/>
    </xf>
    <xf numFmtId="0" fontId="11" fillId="24" borderId="147" xfId="1" applyNumberFormat="1" applyFont="1" applyFill="1" applyBorder="1" applyAlignment="1">
      <alignment horizontal="left" vertical="center"/>
    </xf>
    <xf numFmtId="0" fontId="11" fillId="24" borderId="148" xfId="1" applyNumberFormat="1" applyFont="1" applyFill="1" applyBorder="1" applyAlignment="1">
      <alignment horizontal="left" vertical="center"/>
    </xf>
    <xf numFmtId="0" fontId="11" fillId="24" borderId="149" xfId="1" applyNumberFormat="1" applyFont="1" applyFill="1" applyBorder="1" applyAlignment="1">
      <alignment horizontal="left" vertical="center"/>
    </xf>
    <xf numFmtId="0" fontId="11" fillId="24" borderId="150" xfId="1" applyNumberFormat="1" applyFont="1" applyFill="1" applyBorder="1" applyAlignment="1">
      <alignment horizontal="left" vertical="center"/>
    </xf>
    <xf numFmtId="0" fontId="11" fillId="24" borderId="151" xfId="1" applyNumberFormat="1" applyFont="1" applyFill="1" applyBorder="1" applyAlignment="1">
      <alignment horizontal="left" vertical="center"/>
    </xf>
    <xf numFmtId="0" fontId="11" fillId="20" borderId="86" xfId="1" applyNumberFormat="1" applyFont="1" applyFill="1" applyBorder="1" applyAlignment="1">
      <alignment horizontal="left" vertical="center"/>
    </xf>
    <xf numFmtId="0" fontId="11" fillId="20" borderId="75" xfId="1" applyNumberFormat="1" applyFont="1" applyFill="1" applyBorder="1" applyAlignment="1">
      <alignment horizontal="left" vertical="center"/>
    </xf>
    <xf numFmtId="0" fontId="11" fillId="24" borderId="88" xfId="1" applyNumberFormat="1" applyFont="1" applyFill="1" applyBorder="1" applyAlignment="1">
      <alignment horizontal="center" vertical="center"/>
    </xf>
    <xf numFmtId="0" fontId="11" fillId="24" borderId="89" xfId="1" applyNumberFormat="1" applyFont="1" applyFill="1" applyBorder="1" applyAlignment="1">
      <alignment horizontal="center" vertical="center"/>
    </xf>
    <xf numFmtId="0" fontId="11" fillId="24" borderId="91" xfId="1" applyNumberFormat="1" applyFont="1" applyFill="1" applyBorder="1" applyAlignment="1">
      <alignment horizontal="left" vertical="center"/>
    </xf>
    <xf numFmtId="0" fontId="11" fillId="24" borderId="92" xfId="1" applyNumberFormat="1" applyFont="1" applyFill="1" applyBorder="1" applyAlignment="1">
      <alignment horizontal="left" vertical="center"/>
    </xf>
    <xf numFmtId="0" fontId="11" fillId="24" borderId="78" xfId="1" applyNumberFormat="1" applyFont="1" applyFill="1" applyBorder="1" applyAlignment="1">
      <alignment horizontal="left" vertical="center"/>
    </xf>
    <xf numFmtId="0" fontId="11" fillId="24" borderId="79" xfId="1" applyNumberFormat="1" applyFont="1" applyFill="1" applyBorder="1" applyAlignment="1">
      <alignment horizontal="left" vertical="center"/>
    </xf>
    <xf numFmtId="0" fontId="11" fillId="20" borderId="152" xfId="1" applyNumberFormat="1" applyFont="1" applyFill="1" applyBorder="1" applyAlignment="1">
      <alignment horizontal="left" vertical="center"/>
    </xf>
    <xf numFmtId="0" fontId="11" fillId="20" borderId="153" xfId="1" applyNumberFormat="1" applyFont="1" applyFill="1" applyBorder="1" applyAlignment="1">
      <alignment horizontal="left" vertical="center"/>
    </xf>
    <xf numFmtId="0" fontId="11" fillId="20" borderId="154" xfId="1" applyNumberFormat="1" applyFont="1" applyFill="1" applyBorder="1" applyAlignment="1">
      <alignment horizontal="left" vertical="center"/>
    </xf>
    <xf numFmtId="0" fontId="11" fillId="20" borderId="62" xfId="1" applyNumberFormat="1" applyFont="1" applyFill="1" applyBorder="1" applyAlignment="1">
      <alignment horizontal="left" vertical="center"/>
    </xf>
    <xf numFmtId="0" fontId="11" fillId="20" borderId="63" xfId="1" applyNumberFormat="1" applyFont="1" applyFill="1" applyBorder="1" applyAlignment="1">
      <alignment horizontal="left" vertical="center"/>
    </xf>
    <xf numFmtId="0" fontId="11" fillId="20" borderId="64" xfId="1" applyNumberFormat="1" applyFont="1" applyFill="1" applyBorder="1" applyAlignment="1">
      <alignment horizontal="left" vertical="center"/>
    </xf>
    <xf numFmtId="0" fontId="11" fillId="20" borderId="100" xfId="1" applyNumberFormat="1" applyFont="1" applyFill="1" applyBorder="1" applyAlignment="1">
      <alignment horizontal="left"/>
    </xf>
    <xf numFmtId="0" fontId="11" fillId="20" borderId="101" xfId="1" applyNumberFormat="1" applyFont="1" applyFill="1" applyBorder="1" applyAlignment="1">
      <alignment horizontal="left"/>
    </xf>
    <xf numFmtId="0" fontId="11" fillId="20" borderId="156" xfId="1" applyNumberFormat="1" applyFont="1" applyFill="1" applyBorder="1" applyAlignment="1">
      <alignment horizontal="left"/>
    </xf>
    <xf numFmtId="0" fontId="11" fillId="20" borderId="62" xfId="1" applyNumberFormat="1" applyFont="1" applyFill="1" applyBorder="1" applyAlignment="1">
      <alignment horizontal="left"/>
    </xf>
    <xf numFmtId="0" fontId="11" fillId="20" borderId="63" xfId="1" applyNumberFormat="1" applyFont="1" applyFill="1" applyBorder="1" applyAlignment="1">
      <alignment horizontal="left"/>
    </xf>
    <xf numFmtId="0" fontId="11" fillId="20" borderId="64" xfId="1" applyNumberFormat="1" applyFont="1" applyFill="1" applyBorder="1" applyAlignment="1">
      <alignment horizontal="left"/>
    </xf>
    <xf numFmtId="0" fontId="11" fillId="20" borderId="67" xfId="1" applyNumberFormat="1" applyFont="1" applyFill="1" applyBorder="1" applyAlignment="1">
      <alignment horizontal="left"/>
    </xf>
    <xf numFmtId="0" fontId="11" fillId="20" borderId="68" xfId="1" applyNumberFormat="1" applyFont="1" applyFill="1" applyBorder="1" applyAlignment="1">
      <alignment horizontal="left"/>
    </xf>
    <xf numFmtId="0" fontId="11" fillId="20" borderId="69" xfId="1" applyNumberFormat="1" applyFont="1" applyFill="1" applyBorder="1" applyAlignment="1">
      <alignment horizontal="left"/>
    </xf>
    <xf numFmtId="0" fontId="11" fillId="20" borderId="72" xfId="1" applyNumberFormat="1" applyFont="1" applyFill="1" applyBorder="1" applyAlignment="1">
      <alignment horizontal="left"/>
    </xf>
    <xf numFmtId="0" fontId="11" fillId="20" borderId="73" xfId="1" applyNumberFormat="1" applyFont="1" applyFill="1" applyBorder="1" applyAlignment="1">
      <alignment horizontal="left"/>
    </xf>
    <xf numFmtId="0" fontId="11" fillId="20" borderId="74" xfId="1" applyNumberFormat="1" applyFont="1" applyFill="1" applyBorder="1" applyAlignment="1">
      <alignment horizontal="left"/>
    </xf>
    <xf numFmtId="0" fontId="11" fillId="24" borderId="88" xfId="1" applyNumberFormat="1" applyFont="1" applyFill="1" applyBorder="1" applyAlignment="1">
      <alignment horizontal="left"/>
    </xf>
    <xf numFmtId="0" fontId="11" fillId="24" borderId="89" xfId="1" applyNumberFormat="1" applyFont="1" applyFill="1" applyBorder="1" applyAlignment="1">
      <alignment horizontal="left"/>
    </xf>
    <xf numFmtId="0" fontId="11" fillId="24" borderId="91" xfId="1" applyNumberFormat="1" applyFont="1" applyFill="1" applyBorder="1" applyAlignment="1">
      <alignment horizontal="left"/>
    </xf>
    <xf numFmtId="0" fontId="11" fillId="24" borderId="92" xfId="1" applyNumberFormat="1" applyFont="1" applyFill="1" applyBorder="1" applyAlignment="1">
      <alignment horizontal="left"/>
    </xf>
    <xf numFmtId="0" fontId="11" fillId="20" borderId="85" xfId="1" applyNumberFormat="1" applyFont="1" applyFill="1" applyBorder="1" applyAlignment="1">
      <alignment horizontal="left" vertical="center"/>
    </xf>
    <xf numFmtId="0" fontId="11" fillId="20" borderId="70" xfId="1" applyNumberFormat="1" applyFont="1" applyFill="1" applyBorder="1" applyAlignment="1">
      <alignment horizontal="left" vertical="center"/>
    </xf>
    <xf numFmtId="0" fontId="11" fillId="24" borderId="78" xfId="1" applyNumberFormat="1" applyFont="1" applyFill="1" applyBorder="1" applyAlignment="1">
      <alignment horizontal="left"/>
    </xf>
    <xf numFmtId="0" fontId="11" fillId="24" borderId="79" xfId="1" applyNumberFormat="1" applyFont="1" applyFill="1" applyBorder="1" applyAlignment="1">
      <alignment horizontal="left"/>
    </xf>
    <xf numFmtId="0" fontId="11" fillId="24" borderId="81" xfId="1" applyNumberFormat="1" applyFont="1" applyFill="1" applyBorder="1" applyAlignment="1">
      <alignment horizontal="left"/>
    </xf>
    <xf numFmtId="0" fontId="11" fillId="24" borderId="82" xfId="1" applyNumberFormat="1" applyFont="1" applyFill="1" applyBorder="1" applyAlignment="1">
      <alignment horizontal="left"/>
    </xf>
    <xf numFmtId="0" fontId="11" fillId="20" borderId="155" xfId="1" applyNumberFormat="1" applyFont="1" applyFill="1" applyBorder="1" applyAlignment="1">
      <alignment horizontal="center" vertical="center"/>
    </xf>
    <xf numFmtId="0" fontId="11" fillId="20" borderId="159" xfId="1" applyNumberFormat="1" applyFont="1" applyFill="1" applyBorder="1" applyAlignment="1">
      <alignment horizontal="center" vertical="center"/>
    </xf>
    <xf numFmtId="0" fontId="11" fillId="20" borderId="160" xfId="1" applyNumberFormat="1" applyFont="1" applyFill="1" applyBorder="1" applyAlignment="1">
      <alignment horizontal="center" vertical="center"/>
    </xf>
    <xf numFmtId="0" fontId="11" fillId="20" borderId="84" xfId="1" applyNumberFormat="1" applyFont="1" applyFill="1" applyBorder="1" applyAlignment="1">
      <alignment horizontal="left" vertical="center"/>
    </xf>
    <xf numFmtId="0" fontId="11" fillId="20" borderId="65" xfId="1" applyNumberFormat="1" applyFont="1" applyFill="1" applyBorder="1" applyAlignment="1">
      <alignment horizontal="left" vertical="center"/>
    </xf>
    <xf numFmtId="0" fontId="11" fillId="0" borderId="169" xfId="1" applyNumberFormat="1" applyFont="1" applyBorder="1" applyAlignment="1">
      <alignment horizontal="center" vertical="center"/>
    </xf>
    <xf numFmtId="0" fontId="11" fillId="0" borderId="170" xfId="1" applyNumberFormat="1" applyFont="1" applyBorder="1" applyAlignment="1">
      <alignment horizontal="center" vertical="center"/>
    </xf>
    <xf numFmtId="164" fontId="11" fillId="0" borderId="166" xfId="1" applyFont="1" applyBorder="1" applyAlignment="1">
      <alignment horizontal="center" vertical="center"/>
    </xf>
    <xf numFmtId="164" fontId="11" fillId="0" borderId="167" xfId="1" applyFont="1" applyBorder="1" applyAlignment="1">
      <alignment horizontal="center" vertical="center"/>
    </xf>
    <xf numFmtId="164" fontId="11" fillId="24" borderId="119" xfId="1" applyFont="1" applyFill="1" applyBorder="1" applyAlignment="1">
      <alignment horizontal="left"/>
    </xf>
    <xf numFmtId="164" fontId="11" fillId="24" borderId="115" xfId="1" applyFont="1" applyFill="1" applyBorder="1" applyAlignment="1">
      <alignment horizontal="left"/>
    </xf>
    <xf numFmtId="164" fontId="11" fillId="22" borderId="121" xfId="1" applyFont="1" applyFill="1" applyBorder="1" applyAlignment="1">
      <alignment horizontal="left" vertical="center"/>
    </xf>
    <xf numFmtId="164" fontId="11" fillId="22" borderId="122" xfId="1" applyFont="1" applyFill="1" applyBorder="1" applyAlignment="1">
      <alignment horizontal="left" vertical="center"/>
    </xf>
    <xf numFmtId="164" fontId="11" fillId="20" borderId="163" xfId="1" applyFont="1" applyFill="1" applyBorder="1" applyAlignment="1">
      <alignment horizontal="left"/>
    </xf>
    <xf numFmtId="164" fontId="11" fillId="20" borderId="164" xfId="1" applyFont="1" applyFill="1" applyBorder="1" applyAlignment="1">
      <alignment horizontal="left"/>
    </xf>
    <xf numFmtId="0" fontId="11" fillId="24" borderId="81" xfId="1" applyNumberFormat="1" applyFont="1" applyFill="1" applyBorder="1" applyAlignment="1">
      <alignment horizontal="left" vertical="center"/>
    </xf>
    <xf numFmtId="0" fontId="11" fillId="24" borderId="82" xfId="1" applyNumberFormat="1" applyFont="1" applyFill="1" applyBorder="1" applyAlignment="1">
      <alignment horizontal="left" vertical="center"/>
    </xf>
    <xf numFmtId="0" fontId="66" fillId="0" borderId="116" xfId="0" applyFont="1" applyBorder="1" applyAlignment="1">
      <alignment horizontal="center" vertical="center" readingOrder="1"/>
    </xf>
    <xf numFmtId="0" fontId="66" fillId="0" borderId="117" xfId="0" applyFont="1" applyBorder="1" applyAlignment="1">
      <alignment horizontal="center" vertical="center" readingOrder="1"/>
    </xf>
    <xf numFmtId="0" fontId="66" fillId="0" borderId="118" xfId="0" applyFont="1" applyBorder="1" applyAlignment="1">
      <alignment horizontal="center" vertical="center" readingOrder="1"/>
    </xf>
    <xf numFmtId="0" fontId="14" fillId="0" borderId="118" xfId="1" applyNumberFormat="1" applyFont="1" applyBorder="1" applyAlignment="1">
      <alignment horizontal="center" vertical="center"/>
    </xf>
    <xf numFmtId="0" fontId="11" fillId="27" borderId="14" xfId="1" applyNumberFormat="1" applyFont="1" applyFill="1" applyBorder="1" applyAlignment="1">
      <alignment horizontal="center" vertical="center" textRotation="135" wrapText="1"/>
    </xf>
    <xf numFmtId="0" fontId="11" fillId="27" borderId="16" xfId="1" applyNumberFormat="1" applyFont="1" applyFill="1" applyBorder="1" applyAlignment="1">
      <alignment horizontal="center" vertical="center" textRotation="135" wrapText="1"/>
    </xf>
    <xf numFmtId="0" fontId="11" fillId="27" borderId="11" xfId="1" applyNumberFormat="1" applyFont="1" applyFill="1" applyBorder="1" applyAlignment="1">
      <alignment horizontal="center" vertical="center" textRotation="135" wrapText="1"/>
    </xf>
    <xf numFmtId="0" fontId="11" fillId="27" borderId="14" xfId="1" applyNumberFormat="1" applyFont="1" applyFill="1" applyBorder="1" applyAlignment="1">
      <alignment horizontal="center" vertical="center" textRotation="135"/>
    </xf>
    <xf numFmtId="0" fontId="11" fillId="27" borderId="16" xfId="1" applyNumberFormat="1" applyFont="1" applyFill="1" applyBorder="1" applyAlignment="1">
      <alignment horizontal="center" vertical="center" textRotation="135"/>
    </xf>
    <xf numFmtId="0" fontId="11" fillId="27" borderId="11" xfId="1" applyNumberFormat="1" applyFont="1" applyFill="1" applyBorder="1" applyAlignment="1">
      <alignment horizontal="center" vertical="center" textRotation="135"/>
    </xf>
    <xf numFmtId="0" fontId="11" fillId="27" borderId="14" xfId="1" applyNumberFormat="1" applyFont="1" applyFill="1" applyBorder="1" applyAlignment="1">
      <alignment horizontal="center" vertical="center" textRotation="135" shrinkToFit="1"/>
    </xf>
    <xf numFmtId="0" fontId="11" fillId="27" borderId="16" xfId="1" applyNumberFormat="1" applyFont="1" applyFill="1" applyBorder="1" applyAlignment="1">
      <alignment horizontal="center" vertical="center" textRotation="135" shrinkToFit="1"/>
    </xf>
    <xf numFmtId="0" fontId="11" fillId="27" borderId="11" xfId="1" applyNumberFormat="1" applyFont="1" applyFill="1" applyBorder="1" applyAlignment="1">
      <alignment horizontal="center" vertical="center" textRotation="135" shrinkToFit="1"/>
    </xf>
    <xf numFmtId="0" fontId="14" fillId="0" borderId="44" xfId="1" applyNumberFormat="1" applyFont="1" applyBorder="1" applyAlignment="1">
      <alignment horizontal="center"/>
    </xf>
    <xf numFmtId="0" fontId="14" fillId="0" borderId="6" xfId="1" applyNumberFormat="1" applyFont="1" applyBorder="1" applyAlignment="1">
      <alignment horizontal="center"/>
    </xf>
    <xf numFmtId="0" fontId="14" fillId="0" borderId="27" xfId="1" applyNumberFormat="1" applyFont="1" applyBorder="1" applyAlignment="1">
      <alignment horizontal="center"/>
    </xf>
    <xf numFmtId="164" fontId="11" fillId="20" borderId="163" xfId="1" applyFont="1" applyFill="1" applyBorder="1" applyAlignment="1">
      <alignment horizontal="left" vertical="center"/>
    </xf>
    <xf numFmtId="164" fontId="11" fillId="20" borderId="164" xfId="1" applyFont="1" applyFill="1" applyBorder="1" applyAlignment="1">
      <alignment horizontal="left" vertical="center"/>
    </xf>
    <xf numFmtId="164" fontId="11" fillId="24" borderId="119" xfId="1" applyFont="1" applyFill="1" applyBorder="1" applyAlignment="1">
      <alignment horizontal="left" vertical="center"/>
    </xf>
    <xf numFmtId="164" fontId="11" fillId="24" borderId="115" xfId="1" applyFont="1" applyFill="1" applyBorder="1" applyAlignment="1">
      <alignment horizontal="left" vertical="center"/>
    </xf>
    <xf numFmtId="0" fontId="14" fillId="0" borderId="127" xfId="1" applyNumberFormat="1" applyFont="1" applyBorder="1" applyAlignment="1">
      <alignment horizontal="center"/>
    </xf>
    <xf numFmtId="0" fontId="14" fillId="0" borderId="128" xfId="1" applyNumberFormat="1" applyFont="1" applyBorder="1" applyAlignment="1">
      <alignment horizontal="center"/>
    </xf>
    <xf numFmtId="0" fontId="25" fillId="0" borderId="140" xfId="1" applyNumberFormat="1" applyFont="1" applyBorder="1" applyAlignment="1">
      <alignment horizontal="left" wrapText="1"/>
    </xf>
    <xf numFmtId="0" fontId="25" fillId="0" borderId="0" xfId="1" applyNumberFormat="1" applyFont="1" applyAlignment="1">
      <alignment horizontal="left" wrapText="1"/>
    </xf>
    <xf numFmtId="0" fontId="25" fillId="0" borderId="140" xfId="1" applyNumberFormat="1" applyFont="1" applyBorder="1" applyAlignment="1">
      <alignment horizontal="center" wrapText="1"/>
    </xf>
    <xf numFmtId="0" fontId="25" fillId="0" borderId="0" xfId="1" applyNumberFormat="1" applyFont="1" applyAlignment="1">
      <alignment horizontal="center" wrapText="1"/>
    </xf>
    <xf numFmtId="0" fontId="9" fillId="0" borderId="140" xfId="1" applyNumberFormat="1" applyFont="1" applyBorder="1" applyAlignment="1">
      <alignment horizontal="left" wrapText="1"/>
    </xf>
    <xf numFmtId="0" fontId="9" fillId="0" borderId="0" xfId="1" applyNumberFormat="1" applyFont="1" applyAlignment="1">
      <alignment horizontal="left" wrapText="1"/>
    </xf>
    <xf numFmtId="0" fontId="25" fillId="0" borderId="143" xfId="1" applyNumberFormat="1" applyFont="1" applyBorder="1" applyAlignment="1">
      <alignment horizontal="left" wrapText="1"/>
    </xf>
    <xf numFmtId="0" fontId="25" fillId="0" borderId="144" xfId="1" applyNumberFormat="1" applyFont="1" applyBorder="1" applyAlignment="1">
      <alignment horizontal="left" wrapText="1"/>
    </xf>
    <xf numFmtId="0" fontId="25" fillId="0" borderId="135" xfId="1" applyNumberFormat="1" applyFont="1" applyBorder="1" applyAlignment="1">
      <alignment horizontal="left" wrapText="1"/>
    </xf>
    <xf numFmtId="0" fontId="74" fillId="0" borderId="42" xfId="0" applyFont="1" applyBorder="1" applyAlignment="1">
      <alignment horizontal="left"/>
    </xf>
    <xf numFmtId="0" fontId="4" fillId="0" borderId="0" xfId="0"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Alignment="1" applyProtection="1">
      <alignment horizontal="center" wrapText="1"/>
    </xf>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2" fillId="0" borderId="0" xfId="1" applyNumberFormat="1" applyFont="1" applyProtection="1"/>
    <xf numFmtId="0" fontId="14" fillId="0" borderId="2" xfId="1" applyNumberFormat="1" applyFont="1" applyBorder="1" applyAlignment="1" applyProtection="1">
      <alignment horizontal="center"/>
    </xf>
    <xf numFmtId="0" fontId="14" fillId="0" borderId="2" xfId="1" applyNumberFormat="1" applyFont="1" applyBorder="1" applyProtection="1"/>
    <xf numFmtId="0" fontId="70" fillId="0" borderId="0" xfId="1" applyNumberFormat="1" applyFont="1" applyAlignment="1" applyProtection="1">
      <alignment horizontal="right"/>
    </xf>
    <xf numFmtId="0" fontId="11" fillId="0" borderId="40" xfId="1" applyNumberFormat="1" applyFont="1" applyBorder="1" applyProtection="1"/>
    <xf numFmtId="0" fontId="11" fillId="0" borderId="40" xfId="1" applyNumberFormat="1" applyFont="1" applyBorder="1" applyAlignment="1" applyProtection="1">
      <alignment horizontal="right"/>
    </xf>
    <xf numFmtId="0" fontId="11" fillId="0" borderId="1" xfId="1" applyNumberFormat="1" applyFont="1" applyBorder="1" applyAlignment="1" applyProtection="1">
      <alignment horizontal="center"/>
    </xf>
    <xf numFmtId="0" fontId="11" fillId="0" borderId="1" xfId="1" applyNumberFormat="1" applyFont="1" applyBorder="1" applyProtection="1"/>
    <xf numFmtId="0" fontId="11" fillId="0" borderId="17" xfId="1" applyNumberFormat="1" applyFont="1" applyBorder="1" applyProtection="1"/>
    <xf numFmtId="0" fontId="11" fillId="0" borderId="32" xfId="1" applyNumberFormat="1" applyFont="1" applyBorder="1" applyProtection="1"/>
    <xf numFmtId="0" fontId="11" fillId="0" borderId="32" xfId="1" applyNumberFormat="1" applyFont="1" applyBorder="1" applyAlignment="1" applyProtection="1">
      <alignment horizontal="right"/>
    </xf>
    <xf numFmtId="0" fontId="11" fillId="0" borderId="32" xfId="1" applyNumberFormat="1" applyFont="1" applyBorder="1" applyAlignment="1" applyProtection="1">
      <alignment horizontal="center" vertical="center" wrapText="1"/>
    </xf>
    <xf numFmtId="0" fontId="11" fillId="0" borderId="1" xfId="1" applyNumberFormat="1" applyFont="1" applyBorder="1" applyAlignment="1" applyProtection="1">
      <alignment horizontal="center" vertical="center" wrapText="1"/>
    </xf>
    <xf numFmtId="0" fontId="11" fillId="0" borderId="52" xfId="1"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0" fontId="11" fillId="0" borderId="42" xfId="1" applyNumberFormat="1" applyFont="1" applyBorder="1" applyAlignment="1" applyProtection="1">
      <alignment horizontal="center" vertical="center" wrapText="1"/>
    </xf>
    <xf numFmtId="0" fontId="45" fillId="0" borderId="52" xfId="1" applyNumberFormat="1" applyFont="1" applyBorder="1" applyProtection="1"/>
    <xf numFmtId="0" fontId="11" fillId="0" borderId="4" xfId="1" applyNumberFormat="1" applyFont="1" applyBorder="1" applyProtection="1"/>
    <xf numFmtId="9" fontId="11" fillId="2" borderId="1" xfId="1" applyNumberFormat="1" applyFont="1" applyFill="1" applyBorder="1" applyProtection="1"/>
    <xf numFmtId="10" fontId="11" fillId="0" borderId="1" xfId="1" applyNumberFormat="1" applyFont="1" applyBorder="1" applyProtection="1"/>
    <xf numFmtId="169" fontId="11" fillId="0" borderId="1" xfId="1" applyNumberFormat="1" applyFont="1" applyBorder="1" applyProtection="1"/>
    <xf numFmtId="0" fontId="11" fillId="0" borderId="2" xfId="1" applyNumberFormat="1" applyFont="1" applyBorder="1" applyAlignment="1" applyProtection="1">
      <alignment horizontal="right"/>
    </xf>
    <xf numFmtId="0" fontId="11" fillId="0" borderId="18" xfId="1" applyNumberFormat="1" applyFont="1" applyBorder="1" applyProtection="1"/>
    <xf numFmtId="0" fontId="11" fillId="0" borderId="34" xfId="1" applyNumberFormat="1" applyFont="1" applyBorder="1" applyProtection="1"/>
    <xf numFmtId="0" fontId="11" fillId="0" borderId="1" xfId="1" applyNumberFormat="1" applyFont="1" applyBorder="1" applyAlignment="1" applyProtection="1">
      <alignment horizontal="right"/>
    </xf>
    <xf numFmtId="0" fontId="51" fillId="10" borderId="0" xfId="1" applyNumberFormat="1" applyFont="1" applyFill="1" applyAlignment="1" applyProtection="1">
      <alignment horizontal="left"/>
    </xf>
    <xf numFmtId="164" fontId="49" fillId="10" borderId="0" xfId="1" applyFont="1" applyFill="1" applyProtection="1"/>
    <xf numFmtId="0" fontId="41" fillId="10" borderId="0" xfId="1" applyNumberFormat="1" applyFont="1" applyFill="1" applyAlignment="1" applyProtection="1">
      <alignment horizontal="center"/>
    </xf>
    <xf numFmtId="0" fontId="11" fillId="0" borderId="1" xfId="1" applyNumberFormat="1" applyFont="1" applyBorder="1" applyAlignment="1" applyProtection="1">
      <alignment horizontal="center"/>
    </xf>
    <xf numFmtId="0" fontId="11" fillId="30" borderId="0" xfId="1" applyNumberFormat="1" applyFont="1" applyFill="1" applyProtection="1"/>
    <xf numFmtId="7" fontId="11" fillId="0" borderId="0" xfId="1" applyNumberFormat="1" applyFont="1" applyProtection="1"/>
    <xf numFmtId="166" fontId="14" fillId="0" borderId="0" xfId="1" applyNumberFormat="1" applyFont="1" applyProtection="1"/>
    <xf numFmtId="164" fontId="41" fillId="0" borderId="0" xfId="1" applyFont="1" applyProtection="1"/>
    <xf numFmtId="164" fontId="50" fillId="10" borderId="0" xfId="1" applyFont="1" applyFill="1" applyProtection="1"/>
    <xf numFmtId="0" fontId="49" fillId="10" borderId="0" xfId="1" applyNumberFormat="1" applyFont="1" applyFill="1" applyProtection="1"/>
    <xf numFmtId="0" fontId="49" fillId="10" borderId="0" xfId="1" applyNumberFormat="1" applyFont="1" applyFill="1" applyAlignment="1" applyProtection="1">
      <alignment horizontal="center"/>
    </xf>
    <xf numFmtId="164" fontId="11" fillId="0" borderId="0" xfId="1" applyFont="1" applyProtection="1"/>
    <xf numFmtId="0" fontId="11" fillId="0" borderId="0" xfId="1" applyNumberFormat="1" applyFont="1" applyAlignment="1" applyProtection="1">
      <alignment wrapText="1"/>
    </xf>
    <xf numFmtId="0" fontId="11" fillId="12" borderId="0" xfId="1" applyNumberFormat="1" applyFont="1" applyFill="1" applyAlignment="1" applyProtection="1">
      <alignment horizontal="right"/>
    </xf>
    <xf numFmtId="0" fontId="11" fillId="12" borderId="4" xfId="1" applyNumberFormat="1" applyFont="1" applyFill="1" applyBorder="1" applyAlignment="1" applyProtection="1">
      <alignment horizontal="center"/>
    </xf>
    <xf numFmtId="167" fontId="11" fillId="0" borderId="0" xfId="1" applyNumberFormat="1" applyFont="1" applyAlignment="1" applyProtection="1">
      <alignment horizontal="center"/>
    </xf>
    <xf numFmtId="164" fontId="6" fillId="10" borderId="0" xfId="1" applyFont="1" applyFill="1" applyProtection="1"/>
    <xf numFmtId="0" fontId="2" fillId="10" borderId="0" xfId="1" applyNumberFormat="1" applyFont="1" applyFill="1" applyProtection="1"/>
    <xf numFmtId="0" fontId="2" fillId="10" borderId="0" xfId="1" applyNumberFormat="1" applyFont="1" applyFill="1" applyAlignment="1" applyProtection="1">
      <alignment horizontal="center"/>
    </xf>
    <xf numFmtId="0" fontId="14" fillId="10" borderId="0" xfId="1" applyNumberFormat="1" applyFont="1" applyFill="1" applyAlignment="1" applyProtection="1">
      <alignment horizontal="center"/>
    </xf>
    <xf numFmtId="0" fontId="48" fillId="21" borderId="0" xfId="1" applyNumberFormat="1" applyFont="1" applyFill="1" applyProtection="1"/>
    <xf numFmtId="0" fontId="48" fillId="0" borderId="0" xfId="1" applyNumberFormat="1" applyFont="1" applyProtection="1"/>
    <xf numFmtId="167" fontId="1" fillId="0" borderId="0" xfId="1" applyNumberFormat="1" applyProtection="1"/>
    <xf numFmtId="164" fontId="11" fillId="0" borderId="0" xfId="1" applyFont="1" applyAlignment="1" applyProtection="1">
      <alignment horizontal="right"/>
    </xf>
    <xf numFmtId="0" fontId="51" fillId="0" borderId="0" xfId="1" applyNumberFormat="1" applyFont="1" applyAlignment="1" applyProtection="1">
      <alignment horizontal="center"/>
    </xf>
    <xf numFmtId="0" fontId="51" fillId="0" borderId="0" xfId="1" applyNumberFormat="1" applyFont="1" applyProtection="1"/>
    <xf numFmtId="164" fontId="49" fillId="0" borderId="0" xfId="1" applyFont="1" applyProtection="1"/>
    <xf numFmtId="0" fontId="40" fillId="0" borderId="0" xfId="1" applyNumberFormat="1" applyFont="1" applyAlignment="1" applyProtection="1">
      <alignment horizontal="left"/>
    </xf>
    <xf numFmtId="0" fontId="39" fillId="0" borderId="0" xfId="1" applyNumberFormat="1" applyFont="1" applyProtection="1"/>
    <xf numFmtId="164" fontId="8" fillId="0" borderId="0" xfId="1" applyFont="1" applyAlignment="1" applyProtection="1">
      <alignment horizontal="center"/>
    </xf>
    <xf numFmtId="164" fontId="8" fillId="0" borderId="0" xfId="1" applyFont="1" applyProtection="1"/>
    <xf numFmtId="164" fontId="14" fillId="0" borderId="0" xfId="1" applyFont="1" applyAlignment="1" applyProtection="1">
      <alignment horizontal="center"/>
    </xf>
    <xf numFmtId="164" fontId="14" fillId="0" borderId="0" xfId="1" applyFont="1" applyProtection="1"/>
    <xf numFmtId="164" fontId="14" fillId="0" borderId="0" xfId="1" applyFont="1" applyAlignment="1" applyProtection="1">
      <alignment horizontal="left"/>
    </xf>
    <xf numFmtId="164" fontId="11" fillId="0" borderId="0" xfId="1" applyFont="1" applyAlignment="1" applyProtection="1">
      <alignment horizontal="left"/>
    </xf>
    <xf numFmtId="164" fontId="11" fillId="0" borderId="0" xfId="1" applyFont="1" applyAlignment="1" applyProtection="1">
      <alignment horizontal="center"/>
    </xf>
    <xf numFmtId="2" fontId="11" fillId="0" borderId="0" xfId="1" applyNumberFormat="1" applyFont="1" applyAlignment="1" applyProtection="1">
      <alignment horizontal="center"/>
    </xf>
    <xf numFmtId="6" fontId="11" fillId="0" borderId="0" xfId="1" applyNumberFormat="1" applyFont="1" applyProtection="1"/>
    <xf numFmtId="9" fontId="25" fillId="0" borderId="0" xfId="1" applyNumberFormat="1" applyFont="1" applyAlignment="1" applyProtection="1">
      <alignment horizontal="left"/>
    </xf>
    <xf numFmtId="0" fontId="14" fillId="0" borderId="0" xfId="1" applyNumberFormat="1" applyFont="1" applyFill="1" applyProtection="1"/>
    <xf numFmtId="0" fontId="0" fillId="0" borderId="0" xfId="0" applyFill="1"/>
    <xf numFmtId="0" fontId="0" fillId="3" borderId="0" xfId="0" applyFill="1"/>
    <xf numFmtId="0" fontId="57" fillId="10" borderId="0" xfId="1" applyNumberFormat="1" applyFont="1" applyFill="1" applyAlignment="1" applyProtection="1">
      <alignment horizontal="center"/>
    </xf>
    <xf numFmtId="0" fontId="57" fillId="10" borderId="0" xfId="1" applyNumberFormat="1" applyFont="1" applyFill="1" applyProtection="1"/>
    <xf numFmtId="164" fontId="48" fillId="10" borderId="0" xfId="1" applyFont="1" applyFill="1" applyProtection="1"/>
    <xf numFmtId="0" fontId="45" fillId="10" borderId="0" xfId="1" applyNumberFormat="1" applyFont="1" applyFill="1" applyProtection="1"/>
    <xf numFmtId="0" fontId="56" fillId="10" borderId="0" xfId="1" applyNumberFormat="1" applyFont="1" applyFill="1" applyAlignment="1" applyProtection="1">
      <alignment horizontal="center"/>
    </xf>
    <xf numFmtId="1" fontId="11" fillId="0" borderId="0" xfId="1" applyNumberFormat="1" applyFont="1" applyFill="1" applyAlignment="1" applyProtection="1">
      <alignment horizontal="center"/>
    </xf>
    <xf numFmtId="2" fontId="0" fillId="34" borderId="0" xfId="0" applyNumberFormat="1" applyFill="1"/>
    <xf numFmtId="1" fontId="0" fillId="2" borderId="0" xfId="0" applyNumberFormat="1" applyFill="1"/>
    <xf numFmtId="0" fontId="0" fillId="0" borderId="0" xfId="0" applyBorder="1"/>
    <xf numFmtId="0" fontId="0" fillId="0" borderId="0" xfId="0" applyBorder="1" applyAlignment="1">
      <alignment horizontal="right"/>
    </xf>
    <xf numFmtId="8" fontId="0" fillId="0" borderId="0" xfId="0" applyNumberFormat="1"/>
    <xf numFmtId="0" fontId="49" fillId="21" borderId="0" xfId="1" applyNumberFormat="1" applyFont="1" applyFill="1" applyAlignment="1" applyProtection="1">
      <alignment horizontal="center"/>
    </xf>
    <xf numFmtId="0" fontId="11" fillId="21" borderId="0" xfId="1" applyNumberFormat="1" applyFont="1" applyFill="1" applyProtection="1"/>
    <xf numFmtId="0" fontId="11" fillId="0" borderId="42" xfId="1" applyNumberFormat="1" applyFont="1" applyBorder="1" applyAlignment="1" applyProtection="1">
      <alignment horizontal="center"/>
    </xf>
    <xf numFmtId="0" fontId="11" fillId="0" borderId="3" xfId="1" applyNumberFormat="1" applyFont="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11" borderId="0" xfId="1" applyNumberFormat="1" applyFont="1" applyFill="1" applyAlignment="1" applyProtection="1">
      <alignment horizontal="left"/>
    </xf>
    <xf numFmtId="0" fontId="11" fillId="0" borderId="0" xfId="1" applyNumberFormat="1" applyFont="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7" fillId="21" borderId="0" xfId="1" applyNumberFormat="1" applyFont="1" applyFill="1" applyProtection="1"/>
    <xf numFmtId="0" fontId="45" fillId="21" borderId="0" xfId="1" applyNumberFormat="1" applyFont="1" applyFill="1" applyProtection="1"/>
    <xf numFmtId="166" fontId="11" fillId="0" borderId="0" xfId="1" applyNumberFormat="1" applyFont="1" applyProtection="1"/>
    <xf numFmtId="170" fontId="11" fillId="0" borderId="0" xfId="1" applyNumberFormat="1" applyFont="1" applyProtection="1"/>
    <xf numFmtId="166" fontId="14" fillId="0" borderId="0" xfId="1" applyNumberFormat="1" applyFont="1" applyAlignment="1" applyProtection="1">
      <alignment horizontal="center" vertical="center"/>
    </xf>
    <xf numFmtId="0" fontId="46" fillId="21" borderId="0" xfId="1" applyNumberFormat="1" applyFont="1" applyFill="1" applyProtection="1"/>
    <xf numFmtId="0" fontId="49" fillId="0" borderId="0" xfId="1" applyNumberFormat="1" applyFont="1" applyAlignment="1" applyProtection="1">
      <alignment horizontal="center"/>
    </xf>
    <xf numFmtId="0" fontId="47" fillId="0" borderId="0" xfId="1" applyNumberFormat="1" applyFont="1" applyProtection="1"/>
    <xf numFmtId="0" fontId="49" fillId="0" borderId="0" xfId="1" applyNumberFormat="1" applyFont="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4" fillId="11" borderId="0" xfId="1" applyNumberFormat="1" applyFont="1" applyFill="1" applyAlignment="1" applyProtection="1">
      <alignment horizontal="left"/>
    </xf>
    <xf numFmtId="0" fontId="44" fillId="0" borderId="0" xfId="0" applyFont="1" applyFill="1"/>
    <xf numFmtId="0" fontId="44" fillId="0" borderId="38" xfId="0" applyFont="1" applyFill="1" applyBorder="1"/>
    <xf numFmtId="7" fontId="0" fillId="34" borderId="0" xfId="0" applyNumberFormat="1" applyFill="1"/>
    <xf numFmtId="0" fontId="0" fillId="34" borderId="0" xfId="0" applyFill="1"/>
    <xf numFmtId="166" fontId="1" fillId="0" borderId="0" xfId="1" applyNumberFormat="1" applyProtection="1"/>
    <xf numFmtId="0" fontId="62" fillId="23" borderId="0" xfId="1" applyNumberFormat="1" applyFont="1" applyFill="1" applyProtection="1"/>
    <xf numFmtId="0" fontId="24" fillId="23" borderId="0" xfId="1" applyNumberFormat="1" applyFont="1" applyFill="1" applyProtection="1"/>
    <xf numFmtId="166" fontId="24" fillId="0" borderId="0" xfId="1" applyNumberFormat="1" applyFont="1" applyProtection="1"/>
    <xf numFmtId="166" fontId="11" fillId="0" borderId="0" xfId="1" applyNumberFormat="1" applyFont="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0" fontId="49" fillId="10" borderId="0" xfId="8" applyNumberFormat="1" applyFont="1" applyFill="1" applyBorder="1" applyProtection="1"/>
    <xf numFmtId="10" fontId="1" fillId="0" borderId="0" xfId="8" applyNumberFormat="1" applyFont="1" applyProtection="1"/>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10" fontId="1" fillId="0" borderId="0" xfId="8" applyNumberFormat="1" applyFont="1" applyFill="1" applyBorder="1" applyAlignment="1" applyProtection="1">
      <alignment horizontal="center"/>
    </xf>
    <xf numFmtId="10" fontId="1" fillId="0" borderId="0" xfId="8" applyNumberFormat="1" applyFont="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Alignment="1" applyProtection="1">
      <alignment horizontal="left"/>
    </xf>
    <xf numFmtId="0" fontId="11" fillId="0" borderId="21" xfId="1" applyNumberFormat="1" applyFont="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0" fontId="1" fillId="11" borderId="21" xfId="1" applyNumberFormat="1" applyFill="1" applyBorder="1" applyAlignment="1" applyProtection="1">
      <alignment horizontal="center"/>
    </xf>
    <xf numFmtId="166" fontId="1" fillId="11" borderId="186" xfId="1" applyNumberFormat="1" applyFill="1" applyBorder="1" applyProtection="1"/>
    <xf numFmtId="166" fontId="1" fillId="11" borderId="31" xfId="1" applyNumberFormat="1" applyFill="1" applyBorder="1" applyProtection="1"/>
    <xf numFmtId="0" fontId="1" fillId="0" borderId="35" xfId="1" applyNumberFormat="1" applyBorder="1" applyProtection="1"/>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0" fontId="1" fillId="0" borderId="57" xfId="1" applyNumberFormat="1" applyBorder="1" applyAlignment="1" applyProtection="1">
      <alignment horizontal="center"/>
    </xf>
    <xf numFmtId="0" fontId="1" fillId="0" borderId="180" xfId="1" applyNumberFormat="1" applyBorder="1" applyProtection="1"/>
    <xf numFmtId="0" fontId="78" fillId="0" borderId="0" xfId="1" applyNumberFormat="1" applyFont="1" applyAlignment="1" applyProtection="1">
      <alignment horizontal="right"/>
    </xf>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0" fontId="1" fillId="0" borderId="0" xfId="8" applyNumberFormat="1" applyFont="1" applyAlignment="1" applyProtection="1"/>
    <xf numFmtId="0" fontId="1" fillId="0" borderId="0" xfId="1" applyNumberFormat="1" applyAlignment="1" applyProtection="1">
      <alignment horizontal="left"/>
    </xf>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cellXfs>
  <cellStyles count="9">
    <cellStyle name="Comma" xfId="6" builtinId="3"/>
    <cellStyle name="Comma 2" xfId="2" xr:uid="{00000000-0005-0000-0000-000001000000}"/>
    <cellStyle name="Currency" xfId="7" builtinId="4"/>
    <cellStyle name="Currency 2" xfId="3" xr:uid="{00000000-0005-0000-0000-000003000000}"/>
    <cellStyle name="Normal" xfId="0" builtinId="0"/>
    <cellStyle name="Normal 2" xfId="1" xr:uid="{00000000-0005-0000-0000-000005000000}"/>
    <cellStyle name="Normal 2 2" xfId="5" xr:uid="{00000000-0005-0000-0000-000006000000}"/>
    <cellStyle name="Percent" xfId="8" builtinId="5"/>
    <cellStyle name="Percent 2" xfId="4" xr:uid="{00000000-0005-0000-0000-000008000000}"/>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6.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7.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8.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9.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4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4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4.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5.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6.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7.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8.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9.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50.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1.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2.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3.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4.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5.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3.4860600296956417</c:v>
                </c:pt>
              </c:numCache>
            </c:numRef>
          </c:xVal>
          <c:yVal>
            <c:numRef>
              <c:f>'D-Analysis'!$E$21:$F$21</c:f>
              <c:numCache>
                <c:formatCode>"$"#,##0_);[Red]\("$"#,##0\)</c:formatCode>
                <c:ptCount val="2"/>
                <c:pt idx="0">
                  <c:v>164197.57</c:v>
                </c:pt>
                <c:pt idx="1">
                  <c:v>164197.57</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3.4860600296956417</c:v>
                </c:pt>
              </c:numCache>
            </c:numRef>
          </c:xVal>
          <c:yVal>
            <c:numRef>
              <c:f>'D-Analysis'!$F$18</c:f>
              <c:numCache>
                <c:formatCode>"$"#,##0_);[Red]\("$"#,##0\)</c:formatCode>
                <c:ptCount val="1"/>
                <c:pt idx="0">
                  <c:v>215332.97627352495</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3.4860600296956417</c:v>
                </c:pt>
              </c:numCache>
            </c:numRef>
          </c:xVal>
          <c:yVal>
            <c:numRef>
              <c:f>'D-Analysis'!$E$22:$F$22</c:f>
              <c:numCache>
                <c:formatCode>#,##0_);[Red]\(#,##0\)</c:formatCode>
                <c:ptCount val="2"/>
                <c:pt idx="0" formatCode="&quot;$&quot;#,##0_);[Red]\(&quot;$&quot;#,##0\)">
                  <c:v>0</c:v>
                </c:pt>
                <c:pt idx="1">
                  <c:v>215332.97627352495</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3.4860600296956417</c:v>
                </c:pt>
              </c:numCache>
            </c:numRef>
          </c:xVal>
          <c:yVal>
            <c:numRef>
              <c:f>'D-Analysis'!$E$23:$F$23</c:f>
              <c:numCache>
                <c:formatCode>#,##0_);[Red]\(#,##0\)</c:formatCode>
                <c:ptCount val="2"/>
                <c:pt idx="0" formatCode="&quot;$&quot;#,##0_);[Red]\(&quot;$&quot;#,##0\)">
                  <c:v>164197.57</c:v>
                </c:pt>
                <c:pt idx="1">
                  <c:v>215332.97627352495</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invertIfNegative val="0"/>
          <c:cat>
            <c:strLit>
              <c:ptCount val="16"/>
              <c:pt idx="0">
                <c:v>&lt;292</c:v>
              </c:pt>
              <c:pt idx="1">
                <c:v>292-305</c:v>
              </c:pt>
              <c:pt idx="2">
                <c:v>305-318</c:v>
              </c:pt>
              <c:pt idx="3">
                <c:v>318-331</c:v>
              </c:pt>
              <c:pt idx="4">
                <c:v>331-344</c:v>
              </c:pt>
              <c:pt idx="5">
                <c:v>344-357</c:v>
              </c:pt>
              <c:pt idx="6">
                <c:v>357-370</c:v>
              </c:pt>
              <c:pt idx="7">
                <c:v>370-383</c:v>
              </c:pt>
              <c:pt idx="8">
                <c:v>383-396</c:v>
              </c:pt>
              <c:pt idx="9">
                <c:v>396-409</c:v>
              </c:pt>
              <c:pt idx="10">
                <c:v>409-422</c:v>
              </c:pt>
              <c:pt idx="11">
                <c:v>422-435</c:v>
              </c:pt>
              <c:pt idx="12">
                <c:v>435-448</c:v>
              </c:pt>
              <c:pt idx="13">
                <c:v>448-461</c:v>
              </c:pt>
              <c:pt idx="14">
                <c:v>461-473</c:v>
              </c:pt>
              <c:pt idx="15">
                <c:v>473-486</c:v>
              </c:pt>
            </c:strLit>
          </c:cat>
          <c:val>
            <c:numRef>
              <c:f>'Monte-Carlo Simulation'!$R$1117:$R$1133</c:f>
              <c:numCache>
                <c:formatCode>#,##0_);[Red]\(#,##0\)</c:formatCode>
                <c:ptCount val="17"/>
                <c:pt idx="0" formatCode="General">
                  <c:v>1</c:v>
                </c:pt>
                <c:pt idx="1">
                  <c:v>0</c:v>
                </c:pt>
                <c:pt idx="2">
                  <c:v>0</c:v>
                </c:pt>
                <c:pt idx="3">
                  <c:v>1</c:v>
                </c:pt>
                <c:pt idx="4">
                  <c:v>1</c:v>
                </c:pt>
                <c:pt idx="5">
                  <c:v>3</c:v>
                </c:pt>
                <c:pt idx="6">
                  <c:v>5</c:v>
                </c:pt>
                <c:pt idx="7">
                  <c:v>0</c:v>
                </c:pt>
                <c:pt idx="8">
                  <c:v>0</c:v>
                </c:pt>
                <c:pt idx="9">
                  <c:v>0</c:v>
                </c:pt>
                <c:pt idx="10">
                  <c:v>3</c:v>
                </c:pt>
                <c:pt idx="11">
                  <c:v>4</c:v>
                </c:pt>
                <c:pt idx="12">
                  <c:v>2</c:v>
                </c:pt>
                <c:pt idx="13">
                  <c:v>6</c:v>
                </c:pt>
                <c:pt idx="14">
                  <c:v>3</c:v>
                </c:pt>
                <c:pt idx="15">
                  <c:v>1</c:v>
                </c:pt>
                <c:pt idx="16">
                  <c:v>0</c:v>
                </c:pt>
              </c:numCache>
            </c:numRef>
          </c:val>
          <c:extLs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cat>
            <c:strLit>
              <c:ptCount val="16"/>
              <c:pt idx="0">
                <c:v>&lt;94</c:v>
              </c:pt>
              <c:pt idx="1">
                <c:v>94-100</c:v>
              </c:pt>
              <c:pt idx="2">
                <c:v>100-106</c:v>
              </c:pt>
              <c:pt idx="3">
                <c:v>106-111</c:v>
              </c:pt>
              <c:pt idx="4">
                <c:v>111-117</c:v>
              </c:pt>
              <c:pt idx="5">
                <c:v>117-123</c:v>
              </c:pt>
              <c:pt idx="6">
                <c:v>123-129</c:v>
              </c:pt>
              <c:pt idx="7">
                <c:v>129-134</c:v>
              </c:pt>
              <c:pt idx="8">
                <c:v>134-140</c:v>
              </c:pt>
              <c:pt idx="9">
                <c:v>140-146</c:v>
              </c:pt>
              <c:pt idx="10">
                <c:v>146-152</c:v>
              </c:pt>
              <c:pt idx="11">
                <c:v>152-158</c:v>
              </c:pt>
              <c:pt idx="12">
                <c:v>158-163</c:v>
              </c:pt>
              <c:pt idx="13">
                <c:v>163-169</c:v>
              </c:pt>
              <c:pt idx="14">
                <c:v>169-175</c:v>
              </c:pt>
              <c:pt idx="15">
                <c:v>175-181</c:v>
              </c:pt>
            </c:strLit>
          </c:cat>
          <c:val>
            <c:numRef>
              <c:f>'Monte-Carlo Simulation'!$I$1117:$I$1133</c:f>
              <c:numCache>
                <c:formatCode>#,##0_);[Red]\(#,##0\)</c:formatCode>
                <c:ptCount val="17"/>
                <c:pt idx="0" formatCode="General">
                  <c:v>3</c:v>
                </c:pt>
                <c:pt idx="1">
                  <c:v>0</c:v>
                </c:pt>
                <c:pt idx="2">
                  <c:v>1</c:v>
                </c:pt>
                <c:pt idx="3">
                  <c:v>2</c:v>
                </c:pt>
                <c:pt idx="4">
                  <c:v>5</c:v>
                </c:pt>
                <c:pt idx="5">
                  <c:v>1</c:v>
                </c:pt>
                <c:pt idx="6">
                  <c:v>0</c:v>
                </c:pt>
                <c:pt idx="7">
                  <c:v>1</c:v>
                </c:pt>
                <c:pt idx="8">
                  <c:v>2</c:v>
                </c:pt>
                <c:pt idx="9">
                  <c:v>2</c:v>
                </c:pt>
                <c:pt idx="10">
                  <c:v>1</c:v>
                </c:pt>
                <c:pt idx="11">
                  <c:v>5</c:v>
                </c:pt>
                <c:pt idx="12">
                  <c:v>1</c:v>
                </c:pt>
                <c:pt idx="13">
                  <c:v>2</c:v>
                </c:pt>
                <c:pt idx="14">
                  <c:v>2</c:v>
                </c:pt>
                <c:pt idx="15">
                  <c:v>2</c:v>
                </c:pt>
                <c:pt idx="16">
                  <c:v>0</c:v>
                </c:pt>
              </c:numCache>
            </c:numRef>
          </c:val>
          <c:extLs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cat>
            <c:strLit>
              <c:ptCount val="16"/>
              <c:pt idx="0">
                <c:v>&lt;82</c:v>
              </c:pt>
              <c:pt idx="1">
                <c:v>82-88</c:v>
              </c:pt>
              <c:pt idx="2">
                <c:v>88-94</c:v>
              </c:pt>
              <c:pt idx="3">
                <c:v>94-100</c:v>
              </c:pt>
              <c:pt idx="4">
                <c:v>100-106</c:v>
              </c:pt>
              <c:pt idx="5">
                <c:v>106-112</c:v>
              </c:pt>
              <c:pt idx="6">
                <c:v>112-119</c:v>
              </c:pt>
              <c:pt idx="7">
                <c:v>119-125</c:v>
              </c:pt>
              <c:pt idx="8">
                <c:v>125-131</c:v>
              </c:pt>
              <c:pt idx="9">
                <c:v>131-137</c:v>
              </c:pt>
              <c:pt idx="10">
                <c:v>137-143</c:v>
              </c:pt>
              <c:pt idx="11">
                <c:v>143-149</c:v>
              </c:pt>
              <c:pt idx="12">
                <c:v>149-155</c:v>
              </c:pt>
              <c:pt idx="13">
                <c:v>155-161</c:v>
              </c:pt>
              <c:pt idx="14">
                <c:v>161-167</c:v>
              </c:pt>
              <c:pt idx="15">
                <c:v>167-173</c:v>
              </c:pt>
            </c:strLit>
          </c:cat>
          <c:val>
            <c:numRef>
              <c:f>'Monte-Carlo Simulation'!$L$1117:$L$1133</c:f>
              <c:numCache>
                <c:formatCode>#,##0_);[Red]\(#,##0\)</c:formatCode>
                <c:ptCount val="17"/>
                <c:pt idx="0" formatCode="General">
                  <c:v>1</c:v>
                </c:pt>
                <c:pt idx="1">
                  <c:v>1</c:v>
                </c:pt>
                <c:pt idx="2">
                  <c:v>0</c:v>
                </c:pt>
                <c:pt idx="3">
                  <c:v>1</c:v>
                </c:pt>
                <c:pt idx="4">
                  <c:v>2</c:v>
                </c:pt>
                <c:pt idx="5">
                  <c:v>2</c:v>
                </c:pt>
                <c:pt idx="6">
                  <c:v>2</c:v>
                </c:pt>
                <c:pt idx="7">
                  <c:v>1</c:v>
                </c:pt>
                <c:pt idx="8">
                  <c:v>6</c:v>
                </c:pt>
                <c:pt idx="9">
                  <c:v>1</c:v>
                </c:pt>
                <c:pt idx="10">
                  <c:v>1</c:v>
                </c:pt>
                <c:pt idx="11">
                  <c:v>3</c:v>
                </c:pt>
                <c:pt idx="12">
                  <c:v>2</c:v>
                </c:pt>
                <c:pt idx="13">
                  <c:v>2</c:v>
                </c:pt>
                <c:pt idx="14">
                  <c:v>3</c:v>
                </c:pt>
                <c:pt idx="15">
                  <c:v>2</c:v>
                </c:pt>
                <c:pt idx="16">
                  <c:v>0</c:v>
                </c:pt>
              </c:numCache>
            </c:numRef>
          </c:val>
          <c:extLs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cat>
            <c:strLit>
              <c:ptCount val="16"/>
              <c:pt idx="0">
                <c:v>&lt;81</c:v>
              </c:pt>
              <c:pt idx="1">
                <c:v>81-89</c:v>
              </c:pt>
              <c:pt idx="2">
                <c:v>89-96</c:v>
              </c:pt>
              <c:pt idx="3">
                <c:v>96-104</c:v>
              </c:pt>
              <c:pt idx="4">
                <c:v>104-112</c:v>
              </c:pt>
              <c:pt idx="5">
                <c:v>112-119</c:v>
              </c:pt>
              <c:pt idx="6">
                <c:v>119-127</c:v>
              </c:pt>
              <c:pt idx="7">
                <c:v>127-134</c:v>
              </c:pt>
              <c:pt idx="8">
                <c:v>134-142</c:v>
              </c:pt>
              <c:pt idx="9">
                <c:v>142-150</c:v>
              </c:pt>
              <c:pt idx="10">
                <c:v>150-157</c:v>
              </c:pt>
              <c:pt idx="11">
                <c:v>157-165</c:v>
              </c:pt>
              <c:pt idx="12">
                <c:v>165-172</c:v>
              </c:pt>
              <c:pt idx="13">
                <c:v>172-180</c:v>
              </c:pt>
              <c:pt idx="14">
                <c:v>180-188</c:v>
              </c:pt>
              <c:pt idx="15">
                <c:v>188-195</c:v>
              </c:pt>
            </c:strLit>
          </c:cat>
          <c:val>
            <c:numRef>
              <c:f>'Monte-Carlo Simulation'!$O$1117:$O$1133</c:f>
              <c:numCache>
                <c:formatCode>#,##0_);[Red]\(#,##0\)</c:formatCode>
                <c:ptCount val="17"/>
                <c:pt idx="0" formatCode="General">
                  <c:v>2</c:v>
                </c:pt>
                <c:pt idx="1">
                  <c:v>2</c:v>
                </c:pt>
                <c:pt idx="2">
                  <c:v>1</c:v>
                </c:pt>
                <c:pt idx="3">
                  <c:v>2</c:v>
                </c:pt>
                <c:pt idx="4">
                  <c:v>1</c:v>
                </c:pt>
                <c:pt idx="5">
                  <c:v>1</c:v>
                </c:pt>
                <c:pt idx="6">
                  <c:v>0</c:v>
                </c:pt>
                <c:pt idx="7">
                  <c:v>2</c:v>
                </c:pt>
                <c:pt idx="8">
                  <c:v>2</c:v>
                </c:pt>
                <c:pt idx="9">
                  <c:v>4</c:v>
                </c:pt>
                <c:pt idx="10">
                  <c:v>3</c:v>
                </c:pt>
                <c:pt idx="11">
                  <c:v>1</c:v>
                </c:pt>
                <c:pt idx="12">
                  <c:v>2</c:v>
                </c:pt>
                <c:pt idx="13">
                  <c:v>1</c:v>
                </c:pt>
                <c:pt idx="14">
                  <c:v>3</c:v>
                </c:pt>
                <c:pt idx="15">
                  <c:v>3</c:v>
                </c:pt>
                <c:pt idx="16">
                  <c:v>0</c:v>
                </c:pt>
              </c:numCache>
            </c:numRef>
          </c:val>
          <c:extLs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a:pPr>
            <a:r>
              <a:rPr lang="en-US" sz="1000" b="0" i="0"/>
              <a:t>SensIt 1.46</a:t>
            </a:r>
          </a:p>
        </c:rich>
      </c:tx>
      <c:overlay val="0"/>
    </c:title>
    <c:autoTitleDeleted val="0"/>
    <c:plotArea>
      <c:layout/>
      <c:barChart>
        <c:barDir val="bar"/>
        <c:grouping val="clustered"/>
        <c:varyColors val="0"/>
        <c:ser>
          <c:idx val="0"/>
          <c:order val="0"/>
          <c:tx>
            <c:v>Bars on Right</c:v>
          </c:tx>
          <c:spPr>
            <a:solidFill>
              <a:srgbClr val="000000"/>
            </a:solidFill>
          </c:spPr>
          <c:invertIfNegative val="0"/>
          <c:dLbls>
            <c:dLbl>
              <c:idx val="0"/>
              <c:tx>
                <c:strRef>
                  <c:f>'SensIt Tornado 2'!$B$11</c:f>
                  <c:strCache>
                    <c:ptCount val="1"/>
                    <c:pt idx="0">
                      <c:v>$1.80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{637A302D-241D-456C-9011-5EB10DE97971}</c15:txfldGUID>
                      <c15:f>'SensIt Tornado 2'!$B$11</c15:f>
                      <c15:dlblFieldTableCache>
                        <c:ptCount val="1"/>
                        <c:pt idx="0">
                          <c:v>$1.80</c:v>
                        </c:pt>
                      </c15:dlblFieldTableCache>
                    </c15:dlblFTEntry>
                  </c15:dlblFieldTable>
                  <c15:showDataLabelsRange val="0"/>
                </c:ext>
                <c:ext xmlns:c16="http://schemas.microsoft.com/office/drawing/2014/chart" uri="{C3380CC4-5D6E-409C-BE32-E72D297353CC}">
                  <c16:uniqueId val="{00000003-89CE-4579-8FC1-23D57746F84C}"/>
                </c:ext>
              </c:extLst>
            </c:dLbl>
            <c:dLbl>
              <c:idx val="1"/>
              <c:tx>
                <c:strRef>
                  <c:f>'SensIt Tornado 2'!$B$12</c:f>
                  <c:strCache>
                    <c:ptCount val="1"/>
                    <c:pt idx="0">
                      <c:v>$1.80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{6AA6A245-DCF8-47FB-9252-46A30A371292}</c15:txfldGUID>
                      <c15:f>'SensIt Tornado 2'!$B$12</c15:f>
                      <c15:dlblFieldTableCache>
                        <c:ptCount val="1"/>
                        <c:pt idx="0">
                          <c:v>$1.80</c:v>
                        </c:pt>
                      </c15:dlblFieldTableCache>
                    </c15:dlblFTEntry>
                  </c15:dlblFieldTable>
                  <c15:showDataLabelsRange val="0"/>
                </c:ext>
                <c:ext xmlns:c16="http://schemas.microsoft.com/office/drawing/2014/chart" uri="{C3380CC4-5D6E-409C-BE32-E72D297353CC}">
                  <c16:uniqueId val="{00000005-89CE-4579-8FC1-23D57746F84C}"/>
                </c:ext>
              </c:extLst>
            </c:dLbl>
            <c:dLbl>
              <c:idx val="2"/>
              <c:tx>
                <c:strRef>
                  <c:f>'SensIt Tornado 2'!$B$13</c:f>
                  <c:strCache>
                    <c:ptCount val="1"/>
                    <c:pt idx="0">
                      <c:v>$11.00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{9B5A28B7-0558-412C-B47F-B58F70495C10}</c15:txfldGUID>
                      <c15:f>'SensIt Tornado 2'!$B$13</c15:f>
                      <c15:dlblFieldTableCache>
                        <c:ptCount val="1"/>
                        <c:pt idx="0">
                          <c:v>$11.00</c:v>
                        </c:pt>
                      </c15:dlblFieldTableCache>
                    </c15:dlblFTEntry>
                  </c15:dlblFieldTable>
                  <c15:showDataLabelsRange val="0"/>
                </c:ext>
                <c:ext xmlns:c16="http://schemas.microsoft.com/office/drawing/2014/chart" uri="{C3380CC4-5D6E-409C-BE32-E72D297353CC}">
                  <c16:uniqueId val="{00000007-89CE-4579-8FC1-23D57746F84C}"/>
                </c:ext>
              </c:extLst>
            </c:dLbl>
            <c:dLbl>
              <c:idx val="3"/>
              <c:tx>
                <c:strRef>
                  <c:f>'SensIt Tornado 2'!$B$14</c:f>
                  <c:strCache>
                    <c:ptCount val="1"/>
                    <c:pt idx="0">
                      <c:v>$11.00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{CC230CEC-961D-4F25-9A21-E53E75AA3D06}</c15:txfldGUID>
                      <c15:f>'SensIt Tornado 2'!$B$14</c15:f>
                      <c15:dlblFieldTableCache>
                        <c:ptCount val="1"/>
                        <c:pt idx="0">
                          <c:v>$11.00</c:v>
                        </c:pt>
                      </c15:dlblFieldTableCache>
                    </c15:dlblFTEntry>
                  </c15:dlblFieldTable>
                  <c15:showDataLabelsRange val="0"/>
                </c:ext>
                <c:ext xmlns:c16="http://schemas.microsoft.com/office/drawing/2014/chart" uri="{C3380CC4-5D6E-409C-BE32-E72D297353CC}">
                  <c16:uniqueId val="{00000009-89CE-4579-8FC1-23D57746F84C}"/>
                </c:ext>
              </c:extLst>
            </c:dLbl>
            <c:dLbl>
              <c:idx val="4"/>
              <c:tx>
                <c:strRef>
                  <c:f>'SensIt Tornado 2'!$B$15</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{7386236D-E405-4F00-8A11-2853637416D0}</c15:txfldGUID>
                      <c15:f>'SensIt Tornado 2'!$B$15</c15:f>
                      <c15:dlblFieldTableCache>
                        <c:ptCount val="1"/>
                        <c:pt idx="0">
                          <c:v>$10.00</c:v>
                        </c:pt>
                      </c15:dlblFieldTableCache>
                    </c15:dlblFTEntry>
                  </c15:dlblFieldTable>
                  <c15:showDataLabelsRange val="0"/>
                </c:ext>
                <c:ext xmlns:c16="http://schemas.microsoft.com/office/drawing/2014/chart" uri="{C3380CC4-5D6E-409C-BE32-E72D297353CC}">
                  <c16:uniqueId val="{0000000B-89CE-4579-8FC1-23D57746F84C}"/>
                </c:ext>
              </c:extLst>
            </c:dLbl>
            <c:dLbl>
              <c:idx val="5"/>
              <c:tx>
                <c:strRef>
                  <c:f>'SensIt Tornado 2'!$B$16</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{B2F7B143-8D1B-4388-8FC3-375E1396A4BF}</c15:txfldGUID>
                      <c15:f>'SensIt Tornado 2'!$B$16</c15:f>
                      <c15:dlblFieldTableCache>
                        <c:ptCount val="1"/>
                        <c:pt idx="0">
                          <c:v>$10.00</c:v>
                        </c:pt>
                      </c15:dlblFieldTableCache>
                    </c15:dlblFTEntry>
                  </c15:dlblFieldTable>
                  <c15:showDataLabelsRange val="0"/>
                </c:ext>
                <c:ext xmlns:c16="http://schemas.microsoft.com/office/drawing/2014/chart" uri="{C3380CC4-5D6E-409C-BE32-E72D297353CC}">
                  <c16:uniqueId val="{0000000D-89CE-4579-8FC1-23D57746F84C}"/>
                </c:ext>
              </c:extLst>
            </c:dLbl>
            <c:dLbl>
              <c:idx val="6"/>
              <c:tx>
                <c:strRef>
                  <c:f>'SensIt Tornado 2'!$B$17</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{2AA68695-42F6-4979-B8C7-8D3F6681E3D3}</c15:txfldGUID>
                      <c15:f>'SensIt Tornado 2'!$B$17</c15:f>
                      <c15:dlblFieldTableCache>
                        <c:ptCount val="1"/>
                        <c:pt idx="0">
                          <c:v>$10.00</c:v>
                        </c:pt>
                      </c15:dlblFieldTableCache>
                    </c15:dlblFTEntry>
                  </c15:dlblFieldTable>
                  <c15:showDataLabelsRange val="0"/>
                </c:ext>
                <c:ext xmlns:c16="http://schemas.microsoft.com/office/drawing/2014/chart" uri="{C3380CC4-5D6E-409C-BE32-E72D297353CC}">
                  <c16:uniqueId val="{0000000F-89CE-4579-8FC1-23D57746F84C}"/>
                </c:ext>
              </c:extLst>
            </c:dLbl>
            <c:dLbl>
              <c:idx val="7"/>
              <c:tx>
                <c:strRef>
                  <c:f>'SensIt Tornado 2'!$B$18</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{C79022FE-1E5C-4D10-8A8F-ACC5002E1F65}</c15:txfldGUID>
                      <c15:f>'SensIt Tornado 2'!$B$18</c15:f>
                      <c15:dlblFieldTableCache>
                        <c:ptCount val="1"/>
                        <c:pt idx="0">
                          <c:v>$10.00</c:v>
                        </c:pt>
                      </c15:dlblFieldTableCache>
                    </c15:dlblFTEntry>
                  </c15:dlblFieldTable>
                  <c15:showDataLabelsRange val="0"/>
                </c:ext>
                <c:ext xmlns:c16="http://schemas.microsoft.com/office/drawing/2014/chart" uri="{C3380CC4-5D6E-409C-BE32-E72D297353CC}">
                  <c16:uniqueId val="{00000011-89CE-4579-8FC1-23D57746F84C}"/>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Tornado 2'!$A$11:$A$18</c:f>
              <c:strCache>
                <c:ptCount val="8"/>
                <c:pt idx="0">
                  <c:v>BR01-08,</c:v>
                </c:pt>
                <c:pt idx="1">
                  <c:v>BR01-07,</c:v>
                </c:pt>
                <c:pt idx="2">
                  <c:v>BR01-02,</c:v>
                </c:pt>
                <c:pt idx="3">
                  <c:v>BR01-01,</c:v>
                </c:pt>
                <c:pt idx="4">
                  <c:v>BR01-05,</c:v>
                </c:pt>
                <c:pt idx="5">
                  <c:v>BR01-04,</c:v>
                </c:pt>
                <c:pt idx="6">
                  <c:v>BR01-03,</c:v>
                </c:pt>
                <c:pt idx="7">
                  <c:v>BR01-06,</c:v>
                </c:pt>
              </c:strCache>
            </c:strRef>
          </c:cat>
          <c:val>
            <c:numRef>
              <c:f>'SensIt Tornado 2'!$E$11:$E$18</c:f>
              <c:numCache>
                <c:formatCode>"$"#,##0_);[Red]\("$"#,##0\)</c:formatCode>
                <c:ptCount val="8"/>
                <c:pt idx="0">
                  <c:v>531579.6</c:v>
                </c:pt>
                <c:pt idx="1">
                  <c:v>548350</c:v>
                </c:pt>
                <c:pt idx="2">
                  <c:v>585605.34</c:v>
                </c:pt>
                <c:pt idx="3">
                  <c:v>587037.48</c:v>
                </c:pt>
                <c:pt idx="4">
                  <c:v>585840.28</c:v>
                </c:pt>
                <c:pt idx="5">
                  <c:v>587382.84</c:v>
                </c:pt>
                <c:pt idx="6">
                  <c:v>591208.89</c:v>
                </c:pt>
                <c:pt idx="7">
                  <c:v>592113.69999999995</c:v>
                </c:pt>
              </c:numCache>
            </c:numRef>
          </c:val>
          <c:extLst>
            <c:ext xmlns:c16="http://schemas.microsoft.com/office/drawing/2014/chart" uri="{C3380CC4-5D6E-409C-BE32-E72D297353CC}">
              <c16:uniqueId val="{00000000-89CE-4579-8FC1-23D57746F84C}"/>
            </c:ext>
          </c:extLst>
        </c:ser>
        <c:ser>
          <c:idx val="1"/>
          <c:order val="1"/>
          <c:spPr>
            <a:solidFill>
              <a:srgbClr val="000000"/>
            </a:solidFill>
          </c:spPr>
          <c:invertIfNegative val="0"/>
          <c:dLbls>
            <c:dLbl>
              <c:idx val="0"/>
              <c:tx>
                <c:strRef>
                  <c:f>'SensIt Tornado 2'!$D$11</c:f>
                  <c:strCache>
                    <c:ptCount val="1"/>
                    <c:pt idx="0">
                      <c:v>$5.30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{A8E9A82B-90B5-47D5-BAF1-A569EAF11738}</c15:txfldGUID>
                      <c15:f>'SensIt Tornado 2'!$D$11</c15:f>
                      <c15:dlblFieldTableCache>
                        <c:ptCount val="1"/>
                        <c:pt idx="0">
                          <c:v>$5.30</c:v>
                        </c:pt>
                      </c15:dlblFieldTableCache>
                    </c15:dlblFTEntry>
                  </c15:dlblFieldTable>
                  <c15:showDataLabelsRange val="0"/>
                </c:ext>
                <c:ext xmlns:c16="http://schemas.microsoft.com/office/drawing/2014/chart" uri="{C3380CC4-5D6E-409C-BE32-E72D297353CC}">
                  <c16:uniqueId val="{00000004-89CE-4579-8FC1-23D57746F84C}"/>
                </c:ext>
              </c:extLst>
            </c:dLbl>
            <c:dLbl>
              <c:idx val="1"/>
              <c:tx>
                <c:strRef>
                  <c:f>'SensIt Tornado 2'!$D$12</c:f>
                  <c:strCache>
                    <c:ptCount val="1"/>
                    <c:pt idx="0">
                      <c:v>$5.30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{30D7C8FA-375B-493C-BE28-4939DA77BA36}</c15:txfldGUID>
                      <c15:f>'SensIt Tornado 2'!$D$12</c15:f>
                      <c15:dlblFieldTableCache>
                        <c:ptCount val="1"/>
                        <c:pt idx="0">
                          <c:v>$5.30</c:v>
                        </c:pt>
                      </c15:dlblFieldTableCache>
                    </c15:dlblFTEntry>
                  </c15:dlblFieldTable>
                  <c15:showDataLabelsRange val="0"/>
                </c:ext>
                <c:ext xmlns:c16="http://schemas.microsoft.com/office/drawing/2014/chart" uri="{C3380CC4-5D6E-409C-BE32-E72D297353CC}">
                  <c16:uniqueId val="{00000006-89CE-4579-8FC1-23D57746F84C}"/>
                </c:ext>
              </c:extLst>
            </c:dLbl>
            <c:dLbl>
              <c:idx val="2"/>
              <c:tx>
                <c:strRef>
                  <c:f>'SensIt Tornado 2'!$D$13</c:f>
                  <c:strCache>
                    <c:ptCount val="1"/>
                    <c:pt idx="0">
                      <c:v>$7.50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{151491A1-B042-4C44-9B5A-265A2E17BF8F}</c15:txfldGUID>
                      <c15:f>'SensIt Tornado 2'!$D$13</c15:f>
                      <c15:dlblFieldTableCache>
                        <c:ptCount val="1"/>
                        <c:pt idx="0">
                          <c:v>$7.50</c:v>
                        </c:pt>
                      </c15:dlblFieldTableCache>
                    </c15:dlblFTEntry>
                  </c15:dlblFieldTable>
                  <c15:showDataLabelsRange val="0"/>
                </c:ext>
                <c:ext xmlns:c16="http://schemas.microsoft.com/office/drawing/2014/chart" uri="{C3380CC4-5D6E-409C-BE32-E72D297353CC}">
                  <c16:uniqueId val="{00000008-89CE-4579-8FC1-23D57746F84C}"/>
                </c:ext>
              </c:extLst>
            </c:dLbl>
            <c:dLbl>
              <c:idx val="3"/>
              <c:tx>
                <c:strRef>
                  <c:f>'SensIt Tornado 2'!$D$14</c:f>
                  <c:strCache>
                    <c:ptCount val="1"/>
                    <c:pt idx="0">
                      <c:v>$7.50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{C2C8193B-1318-4212-9CE1-D580D840AC7E}</c15:txfldGUID>
                      <c15:f>'SensIt Tornado 2'!$D$14</c15:f>
                      <c15:dlblFieldTableCache>
                        <c:ptCount val="1"/>
                        <c:pt idx="0">
                          <c:v>$7.50</c:v>
                        </c:pt>
                      </c15:dlblFieldTableCache>
                    </c15:dlblFTEntry>
                  </c15:dlblFieldTable>
                  <c15:showDataLabelsRange val="0"/>
                </c:ext>
                <c:ext xmlns:c16="http://schemas.microsoft.com/office/drawing/2014/chart" uri="{C3380CC4-5D6E-409C-BE32-E72D297353CC}">
                  <c16:uniqueId val="{0000000A-89CE-4579-8FC1-23D57746F84C}"/>
                </c:ext>
              </c:extLst>
            </c:dLbl>
            <c:dLbl>
              <c:idx val="4"/>
              <c:tx>
                <c:strRef>
                  <c:f>'SensIt Tornado 2'!$D$15</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{2EB51F79-36FD-4B23-94F0-324A38165C0F}</c15:txfldGUID>
                      <c15:f>'SensIt Tornado 2'!$D$15</c15:f>
                      <c15:dlblFieldTableCache>
                        <c:ptCount val="1"/>
                        <c:pt idx="0">
                          <c:v>$6.50</c:v>
                        </c:pt>
                      </c15:dlblFieldTableCache>
                    </c15:dlblFTEntry>
                  </c15:dlblFieldTable>
                  <c15:showDataLabelsRange val="0"/>
                </c:ext>
                <c:ext xmlns:c16="http://schemas.microsoft.com/office/drawing/2014/chart" uri="{C3380CC4-5D6E-409C-BE32-E72D297353CC}">
                  <c16:uniqueId val="{0000000C-89CE-4579-8FC1-23D57746F84C}"/>
                </c:ext>
              </c:extLst>
            </c:dLbl>
            <c:dLbl>
              <c:idx val="5"/>
              <c:tx>
                <c:strRef>
                  <c:f>'SensIt Tornado 2'!$D$16</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{BB25AB76-3699-44DF-8BDB-331B4BD4B2E1}</c15:txfldGUID>
                      <c15:f>'SensIt Tornado 2'!$D$16</c15:f>
                      <c15:dlblFieldTableCache>
                        <c:ptCount val="1"/>
                        <c:pt idx="0">
                          <c:v>$6.50</c:v>
                        </c:pt>
                      </c15:dlblFieldTableCache>
                    </c15:dlblFTEntry>
                  </c15:dlblFieldTable>
                  <c15:showDataLabelsRange val="0"/>
                </c:ext>
                <c:ext xmlns:c16="http://schemas.microsoft.com/office/drawing/2014/chart" uri="{C3380CC4-5D6E-409C-BE32-E72D297353CC}">
                  <c16:uniqueId val="{0000000E-89CE-4579-8FC1-23D57746F84C}"/>
                </c:ext>
              </c:extLst>
            </c:dLbl>
            <c:dLbl>
              <c:idx val="6"/>
              <c:tx>
                <c:strRef>
                  <c:f>'SensIt Tornado 2'!$D$17</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{E7380563-06CF-401B-B083-A46F5AAB4E6C}</c15:txfldGUID>
                      <c15:f>'SensIt Tornado 2'!$D$17</c15:f>
                      <c15:dlblFieldTableCache>
                        <c:ptCount val="1"/>
                        <c:pt idx="0">
                          <c:v>$6.50</c:v>
                        </c:pt>
                      </c15:dlblFieldTableCache>
                    </c15:dlblFTEntry>
                  </c15:dlblFieldTable>
                  <c15:showDataLabelsRange val="0"/>
                </c:ext>
                <c:ext xmlns:c16="http://schemas.microsoft.com/office/drawing/2014/chart" uri="{C3380CC4-5D6E-409C-BE32-E72D297353CC}">
                  <c16:uniqueId val="{00000010-89CE-4579-8FC1-23D57746F84C}"/>
                </c:ext>
              </c:extLst>
            </c:dLbl>
            <c:dLbl>
              <c:idx val="7"/>
              <c:tx>
                <c:strRef>
                  <c:f>'SensIt Tornado 2'!$D$18</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{94386BEE-DB99-4BD3-81D4-ACC1E670BFF3}</c15:txfldGUID>
                      <c15:f>'SensIt Tornado 2'!$D$18</c15:f>
                      <c15:dlblFieldTableCache>
                        <c:ptCount val="1"/>
                        <c:pt idx="0">
                          <c:v>$6.50</c:v>
                        </c:pt>
                      </c15:dlblFieldTableCache>
                    </c15:dlblFTEntry>
                  </c15:dlblFieldTable>
                  <c15:showDataLabelsRange val="0"/>
                </c:ext>
                <c:ext xmlns:c16="http://schemas.microsoft.com/office/drawing/2014/chart" uri="{C3380CC4-5D6E-409C-BE32-E72D297353CC}">
                  <c16:uniqueId val="{00000012-89CE-4579-8FC1-23D57746F84C}"/>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Tornado 2'!$A$11:$A$18</c:f>
              <c:strCache>
                <c:ptCount val="8"/>
                <c:pt idx="0">
                  <c:v>BR01-08,</c:v>
                </c:pt>
                <c:pt idx="1">
                  <c:v>BR01-07,</c:v>
                </c:pt>
                <c:pt idx="2">
                  <c:v>BR01-02,</c:v>
                </c:pt>
                <c:pt idx="3">
                  <c:v>BR01-01,</c:v>
                </c:pt>
                <c:pt idx="4">
                  <c:v>BR01-05,</c:v>
                </c:pt>
                <c:pt idx="5">
                  <c:v>BR01-04,</c:v>
                </c:pt>
                <c:pt idx="6">
                  <c:v>BR01-03,</c:v>
                </c:pt>
                <c:pt idx="7">
                  <c:v>BR01-06,</c:v>
                </c:pt>
              </c:strCache>
            </c:strRef>
          </c:cat>
          <c:val>
            <c:numRef>
              <c:f>'SensIt Tornado 2'!$G$11:$G$18</c:f>
              <c:numCache>
                <c:formatCode>"$"#,##0_);[Red]\("$"#,##0\)</c:formatCode>
                <c:ptCount val="8"/>
                <c:pt idx="0">
                  <c:v>661002.74</c:v>
                </c:pt>
                <c:pt idx="1">
                  <c:v>648117.01</c:v>
                </c:pt>
                <c:pt idx="2">
                  <c:v>604673.82999999996</c:v>
                </c:pt>
                <c:pt idx="3">
                  <c:v>604626.21</c:v>
                </c:pt>
                <c:pt idx="4">
                  <c:v>603201.35</c:v>
                </c:pt>
                <c:pt idx="5">
                  <c:v>603329.01</c:v>
                </c:pt>
                <c:pt idx="6">
                  <c:v>603645.65</c:v>
                </c:pt>
                <c:pt idx="7">
                  <c:v>603720.53</c:v>
                </c:pt>
              </c:numCache>
            </c:numRef>
          </c:val>
          <c:extLst>
            <c:ext xmlns:c16="http://schemas.microsoft.com/office/drawing/2014/chart" uri="{C3380CC4-5D6E-409C-BE32-E72D297353CC}">
              <c16:uniqueId val="{00000002-89CE-4579-8FC1-23D57746F84C}"/>
            </c:ext>
          </c:extLst>
        </c:ser>
        <c:dLbls>
          <c:showLegendKey val="0"/>
          <c:showVal val="0"/>
          <c:showCatName val="0"/>
          <c:showSerName val="0"/>
          <c:showPercent val="0"/>
          <c:showBubbleSize val="0"/>
        </c:dLbls>
        <c:gapWidth val="200"/>
        <c:overlap val="100"/>
        <c:axId val="791028240"/>
        <c:axId val="791035312"/>
      </c:barChart>
      <c:catAx>
        <c:axId val="791028240"/>
        <c:scaling>
          <c:orientation val="maxMin"/>
        </c:scaling>
        <c:delete val="0"/>
        <c:axPos val="l"/>
        <c:numFmt formatCode="General" sourceLinked="1"/>
        <c:majorTickMark val="none"/>
        <c:minorTickMark val="none"/>
        <c:tickLblPos val="low"/>
        <c:spPr>
          <a:ln w="12700">
            <a:solidFill>
              <a:srgbClr val="000000"/>
            </a:solidFill>
            <a:prstDash val="solid"/>
          </a:ln>
        </c:spPr>
        <c:txPr>
          <a:bodyPr/>
          <a:lstStyle/>
          <a:p>
            <a:pPr>
              <a:defRPr sz="1000" b="0" i="0"/>
            </a:pPr>
            <a:endParaRPr lang="en-US"/>
          </a:p>
        </c:txPr>
        <c:crossAx val="791035312"/>
        <c:crossesAt val="604767.76639999996"/>
        <c:auto val="0"/>
        <c:lblAlgn val="ctr"/>
        <c:lblOffset val="100"/>
        <c:noMultiLvlLbl val="0"/>
      </c:catAx>
      <c:valAx>
        <c:axId val="791035312"/>
        <c:scaling>
          <c:orientation val="minMax"/>
          <c:max val="700000"/>
          <c:min val="500000"/>
        </c:scaling>
        <c:delete val="0"/>
        <c:axPos val="b"/>
        <c:title>
          <c:tx>
            <c:rich>
              <a:bodyPr/>
              <a:lstStyle/>
              <a:p>
                <a:pPr>
                  <a:defRPr sz="1000" b="0" i="0"/>
                </a:pPr>
                <a:r>
                  <a:rPr lang="en-US" sz="1000" b="0" i="0"/>
                  <a:t>Profit before Taxes</a:t>
                </a:r>
              </a:p>
            </c:rich>
          </c:tx>
          <c:overlay val="0"/>
        </c:title>
        <c:numFmt formatCode="&quot;$&quot;#,##0_);[Red]\(&quot;$&quot;#,##0\)" sourceLinked="1"/>
        <c:majorTickMark val="out"/>
        <c:minorTickMark val="none"/>
        <c:tickLblPos val="nextTo"/>
        <c:spPr>
          <a:ln w="12700">
            <a:solidFill>
              <a:srgbClr val="000000"/>
            </a:solidFill>
            <a:prstDash val="solid"/>
          </a:ln>
        </c:spPr>
        <c:txPr>
          <a:bodyPr/>
          <a:lstStyle/>
          <a:p>
            <a:pPr>
              <a:defRPr sz="800"/>
            </a:pPr>
            <a:endParaRPr lang="en-US"/>
          </a:p>
        </c:txPr>
        <c:crossAx val="791028240"/>
        <c:crosses val="max"/>
        <c:crossBetween val="between"/>
        <c:majorUnit val="20000"/>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SensIt 1.46</a:t>
            </a:r>
          </a:p>
        </c:rich>
      </c:tx>
      <c:overlay val="0"/>
    </c:title>
    <c:autoTitleDeleted val="0"/>
    <c:plotArea>
      <c:layout/>
      <c:scatterChart>
        <c:scatterStyle val="lineMarker"/>
        <c:varyColors val="0"/>
        <c:ser>
          <c:idx val="0"/>
          <c:order val="0"/>
          <c:tx>
            <c:v>BR01-08,</c:v>
          </c:tx>
          <c:dPt>
            <c:idx val="1"/>
            <c:marker>
              <c:symbol val="none"/>
            </c:marker>
            <c:bubble3D val="0"/>
            <c:extLst>
              <c:ext xmlns:c16="http://schemas.microsoft.com/office/drawing/2014/chart" uri="{C3380CC4-5D6E-409C-BE32-E72D297353CC}">
                <c16:uniqueId val="{00000008-299D-4B29-8B76-BE64694151E4}"/>
              </c:ext>
            </c:extLst>
          </c:dPt>
          <c:dPt>
            <c:idx val="2"/>
            <c:marker>
              <c:symbol val="none"/>
            </c:marker>
            <c:bubble3D val="0"/>
            <c:extLst>
              <c:ext xmlns:c16="http://schemas.microsoft.com/office/drawing/2014/chart" uri="{C3380CC4-5D6E-409C-BE32-E72D297353CC}">
                <c16:uniqueId val="{00000009-299D-4B29-8B76-BE64694151E4}"/>
              </c:ext>
            </c:extLst>
          </c:dPt>
          <c:dPt>
            <c:idx val="3"/>
            <c:marker>
              <c:symbol val="none"/>
            </c:marker>
            <c:bubble3D val="0"/>
            <c:extLst>
              <c:ext xmlns:c16="http://schemas.microsoft.com/office/drawing/2014/chart" uri="{C3380CC4-5D6E-409C-BE32-E72D297353CC}">
                <c16:uniqueId val="{0000000A-299D-4B29-8B76-BE64694151E4}"/>
              </c:ext>
            </c:extLst>
          </c:dPt>
          <c:dPt>
            <c:idx val="4"/>
            <c:marker>
              <c:symbol val="none"/>
            </c:marker>
            <c:bubble3D val="0"/>
            <c:extLst>
              <c:ext xmlns:c16="http://schemas.microsoft.com/office/drawing/2014/chart" uri="{C3380CC4-5D6E-409C-BE32-E72D297353CC}">
                <c16:uniqueId val="{0000000B-299D-4B29-8B76-BE64694151E4}"/>
              </c:ext>
            </c:extLst>
          </c:dPt>
          <c:dPt>
            <c:idx val="5"/>
            <c:marker>
              <c:symbol val="none"/>
            </c:marker>
            <c:bubble3D val="0"/>
            <c:extLst>
              <c:ext xmlns:c16="http://schemas.microsoft.com/office/drawing/2014/chart" uri="{C3380CC4-5D6E-409C-BE32-E72D297353CC}">
                <c16:uniqueId val="{0000000C-299D-4B29-8B76-BE64694151E4}"/>
              </c:ext>
            </c:extLst>
          </c:dPt>
          <c:dPt>
            <c:idx val="6"/>
            <c:marker>
              <c:symbol val="none"/>
            </c:marker>
            <c:bubble3D val="0"/>
            <c:extLst>
              <c:ext xmlns:c16="http://schemas.microsoft.com/office/drawing/2014/chart" uri="{C3380CC4-5D6E-409C-BE32-E72D297353CC}">
                <c16:uniqueId val="{0000000D-299D-4B29-8B76-BE64694151E4}"/>
              </c:ext>
            </c:extLst>
          </c:dPt>
          <c:dPt>
            <c:idx val="7"/>
            <c:marker>
              <c:symbol val="none"/>
            </c:marker>
            <c:bubble3D val="0"/>
            <c:extLst>
              <c:ext xmlns:c16="http://schemas.microsoft.com/office/drawing/2014/chart" uri="{C3380CC4-5D6E-409C-BE32-E72D297353CC}">
                <c16:uniqueId val="{0000000E-299D-4B29-8B76-BE64694151E4}"/>
              </c:ext>
            </c:extLst>
          </c:dPt>
          <c:dPt>
            <c:idx val="8"/>
            <c:marker>
              <c:symbol val="none"/>
            </c:marker>
            <c:bubble3D val="0"/>
            <c:extLst>
              <c:ext xmlns:c16="http://schemas.microsoft.com/office/drawing/2014/chart" uri="{C3380CC4-5D6E-409C-BE32-E72D297353CC}">
                <c16:uniqueId val="{0000000F-299D-4B29-8B76-BE64694151E4}"/>
              </c:ext>
            </c:extLst>
          </c:dPt>
          <c:dPt>
            <c:idx val="9"/>
            <c:marker>
              <c:symbol val="none"/>
            </c:marker>
            <c:bubble3D val="0"/>
            <c:extLst>
              <c:ext xmlns:c16="http://schemas.microsoft.com/office/drawing/2014/chart" uri="{C3380CC4-5D6E-409C-BE32-E72D297353CC}">
                <c16:uniqueId val="{00000010-299D-4B29-8B76-BE64694151E4}"/>
              </c:ext>
            </c:extLst>
          </c:dPt>
          <c:dPt>
            <c:idx val="10"/>
            <c:marker>
              <c:symbol val="none"/>
            </c:marker>
            <c:bubble3D val="0"/>
            <c:extLst>
              <c:ext xmlns:c16="http://schemas.microsoft.com/office/drawing/2014/chart" uri="{C3380CC4-5D6E-409C-BE32-E72D297353CC}">
                <c16:uniqueId val="{00000011-299D-4B29-8B76-BE64694151E4}"/>
              </c:ext>
            </c:extLst>
          </c:dPt>
          <c:dPt>
            <c:idx val="11"/>
            <c:marker>
              <c:symbol val="none"/>
            </c:marker>
            <c:bubble3D val="0"/>
            <c:extLst>
              <c:ext xmlns:c16="http://schemas.microsoft.com/office/drawing/2014/chart" uri="{C3380CC4-5D6E-409C-BE32-E72D297353CC}">
                <c16:uniqueId val="{00000012-299D-4B29-8B76-BE64694151E4}"/>
              </c:ext>
            </c:extLst>
          </c:dPt>
          <c:xVal>
            <c:numRef>
              <c:f>'SensIt Spider 2'!$AP$3:$AP$15</c:f>
              <c:numCache>
                <c:formatCode>0.0%</c:formatCode>
                <c:ptCount val="13"/>
                <c:pt idx="0">
                  <c:v>0.54545454545454553</c:v>
                </c:pt>
                <c:pt idx="1">
                  <c:v>0.60000000000000009</c:v>
                </c:pt>
                <c:pt idx="2">
                  <c:v>0.70000000000000007</c:v>
                </c:pt>
                <c:pt idx="3">
                  <c:v>0.8</c:v>
                </c:pt>
                <c:pt idx="4">
                  <c:v>0.9</c:v>
                </c:pt>
                <c:pt idx="5">
                  <c:v>1</c:v>
                </c:pt>
                <c:pt idx="6">
                  <c:v>1.1000000000000001</c:v>
                </c:pt>
                <c:pt idx="7">
                  <c:v>1.2000000000000002</c:v>
                </c:pt>
                <c:pt idx="8">
                  <c:v>1.3000000000000003</c:v>
                </c:pt>
                <c:pt idx="9">
                  <c:v>1.4000000000000004</c:v>
                </c:pt>
                <c:pt idx="10">
                  <c:v>1.5000000000000004</c:v>
                </c:pt>
                <c:pt idx="11">
                  <c:v>1.6000000000000005</c:v>
                </c:pt>
                <c:pt idx="12">
                  <c:v>1.6060606060606062</c:v>
                </c:pt>
              </c:numCache>
            </c:numRef>
          </c:xVal>
          <c:yVal>
            <c:numRef>
              <c:f>'SensIt Spider 2'!$AQ$3:$AQ$15</c:f>
              <c:numCache>
                <c:formatCode>"$"#,##0_);[Red]\("$"#,##0\)</c:formatCode>
                <c:ptCount val="13"/>
                <c:pt idx="0">
                  <c:v>531579.6</c:v>
                </c:pt>
                <c:pt idx="1">
                  <c:v>541765.68999999994</c:v>
                </c:pt>
                <c:pt idx="2">
                  <c:v>559446.04</c:v>
                </c:pt>
                <c:pt idx="3">
                  <c:v>575839.82999999996</c:v>
                </c:pt>
                <c:pt idx="4">
                  <c:v>590947.07999999996</c:v>
                </c:pt>
                <c:pt idx="5">
                  <c:v>604767.77</c:v>
                </c:pt>
                <c:pt idx="6">
                  <c:v>617301.9</c:v>
                </c:pt>
                <c:pt idx="7">
                  <c:v>628549.49</c:v>
                </c:pt>
                <c:pt idx="8">
                  <c:v>638510.52</c:v>
                </c:pt>
                <c:pt idx="9">
                  <c:v>647185.01</c:v>
                </c:pt>
                <c:pt idx="10">
                  <c:v>654572.93999999994</c:v>
                </c:pt>
                <c:pt idx="11">
                  <c:v>660674.31000000006</c:v>
                </c:pt>
                <c:pt idx="12">
                  <c:v>661002.74</c:v>
                </c:pt>
              </c:numCache>
            </c:numRef>
          </c:yVal>
          <c:smooth val="0"/>
          <c:extLst>
            <c:ext xmlns:c16="http://schemas.microsoft.com/office/drawing/2014/chart" uri="{C3380CC4-5D6E-409C-BE32-E72D297353CC}">
              <c16:uniqueId val="{00000000-299D-4B29-8B76-BE64694151E4}"/>
            </c:ext>
          </c:extLst>
        </c:ser>
        <c:ser>
          <c:idx val="1"/>
          <c:order val="1"/>
          <c:tx>
            <c:v>BR01-07,</c:v>
          </c:tx>
          <c:dPt>
            <c:idx val="1"/>
            <c:marker>
              <c:symbol val="none"/>
            </c:marker>
            <c:bubble3D val="0"/>
            <c:extLst>
              <c:ext xmlns:c16="http://schemas.microsoft.com/office/drawing/2014/chart" uri="{C3380CC4-5D6E-409C-BE32-E72D297353CC}">
                <c16:uniqueId val="{00000013-299D-4B29-8B76-BE64694151E4}"/>
              </c:ext>
            </c:extLst>
          </c:dPt>
          <c:dPt>
            <c:idx val="2"/>
            <c:marker>
              <c:symbol val="none"/>
            </c:marker>
            <c:bubble3D val="0"/>
            <c:extLst>
              <c:ext xmlns:c16="http://schemas.microsoft.com/office/drawing/2014/chart" uri="{C3380CC4-5D6E-409C-BE32-E72D297353CC}">
                <c16:uniqueId val="{00000014-299D-4B29-8B76-BE64694151E4}"/>
              </c:ext>
            </c:extLst>
          </c:dPt>
          <c:dPt>
            <c:idx val="3"/>
            <c:marker>
              <c:symbol val="none"/>
            </c:marker>
            <c:bubble3D val="0"/>
            <c:extLst>
              <c:ext xmlns:c16="http://schemas.microsoft.com/office/drawing/2014/chart" uri="{C3380CC4-5D6E-409C-BE32-E72D297353CC}">
                <c16:uniqueId val="{00000015-299D-4B29-8B76-BE64694151E4}"/>
              </c:ext>
            </c:extLst>
          </c:dPt>
          <c:dPt>
            <c:idx val="4"/>
            <c:marker>
              <c:symbol val="none"/>
            </c:marker>
            <c:bubble3D val="0"/>
            <c:extLst>
              <c:ext xmlns:c16="http://schemas.microsoft.com/office/drawing/2014/chart" uri="{C3380CC4-5D6E-409C-BE32-E72D297353CC}">
                <c16:uniqueId val="{00000016-299D-4B29-8B76-BE64694151E4}"/>
              </c:ext>
            </c:extLst>
          </c:dPt>
          <c:dPt>
            <c:idx val="5"/>
            <c:marker>
              <c:symbol val="none"/>
            </c:marker>
            <c:bubble3D val="0"/>
            <c:extLst>
              <c:ext xmlns:c16="http://schemas.microsoft.com/office/drawing/2014/chart" uri="{C3380CC4-5D6E-409C-BE32-E72D297353CC}">
                <c16:uniqueId val="{00000017-299D-4B29-8B76-BE64694151E4}"/>
              </c:ext>
            </c:extLst>
          </c:dPt>
          <c:dPt>
            <c:idx val="6"/>
            <c:marker>
              <c:symbol val="none"/>
            </c:marker>
            <c:bubble3D val="0"/>
            <c:extLst>
              <c:ext xmlns:c16="http://schemas.microsoft.com/office/drawing/2014/chart" uri="{C3380CC4-5D6E-409C-BE32-E72D297353CC}">
                <c16:uniqueId val="{00000018-299D-4B29-8B76-BE64694151E4}"/>
              </c:ext>
            </c:extLst>
          </c:dPt>
          <c:dPt>
            <c:idx val="7"/>
            <c:marker>
              <c:symbol val="none"/>
            </c:marker>
            <c:bubble3D val="0"/>
            <c:extLst>
              <c:ext xmlns:c16="http://schemas.microsoft.com/office/drawing/2014/chart" uri="{C3380CC4-5D6E-409C-BE32-E72D297353CC}">
                <c16:uniqueId val="{00000019-299D-4B29-8B76-BE64694151E4}"/>
              </c:ext>
            </c:extLst>
          </c:dPt>
          <c:dPt>
            <c:idx val="8"/>
            <c:marker>
              <c:symbol val="none"/>
            </c:marker>
            <c:bubble3D val="0"/>
            <c:extLst>
              <c:ext xmlns:c16="http://schemas.microsoft.com/office/drawing/2014/chart" uri="{C3380CC4-5D6E-409C-BE32-E72D297353CC}">
                <c16:uniqueId val="{0000001A-299D-4B29-8B76-BE64694151E4}"/>
              </c:ext>
            </c:extLst>
          </c:dPt>
          <c:dPt>
            <c:idx val="9"/>
            <c:marker>
              <c:symbol val="none"/>
            </c:marker>
            <c:bubble3D val="0"/>
            <c:extLst>
              <c:ext xmlns:c16="http://schemas.microsoft.com/office/drawing/2014/chart" uri="{C3380CC4-5D6E-409C-BE32-E72D297353CC}">
                <c16:uniqueId val="{0000001B-299D-4B29-8B76-BE64694151E4}"/>
              </c:ext>
            </c:extLst>
          </c:dPt>
          <c:dPt>
            <c:idx val="10"/>
            <c:marker>
              <c:symbol val="none"/>
            </c:marker>
            <c:bubble3D val="0"/>
            <c:extLst>
              <c:ext xmlns:c16="http://schemas.microsoft.com/office/drawing/2014/chart" uri="{C3380CC4-5D6E-409C-BE32-E72D297353CC}">
                <c16:uniqueId val="{0000001C-299D-4B29-8B76-BE64694151E4}"/>
              </c:ext>
            </c:extLst>
          </c:dPt>
          <c:dPt>
            <c:idx val="11"/>
            <c:marker>
              <c:symbol val="none"/>
            </c:marker>
            <c:bubble3D val="0"/>
            <c:extLst>
              <c:ext xmlns:c16="http://schemas.microsoft.com/office/drawing/2014/chart" uri="{C3380CC4-5D6E-409C-BE32-E72D297353CC}">
                <c16:uniqueId val="{0000001D-299D-4B29-8B76-BE64694151E4}"/>
              </c:ext>
            </c:extLst>
          </c:dPt>
          <c:xVal>
            <c:numRef>
              <c:f>'SensIt Spider 2'!$AL$3:$AL$15</c:f>
              <c:numCache>
                <c:formatCode>0.0%</c:formatCode>
                <c:ptCount val="13"/>
                <c:pt idx="0">
                  <c:v>0.54545454545454553</c:v>
                </c:pt>
                <c:pt idx="1">
                  <c:v>0.60000000000000009</c:v>
                </c:pt>
                <c:pt idx="2">
                  <c:v>0.70000000000000007</c:v>
                </c:pt>
                <c:pt idx="3">
                  <c:v>0.8</c:v>
                </c:pt>
                <c:pt idx="4">
                  <c:v>0.9</c:v>
                </c:pt>
                <c:pt idx="5">
                  <c:v>1</c:v>
                </c:pt>
                <c:pt idx="6">
                  <c:v>1.1000000000000001</c:v>
                </c:pt>
                <c:pt idx="7">
                  <c:v>1.2000000000000002</c:v>
                </c:pt>
                <c:pt idx="8">
                  <c:v>1.3000000000000003</c:v>
                </c:pt>
                <c:pt idx="9">
                  <c:v>1.4000000000000004</c:v>
                </c:pt>
                <c:pt idx="10">
                  <c:v>1.5000000000000004</c:v>
                </c:pt>
                <c:pt idx="11">
                  <c:v>1.6000000000000005</c:v>
                </c:pt>
                <c:pt idx="12">
                  <c:v>1.6060606060606062</c:v>
                </c:pt>
              </c:numCache>
            </c:numRef>
          </c:xVal>
          <c:yVal>
            <c:numRef>
              <c:f>'SensIt Spider 2'!$AM$3:$AM$15</c:f>
              <c:numCache>
                <c:formatCode>"$"#,##0_);[Red]\("$"#,##0\)</c:formatCode>
                <c:ptCount val="13"/>
                <c:pt idx="0">
                  <c:v>548350</c:v>
                </c:pt>
                <c:pt idx="1">
                  <c:v>556202.05000000005</c:v>
                </c:pt>
                <c:pt idx="2">
                  <c:v>569831.1</c:v>
                </c:pt>
                <c:pt idx="3">
                  <c:v>582468.41</c:v>
                </c:pt>
                <c:pt idx="4">
                  <c:v>594113.96</c:v>
                </c:pt>
                <c:pt idx="5">
                  <c:v>604767.77</c:v>
                </c:pt>
                <c:pt idx="6">
                  <c:v>614429.81999999995</c:v>
                </c:pt>
                <c:pt idx="7">
                  <c:v>623100.12</c:v>
                </c:pt>
                <c:pt idx="8">
                  <c:v>630778.68000000005</c:v>
                </c:pt>
                <c:pt idx="9">
                  <c:v>637465.48</c:v>
                </c:pt>
                <c:pt idx="10">
                  <c:v>643160.53</c:v>
                </c:pt>
                <c:pt idx="11">
                  <c:v>647863.82999999996</c:v>
                </c:pt>
                <c:pt idx="12">
                  <c:v>648117.01</c:v>
                </c:pt>
              </c:numCache>
            </c:numRef>
          </c:yVal>
          <c:smooth val="0"/>
          <c:extLst>
            <c:ext xmlns:c16="http://schemas.microsoft.com/office/drawing/2014/chart" uri="{C3380CC4-5D6E-409C-BE32-E72D297353CC}">
              <c16:uniqueId val="{00000001-299D-4B29-8B76-BE64694151E4}"/>
            </c:ext>
          </c:extLst>
        </c:ser>
        <c:ser>
          <c:idx val="2"/>
          <c:order val="2"/>
          <c:tx>
            <c:v>BR01-02,</c:v>
          </c:tx>
          <c:dPt>
            <c:idx val="1"/>
            <c:marker>
              <c:symbol val="none"/>
            </c:marker>
            <c:bubble3D val="0"/>
            <c:extLst>
              <c:ext xmlns:c16="http://schemas.microsoft.com/office/drawing/2014/chart" uri="{C3380CC4-5D6E-409C-BE32-E72D297353CC}">
                <c16:uniqueId val="{0000001E-299D-4B29-8B76-BE64694151E4}"/>
              </c:ext>
            </c:extLst>
          </c:dPt>
          <c:dPt>
            <c:idx val="2"/>
            <c:marker>
              <c:symbol val="none"/>
            </c:marker>
            <c:bubble3D val="0"/>
            <c:extLst>
              <c:ext xmlns:c16="http://schemas.microsoft.com/office/drawing/2014/chart" uri="{C3380CC4-5D6E-409C-BE32-E72D297353CC}">
                <c16:uniqueId val="{0000001F-299D-4B29-8B76-BE64694151E4}"/>
              </c:ext>
            </c:extLst>
          </c:dPt>
          <c:dPt>
            <c:idx val="3"/>
            <c:marker>
              <c:symbol val="none"/>
            </c:marker>
            <c:bubble3D val="0"/>
            <c:extLst>
              <c:ext xmlns:c16="http://schemas.microsoft.com/office/drawing/2014/chart" uri="{C3380CC4-5D6E-409C-BE32-E72D297353CC}">
                <c16:uniqueId val="{00000020-299D-4B29-8B76-BE64694151E4}"/>
              </c:ext>
            </c:extLst>
          </c:dPt>
          <c:dPt>
            <c:idx val="4"/>
            <c:marker>
              <c:symbol val="none"/>
            </c:marker>
            <c:bubble3D val="0"/>
            <c:extLst>
              <c:ext xmlns:c16="http://schemas.microsoft.com/office/drawing/2014/chart" uri="{C3380CC4-5D6E-409C-BE32-E72D297353CC}">
                <c16:uniqueId val="{00000021-299D-4B29-8B76-BE64694151E4}"/>
              </c:ext>
            </c:extLst>
          </c:dPt>
          <c:xVal>
            <c:numRef>
              <c:f>'SensIt Spider 2'!$R$3:$R$8</c:f>
              <c:numCache>
                <c:formatCode>0.0%</c:formatCode>
                <c:ptCount val="6"/>
                <c:pt idx="0">
                  <c:v>0.9375</c:v>
                </c:pt>
                <c:pt idx="1">
                  <c:v>1</c:v>
                </c:pt>
                <c:pt idx="2">
                  <c:v>1.1000000000000001</c:v>
                </c:pt>
                <c:pt idx="3">
                  <c:v>1.2000000000000002</c:v>
                </c:pt>
                <c:pt idx="4">
                  <c:v>1.3000000000000003</c:v>
                </c:pt>
                <c:pt idx="5">
                  <c:v>1.375</c:v>
                </c:pt>
              </c:numCache>
            </c:numRef>
          </c:xVal>
          <c:yVal>
            <c:numRef>
              <c:f>'SensIt Spider 2'!$S$3:$S$8</c:f>
              <c:numCache>
                <c:formatCode>"$"#,##0_);[Red]\("$"#,##0\)</c:formatCode>
                <c:ptCount val="6"/>
                <c:pt idx="0">
                  <c:v>604673.82999999996</c:v>
                </c:pt>
                <c:pt idx="1">
                  <c:v>604767.77</c:v>
                </c:pt>
                <c:pt idx="2">
                  <c:v>602964.24</c:v>
                </c:pt>
                <c:pt idx="3">
                  <c:v>598756.03</c:v>
                </c:pt>
                <c:pt idx="4">
                  <c:v>592143.11</c:v>
                </c:pt>
                <c:pt idx="5">
                  <c:v>585605.34</c:v>
                </c:pt>
              </c:numCache>
            </c:numRef>
          </c:yVal>
          <c:smooth val="0"/>
          <c:extLst>
            <c:ext xmlns:c16="http://schemas.microsoft.com/office/drawing/2014/chart" uri="{C3380CC4-5D6E-409C-BE32-E72D297353CC}">
              <c16:uniqueId val="{00000002-299D-4B29-8B76-BE64694151E4}"/>
            </c:ext>
          </c:extLst>
        </c:ser>
        <c:ser>
          <c:idx val="3"/>
          <c:order val="3"/>
          <c:tx>
            <c:v>BR01-01,</c:v>
          </c:tx>
          <c:dPt>
            <c:idx val="1"/>
            <c:marker>
              <c:symbol val="none"/>
            </c:marker>
            <c:bubble3D val="0"/>
            <c:extLst>
              <c:ext xmlns:c16="http://schemas.microsoft.com/office/drawing/2014/chart" uri="{C3380CC4-5D6E-409C-BE32-E72D297353CC}">
                <c16:uniqueId val="{00000022-299D-4B29-8B76-BE64694151E4}"/>
              </c:ext>
            </c:extLst>
          </c:dPt>
          <c:dPt>
            <c:idx val="2"/>
            <c:marker>
              <c:symbol val="none"/>
            </c:marker>
            <c:bubble3D val="0"/>
            <c:extLst>
              <c:ext xmlns:c16="http://schemas.microsoft.com/office/drawing/2014/chart" uri="{C3380CC4-5D6E-409C-BE32-E72D297353CC}">
                <c16:uniqueId val="{00000023-299D-4B29-8B76-BE64694151E4}"/>
              </c:ext>
            </c:extLst>
          </c:dPt>
          <c:dPt>
            <c:idx val="3"/>
            <c:marker>
              <c:symbol val="none"/>
            </c:marker>
            <c:bubble3D val="0"/>
            <c:extLst>
              <c:ext xmlns:c16="http://schemas.microsoft.com/office/drawing/2014/chart" uri="{C3380CC4-5D6E-409C-BE32-E72D297353CC}">
                <c16:uniqueId val="{00000024-299D-4B29-8B76-BE64694151E4}"/>
              </c:ext>
            </c:extLst>
          </c:dPt>
          <c:dPt>
            <c:idx val="4"/>
            <c:marker>
              <c:symbol val="none"/>
            </c:marker>
            <c:bubble3D val="0"/>
            <c:extLst>
              <c:ext xmlns:c16="http://schemas.microsoft.com/office/drawing/2014/chart" uri="{C3380CC4-5D6E-409C-BE32-E72D297353CC}">
                <c16:uniqueId val="{00000025-299D-4B29-8B76-BE64694151E4}"/>
              </c:ext>
            </c:extLst>
          </c:dPt>
          <c:xVal>
            <c:numRef>
              <c:f>'SensIt Spider 2'!$N$3:$N$8</c:f>
              <c:numCache>
                <c:formatCode>0.0%</c:formatCode>
                <c:ptCount val="6"/>
                <c:pt idx="0">
                  <c:v>0.9375</c:v>
                </c:pt>
                <c:pt idx="1">
                  <c:v>1</c:v>
                </c:pt>
                <c:pt idx="2">
                  <c:v>1.1000000000000001</c:v>
                </c:pt>
                <c:pt idx="3">
                  <c:v>1.2000000000000002</c:v>
                </c:pt>
                <c:pt idx="4">
                  <c:v>1.3000000000000003</c:v>
                </c:pt>
                <c:pt idx="5">
                  <c:v>1.375</c:v>
                </c:pt>
              </c:numCache>
            </c:numRef>
          </c:xVal>
          <c:yVal>
            <c:numRef>
              <c:f>'SensIt Spider 2'!$O$3:$O$8</c:f>
              <c:numCache>
                <c:formatCode>"$"#,##0_);[Red]\("$"#,##0\)</c:formatCode>
                <c:ptCount val="6"/>
                <c:pt idx="0">
                  <c:v>604626.21</c:v>
                </c:pt>
                <c:pt idx="1">
                  <c:v>604767.77</c:v>
                </c:pt>
                <c:pt idx="2">
                  <c:v>603153.99</c:v>
                </c:pt>
                <c:pt idx="3">
                  <c:v>599275.27</c:v>
                </c:pt>
                <c:pt idx="4">
                  <c:v>593131.6</c:v>
                </c:pt>
                <c:pt idx="5">
                  <c:v>587037.48</c:v>
                </c:pt>
              </c:numCache>
            </c:numRef>
          </c:yVal>
          <c:smooth val="0"/>
          <c:extLst>
            <c:ext xmlns:c16="http://schemas.microsoft.com/office/drawing/2014/chart" uri="{C3380CC4-5D6E-409C-BE32-E72D297353CC}">
              <c16:uniqueId val="{00000003-299D-4B29-8B76-BE64694151E4}"/>
            </c:ext>
          </c:extLst>
        </c:ser>
        <c:ser>
          <c:idx val="4"/>
          <c:order val="4"/>
          <c:tx>
            <c:v>BR01-05,</c:v>
          </c:tx>
          <c:dPt>
            <c:idx val="1"/>
            <c:marker>
              <c:symbol val="none"/>
            </c:marker>
            <c:bubble3D val="0"/>
            <c:extLst>
              <c:ext xmlns:c16="http://schemas.microsoft.com/office/drawing/2014/chart" uri="{C3380CC4-5D6E-409C-BE32-E72D297353CC}">
                <c16:uniqueId val="{00000026-299D-4B29-8B76-BE64694151E4}"/>
              </c:ext>
            </c:extLst>
          </c:dPt>
          <c:dPt>
            <c:idx val="2"/>
            <c:marker>
              <c:symbol val="none"/>
            </c:marker>
            <c:bubble3D val="0"/>
            <c:extLst>
              <c:ext xmlns:c16="http://schemas.microsoft.com/office/drawing/2014/chart" uri="{C3380CC4-5D6E-409C-BE32-E72D297353CC}">
                <c16:uniqueId val="{00000027-299D-4B29-8B76-BE64694151E4}"/>
              </c:ext>
            </c:extLst>
          </c:dPt>
          <c:dPt>
            <c:idx val="3"/>
            <c:marker>
              <c:symbol val="none"/>
            </c:marker>
            <c:bubble3D val="0"/>
            <c:extLst>
              <c:ext xmlns:c16="http://schemas.microsoft.com/office/drawing/2014/chart" uri="{C3380CC4-5D6E-409C-BE32-E72D297353CC}">
                <c16:uniqueId val="{00000028-299D-4B29-8B76-BE64694151E4}"/>
              </c:ext>
            </c:extLst>
          </c:dPt>
          <c:dPt>
            <c:idx val="4"/>
            <c:marker>
              <c:symbol val="none"/>
            </c:marker>
            <c:bubble3D val="0"/>
            <c:extLst>
              <c:ext xmlns:c16="http://schemas.microsoft.com/office/drawing/2014/chart" uri="{C3380CC4-5D6E-409C-BE32-E72D297353CC}">
                <c16:uniqueId val="{00000029-299D-4B29-8B76-BE64694151E4}"/>
              </c:ext>
            </c:extLst>
          </c:dPt>
          <c:dPt>
            <c:idx val="5"/>
            <c:marker>
              <c:symbol val="none"/>
            </c:marker>
            <c:bubble3D val="0"/>
            <c:extLst>
              <c:ext xmlns:c16="http://schemas.microsoft.com/office/drawing/2014/chart" uri="{C3380CC4-5D6E-409C-BE32-E72D297353CC}">
                <c16:uniqueId val="{0000002A-299D-4B29-8B76-BE64694151E4}"/>
              </c:ext>
            </c:extLst>
          </c:dPt>
          <c:xVal>
            <c:numRef>
              <c:f>'SensIt Spider 2'!$AD$3:$AD$9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2'!$AE$3:$AE$9</c:f>
              <c:numCache>
                <c:formatCode>"$"#,##0_);[Red]\("$"#,##0\)</c:formatCode>
                <c:ptCount val="7"/>
                <c:pt idx="0">
                  <c:v>603201.35</c:v>
                </c:pt>
                <c:pt idx="1">
                  <c:v>604082.46</c:v>
                </c:pt>
                <c:pt idx="2">
                  <c:v>604767.77</c:v>
                </c:pt>
                <c:pt idx="3">
                  <c:v>602516.05000000005</c:v>
                </c:pt>
                <c:pt idx="4">
                  <c:v>597327.30000000005</c:v>
                </c:pt>
                <c:pt idx="5">
                  <c:v>589201.54</c:v>
                </c:pt>
                <c:pt idx="6">
                  <c:v>585840.28</c:v>
                </c:pt>
              </c:numCache>
            </c:numRef>
          </c:yVal>
          <c:smooth val="0"/>
          <c:extLst>
            <c:ext xmlns:c16="http://schemas.microsoft.com/office/drawing/2014/chart" uri="{C3380CC4-5D6E-409C-BE32-E72D297353CC}">
              <c16:uniqueId val="{00000004-299D-4B29-8B76-BE64694151E4}"/>
            </c:ext>
          </c:extLst>
        </c:ser>
        <c:ser>
          <c:idx val="5"/>
          <c:order val="5"/>
          <c:tx>
            <c:v>BR01-04,</c:v>
          </c:tx>
          <c:dPt>
            <c:idx val="1"/>
            <c:marker>
              <c:symbol val="none"/>
            </c:marker>
            <c:bubble3D val="0"/>
            <c:extLst>
              <c:ext xmlns:c16="http://schemas.microsoft.com/office/drawing/2014/chart" uri="{C3380CC4-5D6E-409C-BE32-E72D297353CC}">
                <c16:uniqueId val="{0000002B-299D-4B29-8B76-BE64694151E4}"/>
              </c:ext>
            </c:extLst>
          </c:dPt>
          <c:dPt>
            <c:idx val="2"/>
            <c:marker>
              <c:symbol val="none"/>
            </c:marker>
            <c:bubble3D val="0"/>
            <c:extLst>
              <c:ext xmlns:c16="http://schemas.microsoft.com/office/drawing/2014/chart" uri="{C3380CC4-5D6E-409C-BE32-E72D297353CC}">
                <c16:uniqueId val="{0000002C-299D-4B29-8B76-BE64694151E4}"/>
              </c:ext>
            </c:extLst>
          </c:dPt>
          <c:dPt>
            <c:idx val="3"/>
            <c:marker>
              <c:symbol val="none"/>
            </c:marker>
            <c:bubble3D val="0"/>
            <c:extLst>
              <c:ext xmlns:c16="http://schemas.microsoft.com/office/drawing/2014/chart" uri="{C3380CC4-5D6E-409C-BE32-E72D297353CC}">
                <c16:uniqueId val="{0000002D-299D-4B29-8B76-BE64694151E4}"/>
              </c:ext>
            </c:extLst>
          </c:dPt>
          <c:dPt>
            <c:idx val="4"/>
            <c:marker>
              <c:symbol val="none"/>
            </c:marker>
            <c:bubble3D val="0"/>
            <c:extLst>
              <c:ext xmlns:c16="http://schemas.microsoft.com/office/drawing/2014/chart" uri="{C3380CC4-5D6E-409C-BE32-E72D297353CC}">
                <c16:uniqueId val="{0000002E-299D-4B29-8B76-BE64694151E4}"/>
              </c:ext>
            </c:extLst>
          </c:dPt>
          <c:dPt>
            <c:idx val="5"/>
            <c:marker>
              <c:symbol val="none"/>
            </c:marker>
            <c:bubble3D val="0"/>
            <c:extLst>
              <c:ext xmlns:c16="http://schemas.microsoft.com/office/drawing/2014/chart" uri="{C3380CC4-5D6E-409C-BE32-E72D297353CC}">
                <c16:uniqueId val="{0000002F-299D-4B29-8B76-BE64694151E4}"/>
              </c:ext>
            </c:extLst>
          </c:dPt>
          <c:xVal>
            <c:numRef>
              <c:f>'SensIt Spider 2'!$Z$3:$Z$9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2'!$AA$3:$AA$9</c:f>
              <c:numCache>
                <c:formatCode>"$"#,##0_);[Red]\("$"#,##0\)</c:formatCode>
                <c:ptCount val="7"/>
                <c:pt idx="0">
                  <c:v>603329.01</c:v>
                </c:pt>
                <c:pt idx="1">
                  <c:v>604138.31000000006</c:v>
                </c:pt>
                <c:pt idx="2">
                  <c:v>604767.77</c:v>
                </c:pt>
                <c:pt idx="3">
                  <c:v>602699.56000000006</c:v>
                </c:pt>
                <c:pt idx="4">
                  <c:v>597933.68999999994</c:v>
                </c:pt>
                <c:pt idx="5">
                  <c:v>590470.17000000004</c:v>
                </c:pt>
                <c:pt idx="6">
                  <c:v>587382.84</c:v>
                </c:pt>
              </c:numCache>
            </c:numRef>
          </c:yVal>
          <c:smooth val="0"/>
          <c:extLst>
            <c:ext xmlns:c16="http://schemas.microsoft.com/office/drawing/2014/chart" uri="{C3380CC4-5D6E-409C-BE32-E72D297353CC}">
              <c16:uniqueId val="{00000005-299D-4B29-8B76-BE64694151E4}"/>
            </c:ext>
          </c:extLst>
        </c:ser>
        <c:ser>
          <c:idx val="6"/>
          <c:order val="6"/>
          <c:tx>
            <c:v>BR01-03,</c:v>
          </c:tx>
          <c:dPt>
            <c:idx val="1"/>
            <c:marker>
              <c:symbol val="none"/>
            </c:marker>
            <c:bubble3D val="0"/>
            <c:extLst>
              <c:ext xmlns:c16="http://schemas.microsoft.com/office/drawing/2014/chart" uri="{C3380CC4-5D6E-409C-BE32-E72D297353CC}">
                <c16:uniqueId val="{00000030-299D-4B29-8B76-BE64694151E4}"/>
              </c:ext>
            </c:extLst>
          </c:dPt>
          <c:dPt>
            <c:idx val="2"/>
            <c:marker>
              <c:symbol val="none"/>
            </c:marker>
            <c:bubble3D val="0"/>
            <c:extLst>
              <c:ext xmlns:c16="http://schemas.microsoft.com/office/drawing/2014/chart" uri="{C3380CC4-5D6E-409C-BE32-E72D297353CC}">
                <c16:uniqueId val="{00000031-299D-4B29-8B76-BE64694151E4}"/>
              </c:ext>
            </c:extLst>
          </c:dPt>
          <c:dPt>
            <c:idx val="3"/>
            <c:marker>
              <c:symbol val="none"/>
            </c:marker>
            <c:bubble3D val="0"/>
            <c:extLst>
              <c:ext xmlns:c16="http://schemas.microsoft.com/office/drawing/2014/chart" uri="{C3380CC4-5D6E-409C-BE32-E72D297353CC}">
                <c16:uniqueId val="{00000032-299D-4B29-8B76-BE64694151E4}"/>
              </c:ext>
            </c:extLst>
          </c:dPt>
          <c:dPt>
            <c:idx val="4"/>
            <c:marker>
              <c:symbol val="none"/>
            </c:marker>
            <c:bubble3D val="0"/>
            <c:extLst>
              <c:ext xmlns:c16="http://schemas.microsoft.com/office/drawing/2014/chart" uri="{C3380CC4-5D6E-409C-BE32-E72D297353CC}">
                <c16:uniqueId val="{00000033-299D-4B29-8B76-BE64694151E4}"/>
              </c:ext>
            </c:extLst>
          </c:dPt>
          <c:dPt>
            <c:idx val="5"/>
            <c:marker>
              <c:symbol val="none"/>
            </c:marker>
            <c:bubble3D val="0"/>
            <c:extLst>
              <c:ext xmlns:c16="http://schemas.microsoft.com/office/drawing/2014/chart" uri="{C3380CC4-5D6E-409C-BE32-E72D297353CC}">
                <c16:uniqueId val="{00000034-299D-4B29-8B76-BE64694151E4}"/>
              </c:ext>
            </c:extLst>
          </c:dPt>
          <c:xVal>
            <c:numRef>
              <c:f>'SensIt Spider 2'!$V$3:$V$9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2'!$W$3:$W$9</c:f>
              <c:numCache>
                <c:formatCode>"$"#,##0_);[Red]\("$"#,##0\)</c:formatCode>
                <c:ptCount val="7"/>
                <c:pt idx="0">
                  <c:v>603645.65</c:v>
                </c:pt>
                <c:pt idx="1">
                  <c:v>604276.84</c:v>
                </c:pt>
                <c:pt idx="2">
                  <c:v>604767.77</c:v>
                </c:pt>
                <c:pt idx="3">
                  <c:v>603154.73</c:v>
                </c:pt>
                <c:pt idx="4">
                  <c:v>599437.73</c:v>
                </c:pt>
                <c:pt idx="5">
                  <c:v>593616.76</c:v>
                </c:pt>
                <c:pt idx="6">
                  <c:v>591208.89</c:v>
                </c:pt>
              </c:numCache>
            </c:numRef>
          </c:yVal>
          <c:smooth val="0"/>
          <c:extLst>
            <c:ext xmlns:c16="http://schemas.microsoft.com/office/drawing/2014/chart" uri="{C3380CC4-5D6E-409C-BE32-E72D297353CC}">
              <c16:uniqueId val="{00000006-299D-4B29-8B76-BE64694151E4}"/>
            </c:ext>
          </c:extLst>
        </c:ser>
        <c:ser>
          <c:idx val="7"/>
          <c:order val="7"/>
          <c:tx>
            <c:v>BR01-06,</c:v>
          </c:tx>
          <c:dPt>
            <c:idx val="1"/>
            <c:marker>
              <c:symbol val="none"/>
            </c:marker>
            <c:bubble3D val="0"/>
            <c:extLst>
              <c:ext xmlns:c16="http://schemas.microsoft.com/office/drawing/2014/chart" uri="{C3380CC4-5D6E-409C-BE32-E72D297353CC}">
                <c16:uniqueId val="{00000035-299D-4B29-8B76-BE64694151E4}"/>
              </c:ext>
            </c:extLst>
          </c:dPt>
          <c:dPt>
            <c:idx val="2"/>
            <c:marker>
              <c:symbol val="none"/>
            </c:marker>
            <c:bubble3D val="0"/>
            <c:extLst>
              <c:ext xmlns:c16="http://schemas.microsoft.com/office/drawing/2014/chart" uri="{C3380CC4-5D6E-409C-BE32-E72D297353CC}">
                <c16:uniqueId val="{00000036-299D-4B29-8B76-BE64694151E4}"/>
              </c:ext>
            </c:extLst>
          </c:dPt>
          <c:dPt>
            <c:idx val="3"/>
            <c:marker>
              <c:symbol val="none"/>
            </c:marker>
            <c:bubble3D val="0"/>
            <c:extLst>
              <c:ext xmlns:c16="http://schemas.microsoft.com/office/drawing/2014/chart" uri="{C3380CC4-5D6E-409C-BE32-E72D297353CC}">
                <c16:uniqueId val="{00000037-299D-4B29-8B76-BE64694151E4}"/>
              </c:ext>
            </c:extLst>
          </c:dPt>
          <c:dPt>
            <c:idx val="4"/>
            <c:marker>
              <c:symbol val="none"/>
            </c:marker>
            <c:bubble3D val="0"/>
            <c:extLst>
              <c:ext xmlns:c16="http://schemas.microsoft.com/office/drawing/2014/chart" uri="{C3380CC4-5D6E-409C-BE32-E72D297353CC}">
                <c16:uniqueId val="{00000038-299D-4B29-8B76-BE64694151E4}"/>
              </c:ext>
            </c:extLst>
          </c:dPt>
          <c:dPt>
            <c:idx val="5"/>
            <c:marker>
              <c:symbol val="none"/>
            </c:marker>
            <c:bubble3D val="0"/>
            <c:extLst>
              <c:ext xmlns:c16="http://schemas.microsoft.com/office/drawing/2014/chart" uri="{C3380CC4-5D6E-409C-BE32-E72D297353CC}">
                <c16:uniqueId val="{00000039-299D-4B29-8B76-BE64694151E4}"/>
              </c:ext>
            </c:extLst>
          </c:dPt>
          <c:xVal>
            <c:numRef>
              <c:f>'SensIt Spider 2'!$AH$3:$AH$9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2'!$AI$3:$AI$9</c:f>
              <c:numCache>
                <c:formatCode>"$"#,##0_);[Red]\("$"#,##0\)</c:formatCode>
                <c:ptCount val="7"/>
                <c:pt idx="0">
                  <c:v>603720.53</c:v>
                </c:pt>
                <c:pt idx="1">
                  <c:v>604309.6</c:v>
                </c:pt>
                <c:pt idx="2">
                  <c:v>604767.77</c:v>
                </c:pt>
                <c:pt idx="3">
                  <c:v>603262.37</c:v>
                </c:pt>
                <c:pt idx="4">
                  <c:v>599793.41</c:v>
                </c:pt>
                <c:pt idx="5">
                  <c:v>594360.89</c:v>
                </c:pt>
                <c:pt idx="6">
                  <c:v>592113.69999999995</c:v>
                </c:pt>
              </c:numCache>
            </c:numRef>
          </c:yVal>
          <c:smooth val="0"/>
          <c:extLst>
            <c:ext xmlns:c16="http://schemas.microsoft.com/office/drawing/2014/chart" uri="{C3380CC4-5D6E-409C-BE32-E72D297353CC}">
              <c16:uniqueId val="{00000007-299D-4B29-8B76-BE64694151E4}"/>
            </c:ext>
          </c:extLst>
        </c:ser>
        <c:dLbls>
          <c:showLegendKey val="0"/>
          <c:showVal val="0"/>
          <c:showCatName val="0"/>
          <c:showSerName val="0"/>
          <c:showPercent val="0"/>
          <c:showBubbleSize val="0"/>
        </c:dLbls>
        <c:axId val="574916240"/>
        <c:axId val="574941200"/>
      </c:scatterChart>
      <c:valAx>
        <c:axId val="574916240"/>
        <c:scaling>
          <c:orientation val="minMax"/>
          <c:max val="1.8000000000000003"/>
          <c:min val="0.4"/>
        </c:scaling>
        <c:delete val="0"/>
        <c:axPos val="b"/>
        <c:title>
          <c:tx>
            <c:rich>
              <a:bodyPr/>
              <a:lstStyle/>
              <a:p>
                <a:pPr>
                  <a:defRPr sz="1000"/>
                </a:pPr>
                <a:r>
                  <a:rPr lang="en-US"/>
                  <a:t>Input Value as % of Base Case</a:t>
                </a:r>
              </a:p>
            </c:rich>
          </c:tx>
          <c:overlay val="0"/>
        </c:title>
        <c:numFmt formatCode="0.0%" sourceLinked="1"/>
        <c:majorTickMark val="out"/>
        <c:minorTickMark val="none"/>
        <c:tickLblPos val="nextTo"/>
        <c:spPr>
          <a:ln w="12700">
            <a:solidFill>
              <a:srgbClr val="000000"/>
            </a:solidFill>
            <a:prstDash val="solid"/>
          </a:ln>
        </c:spPr>
        <c:crossAx val="574941200"/>
        <c:crossesAt val="500000"/>
        <c:crossBetween val="midCat"/>
        <c:majorUnit val="0.1"/>
      </c:valAx>
      <c:valAx>
        <c:axId val="574941200"/>
        <c:scaling>
          <c:orientation val="minMax"/>
          <c:max val="700000"/>
          <c:min val="500000"/>
        </c:scaling>
        <c:delete val="0"/>
        <c:axPos val="l"/>
        <c:title>
          <c:tx>
            <c:rich>
              <a:bodyPr/>
              <a:lstStyle/>
              <a:p>
                <a:pPr>
                  <a:defRPr sz="1000"/>
                </a:pPr>
                <a:r>
                  <a:rPr lang="en-US"/>
                  <a:t>Profit before Taxes</a:t>
                </a:r>
              </a:p>
            </c:rich>
          </c:tx>
          <c:overlay val="0"/>
        </c:title>
        <c:numFmt formatCode="&quot;$&quot;#,##0_);[Red]\(&quot;$&quot;#,##0\)" sourceLinked="1"/>
        <c:majorTickMark val="out"/>
        <c:minorTickMark val="none"/>
        <c:tickLblPos val="nextTo"/>
        <c:spPr>
          <a:ln w="12700">
            <a:solidFill>
              <a:srgbClr val="000000"/>
            </a:solidFill>
            <a:prstDash val="solid"/>
          </a:ln>
        </c:spPr>
        <c:crossAx val="574916240"/>
        <c:crossesAt val="0.4"/>
        <c:crossBetween val="midCat"/>
        <c:majorUnit val="20000"/>
      </c:valAx>
      <c:spPr>
        <a:noFill/>
        <a:ln w="25400">
          <a:noFill/>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800" b="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a:pPr>
            <a:r>
              <a:rPr lang="en-US" sz="1000" b="0" i="0"/>
              <a:t>SensIt 1.46</a:t>
            </a:r>
          </a:p>
        </c:rich>
      </c:tx>
      <c:overlay val="0"/>
    </c:title>
    <c:autoTitleDeleted val="0"/>
    <c:plotArea>
      <c:layout/>
      <c:barChart>
        <c:barDir val="bar"/>
        <c:grouping val="clustered"/>
        <c:varyColors val="0"/>
        <c:ser>
          <c:idx val="0"/>
          <c:order val="0"/>
          <c:tx>
            <c:v>Bars on Right</c:v>
          </c:tx>
          <c:spPr>
            <a:solidFill>
              <a:srgbClr val="000000"/>
            </a:solidFill>
          </c:spPr>
          <c:invertIfNegative val="0"/>
          <c:dLbls>
            <c:dLbl>
              <c:idx val="0"/>
              <c:tx>
                <c:strRef>
                  <c:f>'SensIt Two-Factor Tornado 2'!$B$11</c:f>
                  <c:strCache>
                    <c:ptCount val="1"/>
                    <c:pt idx="0">
                      <c:v>$1.80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{F7C3D412-20F1-49FA-94FE-7B5DF8676759}</c15:txfldGUID>
                      <c15:f>'SensIt Two-Factor Tornado 2'!$B$11</c15:f>
                      <c15:dlblFieldTableCache>
                        <c:ptCount val="1"/>
                        <c:pt idx="0">
                          <c:v>$1.80 &amp; $1.80</c:v>
                        </c:pt>
                      </c15:dlblFieldTableCache>
                    </c15:dlblFTEntry>
                  </c15:dlblFieldTable>
                  <c15:showDataLabelsRange val="0"/>
                </c:ext>
                <c:ext xmlns:c16="http://schemas.microsoft.com/office/drawing/2014/chart" uri="{C3380CC4-5D6E-409C-BE32-E72D297353CC}">
                  <c16:uniqueId val="{00000006-A4E5-4C29-98E9-31099516A914}"/>
                </c:ext>
              </c:extLst>
            </c:dLbl>
            <c:dLbl>
              <c:idx val="1"/>
              <c:tx>
                <c:strRef>
                  <c:f>'SensIt Two-Factor Tornado 2'!$B$12</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{A45FA60F-F3D8-4493-9B13-1D2226787E79}</c15:txfldGUID>
                      <c15:f>'SensIt Two-Factor Tornado 2'!$B$12</c15:f>
                      <c15:dlblFieldTableCache>
                        <c:ptCount val="1"/>
                        <c:pt idx="0">
                          <c:v>$11.00 &amp; $1.80</c:v>
                        </c:pt>
                      </c15:dlblFieldTableCache>
                    </c15:dlblFTEntry>
                  </c15:dlblFieldTable>
                  <c15:showDataLabelsRange val="0"/>
                </c:ext>
                <c:ext xmlns:c16="http://schemas.microsoft.com/office/drawing/2014/chart" uri="{C3380CC4-5D6E-409C-BE32-E72D297353CC}">
                  <c16:uniqueId val="{00000008-A4E5-4C29-98E9-31099516A914}"/>
                </c:ext>
              </c:extLst>
            </c:dLbl>
            <c:dLbl>
              <c:idx val="2"/>
              <c:tx>
                <c:strRef>
                  <c:f>'SensIt Two-Factor Tornado 2'!$B$13</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{70492825-D322-4C85-BEF6-61627D4D8C94}</c15:txfldGUID>
                      <c15:f>'SensIt Two-Factor Tornado 2'!$B$13</c15:f>
                      <c15:dlblFieldTableCache>
                        <c:ptCount val="1"/>
                        <c:pt idx="0">
                          <c:v>$10.00 &amp; $1.80</c:v>
                        </c:pt>
                      </c15:dlblFieldTableCache>
                    </c15:dlblFTEntry>
                  </c15:dlblFieldTable>
                  <c15:showDataLabelsRange val="0"/>
                </c:ext>
                <c:ext xmlns:c16="http://schemas.microsoft.com/office/drawing/2014/chart" uri="{C3380CC4-5D6E-409C-BE32-E72D297353CC}">
                  <c16:uniqueId val="{0000000A-A4E5-4C29-98E9-31099516A914}"/>
                </c:ext>
              </c:extLst>
            </c:dLbl>
            <c:dLbl>
              <c:idx val="3"/>
              <c:tx>
                <c:strRef>
                  <c:f>'SensIt Two-Factor Tornado 2'!$B$14</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{DEA23F51-1970-403D-A778-59F80D800952}</c15:txfldGUID>
                      <c15:f>'SensIt Two-Factor Tornado 2'!$B$14</c15:f>
                      <c15:dlblFieldTableCache>
                        <c:ptCount val="1"/>
                        <c:pt idx="0">
                          <c:v>$11.00 &amp; $1.80</c:v>
                        </c:pt>
                      </c15:dlblFieldTableCache>
                    </c15:dlblFTEntry>
                  </c15:dlblFieldTable>
                  <c15:showDataLabelsRange val="0"/>
                </c:ext>
                <c:ext xmlns:c16="http://schemas.microsoft.com/office/drawing/2014/chart" uri="{C3380CC4-5D6E-409C-BE32-E72D297353CC}">
                  <c16:uniqueId val="{0000000C-A4E5-4C29-98E9-31099516A914}"/>
                </c:ext>
              </c:extLst>
            </c:dLbl>
            <c:dLbl>
              <c:idx val="4"/>
              <c:tx>
                <c:strRef>
                  <c:f>'SensIt Two-Factor Tornado 2'!$B$15</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{E235CF13-95FF-4475-BA13-F32C3E9EA7D0}</c15:txfldGUID>
                      <c15:f>'SensIt Two-Factor Tornado 2'!$B$15</c15:f>
                      <c15:dlblFieldTableCache>
                        <c:ptCount val="1"/>
                        <c:pt idx="0">
                          <c:v>$10.00 &amp; $1.80</c:v>
                        </c:pt>
                      </c15:dlblFieldTableCache>
                    </c15:dlblFTEntry>
                  </c15:dlblFieldTable>
                  <c15:showDataLabelsRange val="0"/>
                </c:ext>
                <c:ext xmlns:c16="http://schemas.microsoft.com/office/drawing/2014/chart" uri="{C3380CC4-5D6E-409C-BE32-E72D297353CC}">
                  <c16:uniqueId val="{0000000E-A4E5-4C29-98E9-31099516A914}"/>
                </c:ext>
              </c:extLst>
            </c:dLbl>
            <c:dLbl>
              <c:idx val="5"/>
              <c:tx>
                <c:strRef>
                  <c:f>'SensIt Two-Factor Tornado 2'!$B$16</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{11BDEF91-7036-4C24-88A8-71E3DB05C716}</c15:txfldGUID>
                      <c15:f>'SensIt Two-Factor Tornado 2'!$B$16</c15:f>
                      <c15:dlblFieldTableCache>
                        <c:ptCount val="1"/>
                        <c:pt idx="0">
                          <c:v>$10.00 &amp; $1.80</c:v>
                        </c:pt>
                      </c15:dlblFieldTableCache>
                    </c15:dlblFTEntry>
                  </c15:dlblFieldTable>
                  <c15:showDataLabelsRange val="0"/>
                </c:ext>
                <c:ext xmlns:c16="http://schemas.microsoft.com/office/drawing/2014/chart" uri="{C3380CC4-5D6E-409C-BE32-E72D297353CC}">
                  <c16:uniqueId val="{00000010-A4E5-4C29-98E9-31099516A914}"/>
                </c:ext>
              </c:extLst>
            </c:dLbl>
            <c:dLbl>
              <c:idx val="6"/>
              <c:tx>
                <c:strRef>
                  <c:f>'SensIt Two-Factor Tornado 2'!$B$17</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{49C9A4A8-257F-4985-AC89-F5935ACFCDA2}</c15:txfldGUID>
                      <c15:f>'SensIt Two-Factor Tornado 2'!$B$17</c15:f>
                      <c15:dlblFieldTableCache>
                        <c:ptCount val="1"/>
                        <c:pt idx="0">
                          <c:v>$10.00 &amp; $1.80</c:v>
                        </c:pt>
                      </c15:dlblFieldTableCache>
                    </c15:dlblFTEntry>
                  </c15:dlblFieldTable>
                  <c15:showDataLabelsRange val="0"/>
                </c:ext>
                <c:ext xmlns:c16="http://schemas.microsoft.com/office/drawing/2014/chart" uri="{C3380CC4-5D6E-409C-BE32-E72D297353CC}">
                  <c16:uniqueId val="{00000012-A4E5-4C29-98E9-31099516A914}"/>
                </c:ext>
              </c:extLst>
            </c:dLbl>
            <c:dLbl>
              <c:idx val="7"/>
              <c:tx>
                <c:strRef>
                  <c:f>'SensIt Two-Factor Tornado 2'!$B$18</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{9B45E245-78B6-4464-ADC6-C48643AEEC77}</c15:txfldGUID>
                      <c15:f>'SensIt Two-Factor Tornado 2'!$B$18</c15:f>
                      <c15:dlblFieldTableCache>
                        <c:ptCount val="1"/>
                        <c:pt idx="0">
                          <c:v>$11.00 &amp; $1.80</c:v>
                        </c:pt>
                      </c15:dlblFieldTableCache>
                    </c15:dlblFTEntry>
                  </c15:dlblFieldTable>
                  <c15:showDataLabelsRange val="0"/>
                </c:ext>
                <c:ext xmlns:c16="http://schemas.microsoft.com/office/drawing/2014/chart" uri="{C3380CC4-5D6E-409C-BE32-E72D297353CC}">
                  <c16:uniqueId val="{00000014-A4E5-4C29-98E9-31099516A914}"/>
                </c:ext>
              </c:extLst>
            </c:dLbl>
            <c:dLbl>
              <c:idx val="8"/>
              <c:tx>
                <c:strRef>
                  <c:f>'SensIt Two-Factor Tornado 2'!$B$19</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{4EA3EE8C-5ED9-484A-94AB-59AFD5B6D897}</c15:txfldGUID>
                      <c15:f>'SensIt Two-Factor Tornado 2'!$B$19</c15:f>
                      <c15:dlblFieldTableCache>
                        <c:ptCount val="1"/>
                        <c:pt idx="0">
                          <c:v>$10.00 &amp; $1.80</c:v>
                        </c:pt>
                      </c15:dlblFieldTableCache>
                    </c15:dlblFTEntry>
                  </c15:dlblFieldTable>
                  <c15:showDataLabelsRange val="0"/>
                </c:ext>
                <c:ext xmlns:c16="http://schemas.microsoft.com/office/drawing/2014/chart" uri="{C3380CC4-5D6E-409C-BE32-E72D297353CC}">
                  <c16:uniqueId val="{00000016-A4E5-4C29-98E9-31099516A914}"/>
                </c:ext>
              </c:extLst>
            </c:dLbl>
            <c:dLbl>
              <c:idx val="9"/>
              <c:tx>
                <c:strRef>
                  <c:f>'SensIt Two-Factor Tornado 2'!$B$20</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{45699199-6037-4939-A34C-0F1B6D1A3645}</c15:txfldGUID>
                      <c15:f>'SensIt Two-Factor Tornado 2'!$B$20</c15:f>
                      <c15:dlblFieldTableCache>
                        <c:ptCount val="1"/>
                        <c:pt idx="0">
                          <c:v>$11.00 &amp; $1.80</c:v>
                        </c:pt>
                      </c15:dlblFieldTableCache>
                    </c15:dlblFTEntry>
                  </c15:dlblFieldTable>
                  <c15:showDataLabelsRange val="0"/>
                </c:ext>
                <c:ext xmlns:c16="http://schemas.microsoft.com/office/drawing/2014/chart" uri="{C3380CC4-5D6E-409C-BE32-E72D297353CC}">
                  <c16:uniqueId val="{00000018-A4E5-4C29-98E9-31099516A914}"/>
                </c:ext>
              </c:extLst>
            </c:dLbl>
            <c:dLbl>
              <c:idx val="10"/>
              <c:tx>
                <c:strRef>
                  <c:f>'SensIt Two-Factor Tornado 2'!$B$21</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{63021A8B-E450-4EE1-8576-123E9BF07176}</c15:txfldGUID>
                      <c15:f>'SensIt Two-Factor Tornado 2'!$B$21</c15:f>
                      <c15:dlblFieldTableCache>
                        <c:ptCount val="1"/>
                        <c:pt idx="0">
                          <c:v>$10.00 &amp; $1.80</c:v>
                        </c:pt>
                      </c15:dlblFieldTableCache>
                    </c15:dlblFTEntry>
                  </c15:dlblFieldTable>
                  <c15:showDataLabelsRange val="0"/>
                </c:ext>
                <c:ext xmlns:c16="http://schemas.microsoft.com/office/drawing/2014/chart" uri="{C3380CC4-5D6E-409C-BE32-E72D297353CC}">
                  <c16:uniqueId val="{0000001A-A4E5-4C29-98E9-31099516A914}"/>
                </c:ext>
              </c:extLst>
            </c:dLbl>
            <c:dLbl>
              <c:idx val="11"/>
              <c:tx>
                <c:strRef>
                  <c:f>'SensIt Two-Factor Tornado 2'!$B$22</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{3208A6CC-405E-4DA9-B884-9B5322441A79}</c15:txfldGUID>
                      <c15:f>'SensIt Two-Factor Tornado 2'!$B$22</c15:f>
                      <c15:dlblFieldTableCache>
                        <c:ptCount val="1"/>
                        <c:pt idx="0">
                          <c:v>$10.00 &amp; $1.80</c:v>
                        </c:pt>
                      </c15:dlblFieldTableCache>
                    </c15:dlblFTEntry>
                  </c15:dlblFieldTable>
                  <c15:showDataLabelsRange val="0"/>
                </c:ext>
                <c:ext xmlns:c16="http://schemas.microsoft.com/office/drawing/2014/chart" uri="{C3380CC4-5D6E-409C-BE32-E72D297353CC}">
                  <c16:uniqueId val="{0000001C-A4E5-4C29-98E9-31099516A914}"/>
                </c:ext>
              </c:extLst>
            </c:dLbl>
            <c:dLbl>
              <c:idx val="12"/>
              <c:tx>
                <c:strRef>
                  <c:f>'SensIt Two-Factor Tornado 2'!$B$23</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{9DA36811-0A32-41B1-9A81-004DA0190DF6}</c15:txfldGUID>
                      <c15:f>'SensIt Two-Factor Tornado 2'!$B$23</c15:f>
                      <c15:dlblFieldTableCache>
                        <c:ptCount val="1"/>
                        <c:pt idx="0">
                          <c:v>$10.00 &amp; $1.80</c:v>
                        </c:pt>
                      </c15:dlblFieldTableCache>
                    </c15:dlblFTEntry>
                  </c15:dlblFieldTable>
                  <c15:showDataLabelsRange val="0"/>
                </c:ext>
                <c:ext xmlns:c16="http://schemas.microsoft.com/office/drawing/2014/chart" uri="{C3380CC4-5D6E-409C-BE32-E72D297353CC}">
                  <c16:uniqueId val="{0000001E-A4E5-4C29-98E9-31099516A914}"/>
                </c:ext>
              </c:extLst>
            </c:dLbl>
            <c:dLbl>
              <c:idx val="13"/>
              <c:tx>
                <c:strRef>
                  <c:f>'SensIt Two-Factor Tornado 2'!$B$24</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{C5EE26AC-149F-4E97-B9A8-F920C6256D3A}</c15:txfldGUID>
                      <c15:f>'SensIt Two-Factor Tornado 2'!$B$24</c15:f>
                      <c15:dlblFieldTableCache>
                        <c:ptCount val="1"/>
                        <c:pt idx="0">
                          <c:v>$11.00 &amp; $10.00</c:v>
                        </c:pt>
                      </c15:dlblFieldTableCache>
                    </c15:dlblFTEntry>
                  </c15:dlblFieldTable>
                  <c15:showDataLabelsRange val="0"/>
                </c:ext>
                <c:ext xmlns:c16="http://schemas.microsoft.com/office/drawing/2014/chart" uri="{C3380CC4-5D6E-409C-BE32-E72D297353CC}">
                  <c16:uniqueId val="{00000020-A4E5-4C29-98E9-31099516A914}"/>
                </c:ext>
              </c:extLst>
            </c:dLbl>
            <c:dLbl>
              <c:idx val="14"/>
              <c:tx>
                <c:strRef>
                  <c:f>'SensIt Two-Factor Tornado 2'!$B$25</c:f>
                  <c:strCache>
                    <c:ptCount val="1"/>
                    <c:pt idx="0">
                      <c:v>$11.00 &amp; $11.00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{46BBC3F8-DF38-4127-BFDB-615FB462DAC4}</c15:txfldGUID>
                      <c15:f>'SensIt Two-Factor Tornado 2'!$B$25</c15:f>
                      <c15:dlblFieldTableCache>
                        <c:ptCount val="1"/>
                        <c:pt idx="0">
                          <c:v>$11.00 &amp; $11.00</c:v>
                        </c:pt>
                      </c15:dlblFieldTableCache>
                    </c15:dlblFTEntry>
                  </c15:dlblFieldTable>
                  <c15:showDataLabelsRange val="0"/>
                </c:ext>
                <c:ext xmlns:c16="http://schemas.microsoft.com/office/drawing/2014/chart" uri="{C3380CC4-5D6E-409C-BE32-E72D297353CC}">
                  <c16:uniqueId val="{00000022-A4E5-4C29-98E9-31099516A914}"/>
                </c:ext>
              </c:extLst>
            </c:dLbl>
            <c:dLbl>
              <c:idx val="15"/>
              <c:tx>
                <c:strRef>
                  <c:f>'SensIt Two-Factor Tornado 2'!$B$26</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{9B6A291E-616B-4CC7-95AB-454437AEE85B}</c15:txfldGUID>
                      <c15:f>'SensIt Two-Factor Tornado 2'!$B$26</c15:f>
                      <c15:dlblFieldTableCache>
                        <c:ptCount val="1"/>
                        <c:pt idx="0">
                          <c:v>$11.00 &amp; $10.00</c:v>
                        </c:pt>
                      </c15:dlblFieldTableCache>
                    </c15:dlblFTEntry>
                  </c15:dlblFieldTable>
                  <c15:showDataLabelsRange val="0"/>
                </c:ext>
                <c:ext xmlns:c16="http://schemas.microsoft.com/office/drawing/2014/chart" uri="{C3380CC4-5D6E-409C-BE32-E72D297353CC}">
                  <c16:uniqueId val="{00000024-A4E5-4C29-98E9-31099516A914}"/>
                </c:ext>
              </c:extLst>
            </c:dLbl>
            <c:dLbl>
              <c:idx val="16"/>
              <c:tx>
                <c:strRef>
                  <c:f>'SensIt Two-Factor Tornado 2'!$B$27</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{4B4122C0-1612-477C-923B-8ED9316A6CC1}</c15:txfldGUID>
                      <c15:f>'SensIt Two-Factor Tornado 2'!$B$27</c15:f>
                      <c15:dlblFieldTableCache>
                        <c:ptCount val="1"/>
                        <c:pt idx="0">
                          <c:v>$11.00 &amp; $10.00</c:v>
                        </c:pt>
                      </c15:dlblFieldTableCache>
                    </c15:dlblFTEntry>
                  </c15:dlblFieldTable>
                  <c15:showDataLabelsRange val="0"/>
                </c:ext>
                <c:ext xmlns:c16="http://schemas.microsoft.com/office/drawing/2014/chart" uri="{C3380CC4-5D6E-409C-BE32-E72D297353CC}">
                  <c16:uniqueId val="{00000026-A4E5-4C29-98E9-31099516A914}"/>
                </c:ext>
              </c:extLst>
            </c:dLbl>
            <c:dLbl>
              <c:idx val="17"/>
              <c:tx>
                <c:strRef>
                  <c:f>'SensIt Two-Factor Tornado 2'!$B$28</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{0BCCDF4A-EAE5-4F43-B2BD-6137880DCF87}</c15:txfldGUID>
                      <c15:f>'SensIt Two-Factor Tornado 2'!$B$28</c15:f>
                      <c15:dlblFieldTableCache>
                        <c:ptCount val="1"/>
                        <c:pt idx="0">
                          <c:v>$10.00 &amp; $10.00</c:v>
                        </c:pt>
                      </c15:dlblFieldTableCache>
                    </c15:dlblFTEntry>
                  </c15:dlblFieldTable>
                  <c15:showDataLabelsRange val="0"/>
                </c:ext>
                <c:ext xmlns:c16="http://schemas.microsoft.com/office/drawing/2014/chart" uri="{C3380CC4-5D6E-409C-BE32-E72D297353CC}">
                  <c16:uniqueId val="{00000028-A4E5-4C29-98E9-31099516A914}"/>
                </c:ext>
              </c:extLst>
            </c:dLbl>
            <c:dLbl>
              <c:idx val="18"/>
              <c:tx>
                <c:strRef>
                  <c:f>'SensIt Two-Factor Tornado 2'!$B$29</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{043B21B5-5354-4509-918D-F7D95CA900AE}</c15:txfldGUID>
                      <c15:f>'SensIt Two-Factor Tornado 2'!$B$29</c15:f>
                      <c15:dlblFieldTableCache>
                        <c:ptCount val="1"/>
                        <c:pt idx="0">
                          <c:v>$11.00 &amp; $10.00</c:v>
                        </c:pt>
                      </c15:dlblFieldTableCache>
                    </c15:dlblFTEntry>
                  </c15:dlblFieldTable>
                  <c15:showDataLabelsRange val="0"/>
                </c:ext>
                <c:ext xmlns:c16="http://schemas.microsoft.com/office/drawing/2014/chart" uri="{C3380CC4-5D6E-409C-BE32-E72D297353CC}">
                  <c16:uniqueId val="{0000002A-A4E5-4C29-98E9-31099516A914}"/>
                </c:ext>
              </c:extLst>
            </c:dLbl>
            <c:dLbl>
              <c:idx val="19"/>
              <c:tx>
                <c:strRef>
                  <c:f>'SensIt Two-Factor Tornado 2'!$B$30</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{060E72A6-0599-40BA-80BB-5F307E37E5BF}</c15:txfldGUID>
                      <c15:f>'SensIt Two-Factor Tornado 2'!$B$30</c15:f>
                      <c15:dlblFieldTableCache>
                        <c:ptCount val="1"/>
                        <c:pt idx="0">
                          <c:v>$11.00 &amp; $10.00</c:v>
                        </c:pt>
                      </c15:dlblFieldTableCache>
                    </c15:dlblFTEntry>
                  </c15:dlblFieldTable>
                  <c15:showDataLabelsRange val="0"/>
                </c:ext>
                <c:ext xmlns:c16="http://schemas.microsoft.com/office/drawing/2014/chart" uri="{C3380CC4-5D6E-409C-BE32-E72D297353CC}">
                  <c16:uniqueId val="{0000002C-A4E5-4C29-98E9-31099516A914}"/>
                </c:ext>
              </c:extLst>
            </c:dLbl>
            <c:dLbl>
              <c:idx val="20"/>
              <c:tx>
                <c:strRef>
                  <c:f>'SensIt Two-Factor Tornado 2'!$B$31</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{56CE606C-62FF-4EF5-9F55-88C6CB9A238D}</c15:txfldGUID>
                      <c15:f>'SensIt Two-Factor Tornado 2'!$B$31</c15:f>
                      <c15:dlblFieldTableCache>
                        <c:ptCount val="1"/>
                        <c:pt idx="0">
                          <c:v>$10.00 &amp; $10.00</c:v>
                        </c:pt>
                      </c15:dlblFieldTableCache>
                    </c15:dlblFTEntry>
                  </c15:dlblFieldTable>
                  <c15:showDataLabelsRange val="0"/>
                </c:ext>
                <c:ext xmlns:c16="http://schemas.microsoft.com/office/drawing/2014/chart" uri="{C3380CC4-5D6E-409C-BE32-E72D297353CC}">
                  <c16:uniqueId val="{0000002E-A4E5-4C29-98E9-31099516A914}"/>
                </c:ext>
              </c:extLst>
            </c:dLbl>
            <c:dLbl>
              <c:idx val="21"/>
              <c:tx>
                <c:strRef>
                  <c:f>'SensIt Two-Factor Tornado 2'!$B$32</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{81B23863-6CCC-4A81-AD8A-C63EFA5744C0}</c15:txfldGUID>
                      <c15:f>'SensIt Two-Factor Tornado 2'!$B$32</c15:f>
                      <c15:dlblFieldTableCache>
                        <c:ptCount val="1"/>
                        <c:pt idx="0">
                          <c:v>$11.00 &amp; $10.00</c:v>
                        </c:pt>
                      </c15:dlblFieldTableCache>
                    </c15:dlblFTEntry>
                  </c15:dlblFieldTable>
                  <c15:showDataLabelsRange val="0"/>
                </c:ext>
                <c:ext xmlns:c16="http://schemas.microsoft.com/office/drawing/2014/chart" uri="{C3380CC4-5D6E-409C-BE32-E72D297353CC}">
                  <c16:uniqueId val="{00000030-A4E5-4C29-98E9-31099516A914}"/>
                </c:ext>
              </c:extLst>
            </c:dLbl>
            <c:dLbl>
              <c:idx val="22"/>
              <c:tx>
                <c:strRef>
                  <c:f>'SensIt Two-Factor Tornado 2'!$B$33</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{458BE7AE-FBAB-48B2-ABAF-783D752A780C}</c15:txfldGUID>
                      <c15:f>'SensIt Two-Factor Tornado 2'!$B$33</c15:f>
                      <c15:dlblFieldTableCache>
                        <c:ptCount val="1"/>
                        <c:pt idx="0">
                          <c:v>$10.00 &amp; $10.00</c:v>
                        </c:pt>
                      </c15:dlblFieldTableCache>
                    </c15:dlblFTEntry>
                  </c15:dlblFieldTable>
                  <c15:showDataLabelsRange val="0"/>
                </c:ext>
                <c:ext xmlns:c16="http://schemas.microsoft.com/office/drawing/2014/chart" uri="{C3380CC4-5D6E-409C-BE32-E72D297353CC}">
                  <c16:uniqueId val="{00000032-A4E5-4C29-98E9-31099516A914}"/>
                </c:ext>
              </c:extLst>
            </c:dLbl>
            <c:dLbl>
              <c:idx val="23"/>
              <c:tx>
                <c:strRef>
                  <c:f>'SensIt Two-Factor Tornado 2'!$B$34</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{DE27C667-525C-4290-9251-55704C76FAE9}</c15:txfldGUID>
                      <c15:f>'SensIt Two-Factor Tornado 2'!$B$34</c15:f>
                      <c15:dlblFieldTableCache>
                        <c:ptCount val="1"/>
                        <c:pt idx="0">
                          <c:v>$11.00 &amp; $10.00</c:v>
                        </c:pt>
                      </c15:dlblFieldTableCache>
                    </c15:dlblFTEntry>
                  </c15:dlblFieldTable>
                  <c15:showDataLabelsRange val="0"/>
                </c:ext>
                <c:ext xmlns:c16="http://schemas.microsoft.com/office/drawing/2014/chart" uri="{C3380CC4-5D6E-409C-BE32-E72D297353CC}">
                  <c16:uniqueId val="{00000034-A4E5-4C29-98E9-31099516A914}"/>
                </c:ext>
              </c:extLst>
            </c:dLbl>
            <c:dLbl>
              <c:idx val="24"/>
              <c:tx>
                <c:strRef>
                  <c:f>'SensIt Two-Factor Tornado 2'!$B$35</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{76EA2375-C334-4A08-B5D6-C82820292D8A}</c15:txfldGUID>
                      <c15:f>'SensIt Two-Factor Tornado 2'!$B$35</c15:f>
                      <c15:dlblFieldTableCache>
                        <c:ptCount val="1"/>
                        <c:pt idx="0">
                          <c:v>$10.00 &amp; $10.00</c:v>
                        </c:pt>
                      </c15:dlblFieldTableCache>
                    </c15:dlblFTEntry>
                  </c15:dlblFieldTable>
                  <c15:showDataLabelsRange val="0"/>
                </c:ext>
                <c:ext xmlns:c16="http://schemas.microsoft.com/office/drawing/2014/chart" uri="{C3380CC4-5D6E-409C-BE32-E72D297353CC}">
                  <c16:uniqueId val="{00000036-A4E5-4C29-98E9-31099516A914}"/>
                </c:ext>
              </c:extLst>
            </c:dLbl>
            <c:dLbl>
              <c:idx val="25"/>
              <c:tx>
                <c:strRef>
                  <c:f>'SensIt Two-Factor Tornado 2'!$B$36</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{8A2B5C09-4B3D-4F77-9082-DF732B546E42}</c15:txfldGUID>
                      <c15:f>'SensIt Two-Factor Tornado 2'!$B$36</c15:f>
                      <c15:dlblFieldTableCache>
                        <c:ptCount val="1"/>
                        <c:pt idx="0">
                          <c:v>$11.00 &amp; $10.00</c:v>
                        </c:pt>
                      </c15:dlblFieldTableCache>
                    </c15:dlblFTEntry>
                  </c15:dlblFieldTable>
                  <c15:showDataLabelsRange val="0"/>
                </c:ext>
                <c:ext xmlns:c16="http://schemas.microsoft.com/office/drawing/2014/chart" uri="{C3380CC4-5D6E-409C-BE32-E72D297353CC}">
                  <c16:uniqueId val="{00000038-A4E5-4C29-98E9-31099516A914}"/>
                </c:ext>
              </c:extLst>
            </c:dLbl>
            <c:dLbl>
              <c:idx val="26"/>
              <c:tx>
                <c:strRef>
                  <c:f>'SensIt Two-Factor Tornado 2'!$B$37</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{03BF2CE5-AED1-4D4C-AA22-AD16613F841B}</c15:txfldGUID>
                      <c15:f>'SensIt Two-Factor Tornado 2'!$B$37</c15:f>
                      <c15:dlblFieldTableCache>
                        <c:ptCount val="1"/>
                        <c:pt idx="0">
                          <c:v>$10.00 &amp; $10.00</c:v>
                        </c:pt>
                      </c15:dlblFieldTableCache>
                    </c15:dlblFTEntry>
                  </c15:dlblFieldTable>
                  <c15:showDataLabelsRange val="0"/>
                </c:ext>
                <c:ext xmlns:c16="http://schemas.microsoft.com/office/drawing/2014/chart" uri="{C3380CC4-5D6E-409C-BE32-E72D297353CC}">
                  <c16:uniqueId val="{0000003A-A4E5-4C29-98E9-31099516A914}"/>
                </c:ext>
              </c:extLst>
            </c:dLbl>
            <c:dLbl>
              <c:idx val="27"/>
              <c:tx>
                <c:strRef>
                  <c:f>'SensIt Two-Factor Tornado 2'!$B$38</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{26070380-F9B3-4DFC-BC8F-84498BDE397A}</c15:txfldGUID>
                      <c15:f>'SensIt Two-Factor Tornado 2'!$B$38</c15:f>
                      <c15:dlblFieldTableCache>
                        <c:ptCount val="1"/>
                        <c:pt idx="0">
                          <c:v>$10.00 &amp; $10.00</c:v>
                        </c:pt>
                      </c15:dlblFieldTableCache>
                    </c15:dlblFTEntry>
                  </c15:dlblFieldTable>
                  <c15:showDataLabelsRange val="0"/>
                </c:ext>
                <c:ext xmlns:c16="http://schemas.microsoft.com/office/drawing/2014/chart" uri="{C3380CC4-5D6E-409C-BE32-E72D297353CC}">
                  <c16:uniqueId val="{0000003C-A4E5-4C29-98E9-31099516A914}"/>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Two-Factor Tornado 2'!$A$11:$A$38</c:f>
              <c:strCache>
                <c:ptCount val="28"/>
                <c:pt idx="0">
                  <c:v>BR01-07, &amp; BR01-08,</c:v>
                </c:pt>
                <c:pt idx="1">
                  <c:v>BR01-02, &amp; BR01-08,</c:v>
                </c:pt>
                <c:pt idx="2">
                  <c:v>BR01-05, &amp; BR01-08,</c:v>
                </c:pt>
                <c:pt idx="3">
                  <c:v>BR01-01, &amp; BR01-08,</c:v>
                </c:pt>
                <c:pt idx="4">
                  <c:v>BR01-04, &amp; BR01-08,</c:v>
                </c:pt>
                <c:pt idx="5">
                  <c:v>BR01-03, &amp; BR01-08,</c:v>
                </c:pt>
                <c:pt idx="6">
                  <c:v>BR01-06, &amp; BR01-08,</c:v>
                </c:pt>
                <c:pt idx="7">
                  <c:v>BR01-02, &amp; BR01-07,</c:v>
                </c:pt>
                <c:pt idx="8">
                  <c:v>BR01-05, &amp; BR01-07,</c:v>
                </c:pt>
                <c:pt idx="9">
                  <c:v>BR01-01, &amp; BR01-07,</c:v>
                </c:pt>
                <c:pt idx="10">
                  <c:v>BR01-04, &amp; BR01-07,</c:v>
                </c:pt>
                <c:pt idx="11">
                  <c:v>BR01-03, &amp; BR01-07,</c:v>
                </c:pt>
                <c:pt idx="12">
                  <c:v>BR01-06, &amp; BR01-07,</c:v>
                </c:pt>
                <c:pt idx="13">
                  <c:v>BR01-02, &amp; BR01-05,</c:v>
                </c:pt>
                <c:pt idx="14">
                  <c:v>BR01-01, &amp; BR01-02,</c:v>
                </c:pt>
                <c:pt idx="15">
                  <c:v>BR01-01, &amp; BR01-05,</c:v>
                </c:pt>
                <c:pt idx="16">
                  <c:v>BR01-02, &amp; BR01-04,</c:v>
                </c:pt>
                <c:pt idx="17">
                  <c:v>BR01-04, &amp; BR01-05,</c:v>
                </c:pt>
                <c:pt idx="18">
                  <c:v>BR01-01, &amp; BR01-04,</c:v>
                </c:pt>
                <c:pt idx="19">
                  <c:v>BR01-02, &amp; BR01-03,</c:v>
                </c:pt>
                <c:pt idx="20">
                  <c:v>BR01-03, &amp; BR01-05,</c:v>
                </c:pt>
                <c:pt idx="21">
                  <c:v>BR01-02, &amp; BR01-06,</c:v>
                </c:pt>
                <c:pt idx="22">
                  <c:v>BR01-05, &amp; BR01-06,</c:v>
                </c:pt>
                <c:pt idx="23">
                  <c:v>BR01-01, &amp; BR01-03,</c:v>
                </c:pt>
                <c:pt idx="24">
                  <c:v>BR01-03, &amp; BR01-04,</c:v>
                </c:pt>
                <c:pt idx="25">
                  <c:v>BR01-01, &amp; BR01-06,</c:v>
                </c:pt>
                <c:pt idx="26">
                  <c:v>BR01-04, &amp; BR01-06,</c:v>
                </c:pt>
                <c:pt idx="27">
                  <c:v>BR01-03, &amp; BR01-06,</c:v>
                </c:pt>
              </c:strCache>
            </c:strRef>
          </c:cat>
          <c:val>
            <c:numRef>
              <c:f>'SensIt Two-Factor Tornado 2'!$E$11:$E$38</c:f>
              <c:numCache>
                <c:formatCode>"$"#,##0_);[Red]\("$"#,##0\)</c:formatCode>
                <c:ptCount val="28"/>
                <c:pt idx="0">
                  <c:v>475161.84</c:v>
                </c:pt>
                <c:pt idx="1">
                  <c:v>512417.18</c:v>
                </c:pt>
                <c:pt idx="2">
                  <c:v>512652.11</c:v>
                </c:pt>
                <c:pt idx="3">
                  <c:v>513849.31</c:v>
                </c:pt>
                <c:pt idx="4">
                  <c:v>514194.67</c:v>
                </c:pt>
                <c:pt idx="5">
                  <c:v>518020.73</c:v>
                </c:pt>
                <c:pt idx="6">
                  <c:v>518925.53</c:v>
                </c:pt>
                <c:pt idx="7">
                  <c:v>529187.57999999996</c:v>
                </c:pt>
                <c:pt idx="8">
                  <c:v>529422.51</c:v>
                </c:pt>
                <c:pt idx="9">
                  <c:v>530619.71</c:v>
                </c:pt>
                <c:pt idx="10">
                  <c:v>530965.07999999996</c:v>
                </c:pt>
                <c:pt idx="11">
                  <c:v>534791.13</c:v>
                </c:pt>
                <c:pt idx="12">
                  <c:v>535695.93999999994</c:v>
                </c:pt>
                <c:pt idx="13">
                  <c:v>566677.85</c:v>
                </c:pt>
                <c:pt idx="14">
                  <c:v>567875.06000000006</c:v>
                </c:pt>
                <c:pt idx="15">
                  <c:v>568109.99</c:v>
                </c:pt>
                <c:pt idx="16">
                  <c:v>568220.42000000004</c:v>
                </c:pt>
                <c:pt idx="17">
                  <c:v>568455.35</c:v>
                </c:pt>
                <c:pt idx="18">
                  <c:v>569652.55000000005</c:v>
                </c:pt>
                <c:pt idx="19">
                  <c:v>572046.47</c:v>
                </c:pt>
                <c:pt idx="20">
                  <c:v>572281.41</c:v>
                </c:pt>
                <c:pt idx="21">
                  <c:v>572951.28</c:v>
                </c:pt>
                <c:pt idx="22">
                  <c:v>573186.21</c:v>
                </c:pt>
                <c:pt idx="23">
                  <c:v>573478.61</c:v>
                </c:pt>
                <c:pt idx="24">
                  <c:v>573823.97</c:v>
                </c:pt>
                <c:pt idx="25">
                  <c:v>574383.41</c:v>
                </c:pt>
                <c:pt idx="26">
                  <c:v>574728.78</c:v>
                </c:pt>
                <c:pt idx="27">
                  <c:v>578554.82999999996</c:v>
                </c:pt>
              </c:numCache>
            </c:numRef>
          </c:val>
          <c:extLst>
            <c:ext xmlns:c16="http://schemas.microsoft.com/office/drawing/2014/chart" uri="{C3380CC4-5D6E-409C-BE32-E72D297353CC}">
              <c16:uniqueId val="{00000004-A4E5-4C29-98E9-31099516A914}"/>
            </c:ext>
          </c:extLst>
        </c:ser>
        <c:ser>
          <c:idx val="1"/>
          <c:order val="1"/>
          <c:spPr>
            <a:solidFill>
              <a:srgbClr val="000000"/>
            </a:solidFill>
          </c:spPr>
          <c:invertIfNegative val="0"/>
          <c:dLbls>
            <c:dLbl>
              <c:idx val="0"/>
              <c:tx>
                <c:strRef>
                  <c:f>'SensIt Two-Factor Tornado 2'!$D$11</c:f>
                  <c:strCache>
                    <c:ptCount val="1"/>
                    <c:pt idx="0">
                      <c:v>$5.30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{8CDA888D-8011-41BE-9C52-AC8A971241F1}</c15:txfldGUID>
                      <c15:f>'SensIt Two-Factor Tornado 2'!$D$11</c15:f>
                      <c15:dlblFieldTableCache>
                        <c:ptCount val="1"/>
                        <c:pt idx="0">
                          <c:v>$5.30 &amp; $5.30</c:v>
                        </c:pt>
                      </c15:dlblFieldTableCache>
                    </c15:dlblFTEntry>
                  </c15:dlblFieldTable>
                  <c15:showDataLabelsRange val="0"/>
                </c:ext>
                <c:ext xmlns:c16="http://schemas.microsoft.com/office/drawing/2014/chart" uri="{C3380CC4-5D6E-409C-BE32-E72D297353CC}">
                  <c16:uniqueId val="{00000007-A4E5-4C29-98E9-31099516A914}"/>
                </c:ext>
              </c:extLst>
            </c:dLbl>
            <c:dLbl>
              <c:idx val="1"/>
              <c:tx>
                <c:strRef>
                  <c:f>'SensIt Two-Factor Tornado 2'!$D$12</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{8A9B3E14-8FC0-49E6-9A99-673108B14341}</c15:txfldGUID>
                      <c15:f>'SensIt Two-Factor Tornado 2'!$D$12</c15:f>
                      <c15:dlblFieldTableCache>
                        <c:ptCount val="1"/>
                        <c:pt idx="0">
                          <c:v>$8.00 &amp; $5.30</c:v>
                        </c:pt>
                      </c15:dlblFieldTableCache>
                    </c15:dlblFTEntry>
                  </c15:dlblFieldTable>
                  <c15:showDataLabelsRange val="0"/>
                </c:ext>
                <c:ext xmlns:c16="http://schemas.microsoft.com/office/drawing/2014/chart" uri="{C3380CC4-5D6E-409C-BE32-E72D297353CC}">
                  <c16:uniqueId val="{00000009-A4E5-4C29-98E9-31099516A914}"/>
                </c:ext>
              </c:extLst>
            </c:dLbl>
            <c:dLbl>
              <c:idx val="2"/>
              <c:tx>
                <c:strRef>
                  <c:f>'SensIt Two-Factor Tornado 2'!$D$13</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{4C329B6B-9996-4BCE-A103-4B1747DE80CD}</c15:txfldGUID>
                      <c15:f>'SensIt Two-Factor Tornado 2'!$D$13</c15:f>
                      <c15:dlblFieldTableCache>
                        <c:ptCount val="1"/>
                        <c:pt idx="0">
                          <c:v>$7.50 &amp; $5.30</c:v>
                        </c:pt>
                      </c15:dlblFieldTableCache>
                    </c15:dlblFTEntry>
                  </c15:dlblFieldTable>
                  <c15:showDataLabelsRange val="0"/>
                </c:ext>
                <c:ext xmlns:c16="http://schemas.microsoft.com/office/drawing/2014/chart" uri="{C3380CC4-5D6E-409C-BE32-E72D297353CC}">
                  <c16:uniqueId val="{0000000B-A4E5-4C29-98E9-31099516A914}"/>
                </c:ext>
              </c:extLst>
            </c:dLbl>
            <c:dLbl>
              <c:idx val="3"/>
              <c:tx>
                <c:strRef>
                  <c:f>'SensIt Two-Factor Tornado 2'!$D$14</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{BEEA3D36-46B8-440D-9468-E631513BFD4F}</c15:txfldGUID>
                      <c15:f>'SensIt Two-Factor Tornado 2'!$D$14</c15:f>
                      <c15:dlblFieldTableCache>
                        <c:ptCount val="1"/>
                        <c:pt idx="0">
                          <c:v>$8.00 &amp; $5.30</c:v>
                        </c:pt>
                      </c15:dlblFieldTableCache>
                    </c15:dlblFTEntry>
                  </c15:dlblFieldTable>
                  <c15:showDataLabelsRange val="0"/>
                </c:ext>
                <c:ext xmlns:c16="http://schemas.microsoft.com/office/drawing/2014/chart" uri="{C3380CC4-5D6E-409C-BE32-E72D297353CC}">
                  <c16:uniqueId val="{0000000D-A4E5-4C29-98E9-31099516A914}"/>
                </c:ext>
              </c:extLst>
            </c:dLbl>
            <c:dLbl>
              <c:idx val="4"/>
              <c:tx>
                <c:strRef>
                  <c:f>'SensIt Two-Factor Tornado 2'!$D$15</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{D66EE28C-ED41-47D6-B0F4-87B5BBAECD00}</c15:txfldGUID>
                      <c15:f>'SensIt Two-Factor Tornado 2'!$D$15</c15:f>
                      <c15:dlblFieldTableCache>
                        <c:ptCount val="1"/>
                        <c:pt idx="0">
                          <c:v>$7.50 &amp; $5.30</c:v>
                        </c:pt>
                      </c15:dlblFieldTableCache>
                    </c15:dlblFTEntry>
                  </c15:dlblFieldTable>
                  <c15:showDataLabelsRange val="0"/>
                </c:ext>
                <c:ext xmlns:c16="http://schemas.microsoft.com/office/drawing/2014/chart" uri="{C3380CC4-5D6E-409C-BE32-E72D297353CC}">
                  <c16:uniqueId val="{0000000F-A4E5-4C29-98E9-31099516A914}"/>
                </c:ext>
              </c:extLst>
            </c:dLbl>
            <c:dLbl>
              <c:idx val="5"/>
              <c:tx>
                <c:strRef>
                  <c:f>'SensIt Two-Factor Tornado 2'!$D$16</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{2BF07A42-97D6-4C5A-83FC-462A2A8B13FA}</c15:txfldGUID>
                      <c15:f>'SensIt Two-Factor Tornado 2'!$D$16</c15:f>
                      <c15:dlblFieldTableCache>
                        <c:ptCount val="1"/>
                        <c:pt idx="0">
                          <c:v>$7.50 &amp; $5.30</c:v>
                        </c:pt>
                      </c15:dlblFieldTableCache>
                    </c15:dlblFTEntry>
                  </c15:dlblFieldTable>
                  <c15:showDataLabelsRange val="0"/>
                </c:ext>
                <c:ext xmlns:c16="http://schemas.microsoft.com/office/drawing/2014/chart" uri="{C3380CC4-5D6E-409C-BE32-E72D297353CC}">
                  <c16:uniqueId val="{00000011-A4E5-4C29-98E9-31099516A914}"/>
                </c:ext>
              </c:extLst>
            </c:dLbl>
            <c:dLbl>
              <c:idx val="6"/>
              <c:tx>
                <c:strRef>
                  <c:f>'SensIt Two-Factor Tornado 2'!$D$17</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{F35726D6-D4FE-4845-800D-731063EA9EA9}</c15:txfldGUID>
                      <c15:f>'SensIt Two-Factor Tornado 2'!$D$17</c15:f>
                      <c15:dlblFieldTableCache>
                        <c:ptCount val="1"/>
                        <c:pt idx="0">
                          <c:v>$7.50 &amp; $5.30</c:v>
                        </c:pt>
                      </c15:dlblFieldTableCache>
                    </c15:dlblFTEntry>
                  </c15:dlblFieldTable>
                  <c15:showDataLabelsRange val="0"/>
                </c:ext>
                <c:ext xmlns:c16="http://schemas.microsoft.com/office/drawing/2014/chart" uri="{C3380CC4-5D6E-409C-BE32-E72D297353CC}">
                  <c16:uniqueId val="{00000013-A4E5-4C29-98E9-31099516A914}"/>
                </c:ext>
              </c:extLst>
            </c:dLbl>
            <c:dLbl>
              <c:idx val="7"/>
              <c:tx>
                <c:strRef>
                  <c:f>'SensIt Two-Factor Tornado 2'!$D$18</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{9EC3E4E0-E8DB-4F50-9EE2-32DE89B5C338}</c15:txfldGUID>
                      <c15:f>'SensIt Two-Factor Tornado 2'!$D$18</c15:f>
                      <c15:dlblFieldTableCache>
                        <c:ptCount val="1"/>
                        <c:pt idx="0">
                          <c:v>$8.00 &amp; $5.30</c:v>
                        </c:pt>
                      </c15:dlblFieldTableCache>
                    </c15:dlblFTEntry>
                  </c15:dlblFieldTable>
                  <c15:showDataLabelsRange val="0"/>
                </c:ext>
                <c:ext xmlns:c16="http://schemas.microsoft.com/office/drawing/2014/chart" uri="{C3380CC4-5D6E-409C-BE32-E72D297353CC}">
                  <c16:uniqueId val="{00000015-A4E5-4C29-98E9-31099516A914}"/>
                </c:ext>
              </c:extLst>
            </c:dLbl>
            <c:dLbl>
              <c:idx val="8"/>
              <c:tx>
                <c:strRef>
                  <c:f>'SensIt Two-Factor Tornado 2'!$D$19</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{A5EC5F1E-FE33-4A0B-8215-98E4E4669090}</c15:txfldGUID>
                      <c15:f>'SensIt Two-Factor Tornado 2'!$D$19</c15:f>
                      <c15:dlblFieldTableCache>
                        <c:ptCount val="1"/>
                        <c:pt idx="0">
                          <c:v>$7.50 &amp; $5.30</c:v>
                        </c:pt>
                      </c15:dlblFieldTableCache>
                    </c15:dlblFTEntry>
                  </c15:dlblFieldTable>
                  <c15:showDataLabelsRange val="0"/>
                </c:ext>
                <c:ext xmlns:c16="http://schemas.microsoft.com/office/drawing/2014/chart" uri="{C3380CC4-5D6E-409C-BE32-E72D297353CC}">
                  <c16:uniqueId val="{00000017-A4E5-4C29-98E9-31099516A914}"/>
                </c:ext>
              </c:extLst>
            </c:dLbl>
            <c:dLbl>
              <c:idx val="9"/>
              <c:tx>
                <c:strRef>
                  <c:f>'SensIt Two-Factor Tornado 2'!$D$20</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{4BA537CF-B3C0-4EF6-8C99-61BE7EDC2C53}</c15:txfldGUID>
                      <c15:f>'SensIt Two-Factor Tornado 2'!$D$20</c15:f>
                      <c15:dlblFieldTableCache>
                        <c:ptCount val="1"/>
                        <c:pt idx="0">
                          <c:v>$8.00 &amp; $5.30</c:v>
                        </c:pt>
                      </c15:dlblFieldTableCache>
                    </c15:dlblFTEntry>
                  </c15:dlblFieldTable>
                  <c15:showDataLabelsRange val="0"/>
                </c:ext>
                <c:ext xmlns:c16="http://schemas.microsoft.com/office/drawing/2014/chart" uri="{C3380CC4-5D6E-409C-BE32-E72D297353CC}">
                  <c16:uniqueId val="{00000019-A4E5-4C29-98E9-31099516A914}"/>
                </c:ext>
              </c:extLst>
            </c:dLbl>
            <c:dLbl>
              <c:idx val="10"/>
              <c:tx>
                <c:strRef>
                  <c:f>'SensIt Two-Factor Tornado 2'!$D$21</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{7346D870-3C5A-4792-AAE1-01592B237B39}</c15:txfldGUID>
                      <c15:f>'SensIt Two-Factor Tornado 2'!$D$21</c15:f>
                      <c15:dlblFieldTableCache>
                        <c:ptCount val="1"/>
                        <c:pt idx="0">
                          <c:v>$7.50 &amp; $5.30</c:v>
                        </c:pt>
                      </c15:dlblFieldTableCache>
                    </c15:dlblFTEntry>
                  </c15:dlblFieldTable>
                  <c15:showDataLabelsRange val="0"/>
                </c:ext>
                <c:ext xmlns:c16="http://schemas.microsoft.com/office/drawing/2014/chart" uri="{C3380CC4-5D6E-409C-BE32-E72D297353CC}">
                  <c16:uniqueId val="{0000001B-A4E5-4C29-98E9-31099516A914}"/>
                </c:ext>
              </c:extLst>
            </c:dLbl>
            <c:dLbl>
              <c:idx val="11"/>
              <c:tx>
                <c:strRef>
                  <c:f>'SensIt Two-Factor Tornado 2'!$D$22</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{431A1139-CDC3-4FAB-BE7D-CDB3E51EE1D6}</c15:txfldGUID>
                      <c15:f>'SensIt Two-Factor Tornado 2'!$D$22</c15:f>
                      <c15:dlblFieldTableCache>
                        <c:ptCount val="1"/>
                        <c:pt idx="0">
                          <c:v>$7.50 &amp; $5.30</c:v>
                        </c:pt>
                      </c15:dlblFieldTableCache>
                    </c15:dlblFTEntry>
                  </c15:dlblFieldTable>
                  <c15:showDataLabelsRange val="0"/>
                </c:ext>
                <c:ext xmlns:c16="http://schemas.microsoft.com/office/drawing/2014/chart" uri="{C3380CC4-5D6E-409C-BE32-E72D297353CC}">
                  <c16:uniqueId val="{0000001D-A4E5-4C29-98E9-31099516A914}"/>
                </c:ext>
              </c:extLst>
            </c:dLbl>
            <c:dLbl>
              <c:idx val="12"/>
              <c:tx>
                <c:strRef>
                  <c:f>'SensIt Two-Factor Tornado 2'!$D$23</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{6DCD60CF-B424-48EF-9639-4988EAA1FE57}</c15:txfldGUID>
                      <c15:f>'SensIt Two-Factor Tornado 2'!$D$23</c15:f>
                      <c15:dlblFieldTableCache>
                        <c:ptCount val="1"/>
                        <c:pt idx="0">
                          <c:v>$7.50 &amp; $5.30</c:v>
                        </c:pt>
                      </c15:dlblFieldTableCache>
                    </c15:dlblFTEntry>
                  </c15:dlblFieldTable>
                  <c15:showDataLabelsRange val="0"/>
                </c:ext>
                <c:ext xmlns:c16="http://schemas.microsoft.com/office/drawing/2014/chart" uri="{C3380CC4-5D6E-409C-BE32-E72D297353CC}">
                  <c16:uniqueId val="{0000001F-A4E5-4C29-98E9-31099516A914}"/>
                </c:ext>
              </c:extLst>
            </c:dLbl>
            <c:dLbl>
              <c:idx val="13"/>
              <c:tx>
                <c:strRef>
                  <c:f>'SensIt Two-Factor Tornado 2'!$D$24</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{6B9FBF13-9145-4B38-AD25-3E586239220A}</c15:txfldGUID>
                      <c15:f>'SensIt Two-Factor Tornado 2'!$D$24</c15:f>
                      <c15:dlblFieldTableCache>
                        <c:ptCount val="1"/>
                        <c:pt idx="0">
                          <c:v>$8.00 &amp; $7.50</c:v>
                        </c:pt>
                      </c15:dlblFieldTableCache>
                    </c15:dlblFTEntry>
                  </c15:dlblFieldTable>
                  <c15:showDataLabelsRange val="0"/>
                </c:ext>
                <c:ext xmlns:c16="http://schemas.microsoft.com/office/drawing/2014/chart" uri="{C3380CC4-5D6E-409C-BE32-E72D297353CC}">
                  <c16:uniqueId val="{00000021-A4E5-4C29-98E9-31099516A914}"/>
                </c:ext>
              </c:extLst>
            </c:dLbl>
            <c:dLbl>
              <c:idx val="14"/>
              <c:tx>
                <c:strRef>
                  <c:f>'SensIt Two-Factor Tornado 2'!$D$25</c:f>
                  <c:strCache>
                    <c:ptCount val="1"/>
                    <c:pt idx="0">
                      <c:v>$8.00 &amp; $8.00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{DF2740CF-2509-41FD-BBD8-459240A5E0CE}</c15:txfldGUID>
                      <c15:f>'SensIt Two-Factor Tornado 2'!$D$25</c15:f>
                      <c15:dlblFieldTableCache>
                        <c:ptCount val="1"/>
                        <c:pt idx="0">
                          <c:v>$8.00 &amp; $8.00</c:v>
                        </c:pt>
                      </c15:dlblFieldTableCache>
                    </c15:dlblFTEntry>
                  </c15:dlblFieldTable>
                  <c15:showDataLabelsRange val="0"/>
                </c:ext>
                <c:ext xmlns:c16="http://schemas.microsoft.com/office/drawing/2014/chart" uri="{C3380CC4-5D6E-409C-BE32-E72D297353CC}">
                  <c16:uniqueId val="{00000023-A4E5-4C29-98E9-31099516A914}"/>
                </c:ext>
              </c:extLst>
            </c:dLbl>
            <c:dLbl>
              <c:idx val="15"/>
              <c:tx>
                <c:strRef>
                  <c:f>'SensIt Two-Factor Tornado 2'!$D$26</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{18475366-1CBC-41B7-A124-AC81037745B0}</c15:txfldGUID>
                      <c15:f>'SensIt Two-Factor Tornado 2'!$D$26</c15:f>
                      <c15:dlblFieldTableCache>
                        <c:ptCount val="1"/>
                        <c:pt idx="0">
                          <c:v>$8.00 &amp; $7.50</c:v>
                        </c:pt>
                      </c15:dlblFieldTableCache>
                    </c15:dlblFTEntry>
                  </c15:dlblFieldTable>
                  <c15:showDataLabelsRange val="0"/>
                </c:ext>
                <c:ext xmlns:c16="http://schemas.microsoft.com/office/drawing/2014/chart" uri="{C3380CC4-5D6E-409C-BE32-E72D297353CC}">
                  <c16:uniqueId val="{00000025-A4E5-4C29-98E9-31099516A914}"/>
                </c:ext>
              </c:extLst>
            </c:dLbl>
            <c:dLbl>
              <c:idx val="16"/>
              <c:tx>
                <c:strRef>
                  <c:f>'SensIt Two-Factor Tornado 2'!$D$27</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{C2052F89-E372-466E-B902-C2CB9FAB3787}</c15:txfldGUID>
                      <c15:f>'SensIt Two-Factor Tornado 2'!$D$27</c15:f>
                      <c15:dlblFieldTableCache>
                        <c:ptCount val="1"/>
                        <c:pt idx="0">
                          <c:v>$8.00 &amp; $7.50</c:v>
                        </c:pt>
                      </c15:dlblFieldTableCache>
                    </c15:dlblFTEntry>
                  </c15:dlblFieldTable>
                  <c15:showDataLabelsRange val="0"/>
                </c:ext>
                <c:ext xmlns:c16="http://schemas.microsoft.com/office/drawing/2014/chart" uri="{C3380CC4-5D6E-409C-BE32-E72D297353CC}">
                  <c16:uniqueId val="{00000027-A4E5-4C29-98E9-31099516A914}"/>
                </c:ext>
              </c:extLst>
            </c:dLbl>
            <c:dLbl>
              <c:idx val="17"/>
              <c:tx>
                <c:strRef>
                  <c:f>'SensIt Two-Factor Tornado 2'!$D$28</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{0858657D-D79D-40C5-9F51-DFA7CDE25A51}</c15:txfldGUID>
                      <c15:f>'SensIt Two-Factor Tornado 2'!$D$28</c15:f>
                      <c15:dlblFieldTableCache>
                        <c:ptCount val="1"/>
                        <c:pt idx="0">
                          <c:v>$7.50 &amp; $7.50</c:v>
                        </c:pt>
                      </c15:dlblFieldTableCache>
                    </c15:dlblFTEntry>
                  </c15:dlblFieldTable>
                  <c15:showDataLabelsRange val="0"/>
                </c:ext>
                <c:ext xmlns:c16="http://schemas.microsoft.com/office/drawing/2014/chart" uri="{C3380CC4-5D6E-409C-BE32-E72D297353CC}">
                  <c16:uniqueId val="{00000029-A4E5-4C29-98E9-31099516A914}"/>
                </c:ext>
              </c:extLst>
            </c:dLbl>
            <c:dLbl>
              <c:idx val="18"/>
              <c:tx>
                <c:strRef>
                  <c:f>'SensIt Two-Factor Tornado 2'!$D$29</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{D97DDCD7-83E3-4C0F-8893-F331B93F4AC8}</c15:txfldGUID>
                      <c15:f>'SensIt Two-Factor Tornado 2'!$D$29</c15:f>
                      <c15:dlblFieldTableCache>
                        <c:ptCount val="1"/>
                        <c:pt idx="0">
                          <c:v>$8.00 &amp; $7.50</c:v>
                        </c:pt>
                      </c15:dlblFieldTableCache>
                    </c15:dlblFTEntry>
                  </c15:dlblFieldTable>
                  <c15:showDataLabelsRange val="0"/>
                </c:ext>
                <c:ext xmlns:c16="http://schemas.microsoft.com/office/drawing/2014/chart" uri="{C3380CC4-5D6E-409C-BE32-E72D297353CC}">
                  <c16:uniqueId val="{0000002B-A4E5-4C29-98E9-31099516A914}"/>
                </c:ext>
              </c:extLst>
            </c:dLbl>
            <c:dLbl>
              <c:idx val="19"/>
              <c:tx>
                <c:strRef>
                  <c:f>'SensIt Two-Factor Tornado 2'!$D$30</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{371B8D05-16B9-4E5C-A5DE-87926008D048}</c15:txfldGUID>
                      <c15:f>'SensIt Two-Factor Tornado 2'!$D$30</c15:f>
                      <c15:dlblFieldTableCache>
                        <c:ptCount val="1"/>
                        <c:pt idx="0">
                          <c:v>$8.00 &amp; $7.50</c:v>
                        </c:pt>
                      </c15:dlblFieldTableCache>
                    </c15:dlblFTEntry>
                  </c15:dlblFieldTable>
                  <c15:showDataLabelsRange val="0"/>
                </c:ext>
                <c:ext xmlns:c16="http://schemas.microsoft.com/office/drawing/2014/chart" uri="{C3380CC4-5D6E-409C-BE32-E72D297353CC}">
                  <c16:uniqueId val="{0000002D-A4E5-4C29-98E9-31099516A914}"/>
                </c:ext>
              </c:extLst>
            </c:dLbl>
            <c:dLbl>
              <c:idx val="20"/>
              <c:tx>
                <c:strRef>
                  <c:f>'SensIt Two-Factor Tornado 2'!$D$31</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{375277DA-6D40-4FA0-BEE9-ACC4F18A9B85}</c15:txfldGUID>
                      <c15:f>'SensIt Two-Factor Tornado 2'!$D$31</c15:f>
                      <c15:dlblFieldTableCache>
                        <c:ptCount val="1"/>
                        <c:pt idx="0">
                          <c:v>$7.50 &amp; $7.50</c:v>
                        </c:pt>
                      </c15:dlblFieldTableCache>
                    </c15:dlblFTEntry>
                  </c15:dlblFieldTable>
                  <c15:showDataLabelsRange val="0"/>
                </c:ext>
                <c:ext xmlns:c16="http://schemas.microsoft.com/office/drawing/2014/chart" uri="{C3380CC4-5D6E-409C-BE32-E72D297353CC}">
                  <c16:uniqueId val="{0000002F-A4E5-4C29-98E9-31099516A914}"/>
                </c:ext>
              </c:extLst>
            </c:dLbl>
            <c:dLbl>
              <c:idx val="21"/>
              <c:tx>
                <c:strRef>
                  <c:f>'SensIt Two-Factor Tornado 2'!$D$32</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{3B39B51B-205A-49B4-9D0D-33CD8A81C40D}</c15:txfldGUID>
                      <c15:f>'SensIt Two-Factor Tornado 2'!$D$32</c15:f>
                      <c15:dlblFieldTableCache>
                        <c:ptCount val="1"/>
                        <c:pt idx="0">
                          <c:v>$8.00 &amp; $7.50</c:v>
                        </c:pt>
                      </c15:dlblFieldTableCache>
                    </c15:dlblFTEntry>
                  </c15:dlblFieldTable>
                  <c15:showDataLabelsRange val="0"/>
                </c:ext>
                <c:ext xmlns:c16="http://schemas.microsoft.com/office/drawing/2014/chart" uri="{C3380CC4-5D6E-409C-BE32-E72D297353CC}">
                  <c16:uniqueId val="{00000031-A4E5-4C29-98E9-31099516A914}"/>
                </c:ext>
              </c:extLst>
            </c:dLbl>
            <c:dLbl>
              <c:idx val="22"/>
              <c:tx>
                <c:strRef>
                  <c:f>'SensIt Two-Factor Tornado 2'!$D$33</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{6E7E25D2-5DCB-4159-97B8-242AB0DC468F}</c15:txfldGUID>
                      <c15:f>'SensIt Two-Factor Tornado 2'!$D$33</c15:f>
                      <c15:dlblFieldTableCache>
                        <c:ptCount val="1"/>
                        <c:pt idx="0">
                          <c:v>$7.50 &amp; $7.50</c:v>
                        </c:pt>
                      </c15:dlblFieldTableCache>
                    </c15:dlblFTEntry>
                  </c15:dlblFieldTable>
                  <c15:showDataLabelsRange val="0"/>
                </c:ext>
                <c:ext xmlns:c16="http://schemas.microsoft.com/office/drawing/2014/chart" uri="{C3380CC4-5D6E-409C-BE32-E72D297353CC}">
                  <c16:uniqueId val="{00000033-A4E5-4C29-98E9-31099516A914}"/>
                </c:ext>
              </c:extLst>
            </c:dLbl>
            <c:dLbl>
              <c:idx val="23"/>
              <c:tx>
                <c:strRef>
                  <c:f>'SensIt Two-Factor Tornado 2'!$D$34</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{1E567E87-318F-4416-815B-DAA25CF62B07}</c15:txfldGUID>
                      <c15:f>'SensIt Two-Factor Tornado 2'!$D$34</c15:f>
                      <c15:dlblFieldTableCache>
                        <c:ptCount val="1"/>
                        <c:pt idx="0">
                          <c:v>$8.00 &amp; $7.50</c:v>
                        </c:pt>
                      </c15:dlblFieldTableCache>
                    </c15:dlblFTEntry>
                  </c15:dlblFieldTable>
                  <c15:showDataLabelsRange val="0"/>
                </c:ext>
                <c:ext xmlns:c16="http://schemas.microsoft.com/office/drawing/2014/chart" uri="{C3380CC4-5D6E-409C-BE32-E72D297353CC}">
                  <c16:uniqueId val="{00000035-A4E5-4C29-98E9-31099516A914}"/>
                </c:ext>
              </c:extLst>
            </c:dLbl>
            <c:dLbl>
              <c:idx val="24"/>
              <c:tx>
                <c:strRef>
                  <c:f>'SensIt Two-Factor Tornado 2'!$D$35</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{45FE8668-72E8-49FB-8696-1CCBC6E51000}</c15:txfldGUID>
                      <c15:f>'SensIt Two-Factor Tornado 2'!$D$35</c15:f>
                      <c15:dlblFieldTableCache>
                        <c:ptCount val="1"/>
                        <c:pt idx="0">
                          <c:v>$7.50 &amp; $7.50</c:v>
                        </c:pt>
                      </c15:dlblFieldTableCache>
                    </c15:dlblFTEntry>
                  </c15:dlblFieldTable>
                  <c15:showDataLabelsRange val="0"/>
                </c:ext>
                <c:ext xmlns:c16="http://schemas.microsoft.com/office/drawing/2014/chart" uri="{C3380CC4-5D6E-409C-BE32-E72D297353CC}">
                  <c16:uniqueId val="{00000037-A4E5-4C29-98E9-31099516A914}"/>
                </c:ext>
              </c:extLst>
            </c:dLbl>
            <c:dLbl>
              <c:idx val="25"/>
              <c:tx>
                <c:strRef>
                  <c:f>'SensIt Two-Factor Tornado 2'!$D$36</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{35698410-B138-41A8-B9F7-6151310D26C2}</c15:txfldGUID>
                      <c15:f>'SensIt Two-Factor Tornado 2'!$D$36</c15:f>
                      <c15:dlblFieldTableCache>
                        <c:ptCount val="1"/>
                        <c:pt idx="0">
                          <c:v>$8.00 &amp; $7.50</c:v>
                        </c:pt>
                      </c15:dlblFieldTableCache>
                    </c15:dlblFTEntry>
                  </c15:dlblFieldTable>
                  <c15:showDataLabelsRange val="0"/>
                </c:ext>
                <c:ext xmlns:c16="http://schemas.microsoft.com/office/drawing/2014/chart" uri="{C3380CC4-5D6E-409C-BE32-E72D297353CC}">
                  <c16:uniqueId val="{00000039-A4E5-4C29-98E9-31099516A914}"/>
                </c:ext>
              </c:extLst>
            </c:dLbl>
            <c:dLbl>
              <c:idx val="26"/>
              <c:tx>
                <c:strRef>
                  <c:f>'SensIt Two-Factor Tornado 2'!$D$37</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{8F2CC9FB-EFCB-47AB-AC36-9C7DE5EC6875}</c15:txfldGUID>
                      <c15:f>'SensIt Two-Factor Tornado 2'!$D$37</c15:f>
                      <c15:dlblFieldTableCache>
                        <c:ptCount val="1"/>
                        <c:pt idx="0">
                          <c:v>$7.50 &amp; $7.50</c:v>
                        </c:pt>
                      </c15:dlblFieldTableCache>
                    </c15:dlblFTEntry>
                  </c15:dlblFieldTable>
                  <c15:showDataLabelsRange val="0"/>
                </c:ext>
                <c:ext xmlns:c16="http://schemas.microsoft.com/office/drawing/2014/chart" uri="{C3380CC4-5D6E-409C-BE32-E72D297353CC}">
                  <c16:uniqueId val="{0000003B-A4E5-4C29-98E9-31099516A914}"/>
                </c:ext>
              </c:extLst>
            </c:dLbl>
            <c:dLbl>
              <c:idx val="27"/>
              <c:tx>
                <c:strRef>
                  <c:f>'SensIt Two-Factor Tornado 2'!$D$38</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{0B595165-6B10-425A-B5B9-325BE577CB38}</c15:txfldGUID>
                      <c15:f>'SensIt Two-Factor Tornado 2'!$D$38</c15:f>
                      <c15:dlblFieldTableCache>
                        <c:ptCount val="1"/>
                        <c:pt idx="0">
                          <c:v>$7.50 &amp; $7.50</c:v>
                        </c:pt>
                      </c15:dlblFieldTableCache>
                    </c15:dlblFTEntry>
                  </c15:dlblFieldTable>
                  <c15:showDataLabelsRange val="0"/>
                </c:ext>
                <c:ext xmlns:c16="http://schemas.microsoft.com/office/drawing/2014/chart" uri="{C3380CC4-5D6E-409C-BE32-E72D297353CC}">
                  <c16:uniqueId val="{0000003D-A4E5-4C29-98E9-31099516A914}"/>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Two-Factor Tornado 2'!$A$11:$A$38</c:f>
              <c:strCache>
                <c:ptCount val="28"/>
                <c:pt idx="0">
                  <c:v>BR01-07, &amp; BR01-08,</c:v>
                </c:pt>
                <c:pt idx="1">
                  <c:v>BR01-02, &amp; BR01-08,</c:v>
                </c:pt>
                <c:pt idx="2">
                  <c:v>BR01-05, &amp; BR01-08,</c:v>
                </c:pt>
                <c:pt idx="3">
                  <c:v>BR01-01, &amp; BR01-08,</c:v>
                </c:pt>
                <c:pt idx="4">
                  <c:v>BR01-04, &amp; BR01-08,</c:v>
                </c:pt>
                <c:pt idx="5">
                  <c:v>BR01-03, &amp; BR01-08,</c:v>
                </c:pt>
                <c:pt idx="6">
                  <c:v>BR01-06, &amp; BR01-08,</c:v>
                </c:pt>
                <c:pt idx="7">
                  <c:v>BR01-02, &amp; BR01-07,</c:v>
                </c:pt>
                <c:pt idx="8">
                  <c:v>BR01-05, &amp; BR01-07,</c:v>
                </c:pt>
                <c:pt idx="9">
                  <c:v>BR01-01, &amp; BR01-07,</c:v>
                </c:pt>
                <c:pt idx="10">
                  <c:v>BR01-04, &amp; BR01-07,</c:v>
                </c:pt>
                <c:pt idx="11">
                  <c:v>BR01-03, &amp; BR01-07,</c:v>
                </c:pt>
                <c:pt idx="12">
                  <c:v>BR01-06, &amp; BR01-07,</c:v>
                </c:pt>
                <c:pt idx="13">
                  <c:v>BR01-02, &amp; BR01-05,</c:v>
                </c:pt>
                <c:pt idx="14">
                  <c:v>BR01-01, &amp; BR01-02,</c:v>
                </c:pt>
                <c:pt idx="15">
                  <c:v>BR01-01, &amp; BR01-05,</c:v>
                </c:pt>
                <c:pt idx="16">
                  <c:v>BR01-02, &amp; BR01-04,</c:v>
                </c:pt>
                <c:pt idx="17">
                  <c:v>BR01-04, &amp; BR01-05,</c:v>
                </c:pt>
                <c:pt idx="18">
                  <c:v>BR01-01, &amp; BR01-04,</c:v>
                </c:pt>
                <c:pt idx="19">
                  <c:v>BR01-02, &amp; BR01-03,</c:v>
                </c:pt>
                <c:pt idx="20">
                  <c:v>BR01-03, &amp; BR01-05,</c:v>
                </c:pt>
                <c:pt idx="21">
                  <c:v>BR01-02, &amp; BR01-06,</c:v>
                </c:pt>
                <c:pt idx="22">
                  <c:v>BR01-05, &amp; BR01-06,</c:v>
                </c:pt>
                <c:pt idx="23">
                  <c:v>BR01-01, &amp; BR01-03,</c:v>
                </c:pt>
                <c:pt idx="24">
                  <c:v>BR01-03, &amp; BR01-04,</c:v>
                </c:pt>
                <c:pt idx="25">
                  <c:v>BR01-01, &amp; BR01-06,</c:v>
                </c:pt>
                <c:pt idx="26">
                  <c:v>BR01-04, &amp; BR01-06,</c:v>
                </c:pt>
                <c:pt idx="27">
                  <c:v>BR01-03, &amp; BR01-06,</c:v>
                </c:pt>
              </c:strCache>
            </c:strRef>
          </c:cat>
          <c:val>
            <c:numRef>
              <c:f>'SensIt Two-Factor Tornado 2'!$G$11:$G$38</c:f>
              <c:numCache>
                <c:formatCode>"$"#,##0_);[Red]\("$"#,##0\)</c:formatCode>
                <c:ptCount val="28"/>
                <c:pt idx="0">
                  <c:v>704351.99</c:v>
                </c:pt>
                <c:pt idx="1">
                  <c:v>661002.74</c:v>
                </c:pt>
                <c:pt idx="2">
                  <c:v>661002.74</c:v>
                </c:pt>
                <c:pt idx="3">
                  <c:v>661002.74</c:v>
                </c:pt>
                <c:pt idx="4">
                  <c:v>661002.74</c:v>
                </c:pt>
                <c:pt idx="5">
                  <c:v>661002.74</c:v>
                </c:pt>
                <c:pt idx="6">
                  <c:v>661002.74</c:v>
                </c:pt>
                <c:pt idx="7">
                  <c:v>648117.01</c:v>
                </c:pt>
                <c:pt idx="8">
                  <c:v>648117.01</c:v>
                </c:pt>
                <c:pt idx="9">
                  <c:v>648117.01</c:v>
                </c:pt>
                <c:pt idx="10">
                  <c:v>648117.01</c:v>
                </c:pt>
                <c:pt idx="11">
                  <c:v>648117.01</c:v>
                </c:pt>
                <c:pt idx="12">
                  <c:v>648117.01</c:v>
                </c:pt>
                <c:pt idx="13">
                  <c:v>604767.77</c:v>
                </c:pt>
                <c:pt idx="14">
                  <c:v>604767.77</c:v>
                </c:pt>
                <c:pt idx="15">
                  <c:v>604767.77</c:v>
                </c:pt>
                <c:pt idx="16">
                  <c:v>604767.77</c:v>
                </c:pt>
                <c:pt idx="17">
                  <c:v>604767.77</c:v>
                </c:pt>
                <c:pt idx="18">
                  <c:v>604767.77</c:v>
                </c:pt>
                <c:pt idx="19">
                  <c:v>604767.77</c:v>
                </c:pt>
                <c:pt idx="20">
                  <c:v>604767.77</c:v>
                </c:pt>
                <c:pt idx="21">
                  <c:v>604767.77</c:v>
                </c:pt>
                <c:pt idx="22">
                  <c:v>604767.77</c:v>
                </c:pt>
                <c:pt idx="23">
                  <c:v>604767.77</c:v>
                </c:pt>
                <c:pt idx="24">
                  <c:v>604767.77</c:v>
                </c:pt>
                <c:pt idx="25">
                  <c:v>604767.77</c:v>
                </c:pt>
                <c:pt idx="26">
                  <c:v>604767.77</c:v>
                </c:pt>
                <c:pt idx="27">
                  <c:v>604767.77</c:v>
                </c:pt>
              </c:numCache>
            </c:numRef>
          </c:val>
          <c:extLst>
            <c:ext xmlns:c16="http://schemas.microsoft.com/office/drawing/2014/chart" uri="{C3380CC4-5D6E-409C-BE32-E72D297353CC}">
              <c16:uniqueId val="{00000005-A4E5-4C29-98E9-31099516A914}"/>
            </c:ext>
          </c:extLst>
        </c:ser>
        <c:dLbls>
          <c:showLegendKey val="0"/>
          <c:showVal val="0"/>
          <c:showCatName val="0"/>
          <c:showSerName val="0"/>
          <c:showPercent val="0"/>
          <c:showBubbleSize val="0"/>
        </c:dLbls>
        <c:gapWidth val="200"/>
        <c:overlap val="100"/>
        <c:axId val="1055104992"/>
        <c:axId val="1055106656"/>
      </c:barChart>
      <c:catAx>
        <c:axId val="1055104992"/>
        <c:scaling>
          <c:orientation val="maxMin"/>
        </c:scaling>
        <c:delete val="0"/>
        <c:axPos val="l"/>
        <c:numFmt formatCode="General" sourceLinked="1"/>
        <c:majorTickMark val="none"/>
        <c:minorTickMark val="none"/>
        <c:tickLblPos val="low"/>
        <c:spPr>
          <a:ln w="12700">
            <a:solidFill>
              <a:srgbClr val="000000"/>
            </a:solidFill>
            <a:prstDash val="solid"/>
          </a:ln>
        </c:spPr>
        <c:txPr>
          <a:bodyPr/>
          <a:lstStyle/>
          <a:p>
            <a:pPr>
              <a:defRPr sz="1000" b="0" i="0"/>
            </a:pPr>
            <a:endParaRPr lang="en-US"/>
          </a:p>
        </c:txPr>
        <c:crossAx val="1055106656"/>
        <c:crossesAt val="604767.77"/>
        <c:auto val="0"/>
        <c:lblAlgn val="ctr"/>
        <c:lblOffset val="100"/>
        <c:noMultiLvlLbl val="0"/>
      </c:catAx>
      <c:valAx>
        <c:axId val="1055106656"/>
        <c:scaling>
          <c:orientation val="minMax"/>
          <c:max val="760000"/>
          <c:min val="420000"/>
        </c:scaling>
        <c:delete val="0"/>
        <c:axPos val="b"/>
        <c:title>
          <c:tx>
            <c:rich>
              <a:bodyPr/>
              <a:lstStyle/>
              <a:p>
                <a:pPr>
                  <a:defRPr sz="1000" b="0" i="0"/>
                </a:pPr>
                <a:r>
                  <a:rPr lang="en-US" sz="1000" b="0" i="0"/>
                  <a:t>Profit before Taxes</a:t>
                </a:r>
              </a:p>
            </c:rich>
          </c:tx>
          <c:overlay val="0"/>
        </c:title>
        <c:numFmt formatCode="&quot;$&quot;#,##0_);[Red]\(&quot;$&quot;#,##0\)" sourceLinked="1"/>
        <c:majorTickMark val="out"/>
        <c:minorTickMark val="none"/>
        <c:tickLblPos val="nextTo"/>
        <c:spPr>
          <a:ln w="12700">
            <a:solidFill>
              <a:srgbClr val="000000"/>
            </a:solidFill>
            <a:prstDash val="solid"/>
          </a:ln>
        </c:spPr>
        <c:txPr>
          <a:bodyPr/>
          <a:lstStyle/>
          <a:p>
            <a:pPr>
              <a:defRPr sz="800"/>
            </a:pPr>
            <a:endParaRPr lang="en-US"/>
          </a:p>
        </c:txPr>
        <c:crossAx val="1055104992"/>
        <c:crosses val="max"/>
        <c:crossBetween val="between"/>
        <c:majorUnit val="20000"/>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a:pPr>
            <a:r>
              <a:rPr lang="en-US" sz="1000" b="0" i="0"/>
              <a:t>SensIt 1.46</a:t>
            </a:r>
          </a:p>
        </c:rich>
      </c:tx>
      <c:overlay val="0"/>
    </c:title>
    <c:autoTitleDeleted val="0"/>
    <c:plotArea>
      <c:layout/>
      <c:barChart>
        <c:barDir val="bar"/>
        <c:grouping val="clustered"/>
        <c:varyColors val="0"/>
        <c:ser>
          <c:idx val="0"/>
          <c:order val="0"/>
          <c:tx>
            <c:v>Bars on Right</c:v>
          </c:tx>
          <c:spPr>
            <a:solidFill>
              <a:srgbClr val="000000"/>
            </a:solidFill>
          </c:spPr>
          <c:invertIfNegative val="0"/>
          <c:dLbls>
            <c:dLbl>
              <c:idx val="0"/>
              <c:tx>
                <c:strRef>
                  <c:f>'SensIt Tornado 1'!$B$11</c:f>
                  <c:strCache>
                    <c:ptCount val="1"/>
                    <c:pt idx="0">
                      <c:v>$1.80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{215831BB-80CC-4176-9FBC-87151F8AE6E3}</c15:txfldGUID>
                      <c15:f>'SensIt Tornado 1'!$B$11</c15:f>
                      <c15:dlblFieldTableCache>
                        <c:ptCount val="1"/>
                        <c:pt idx="0">
                          <c:v>$1.80</c:v>
                        </c:pt>
                      </c15:dlblFieldTableCache>
                    </c15:dlblFTEntry>
                  </c15:dlblFieldTable>
                  <c15:showDataLabelsRange val="0"/>
                </c:ext>
                <c:ext xmlns:c16="http://schemas.microsoft.com/office/drawing/2014/chart" uri="{C3380CC4-5D6E-409C-BE32-E72D297353CC}">
                  <c16:uniqueId val="{00000003-A79C-4443-AE9B-F15F1D1B987E}"/>
                </c:ext>
              </c:extLst>
            </c:dLbl>
            <c:dLbl>
              <c:idx val="1"/>
              <c:tx>
                <c:strRef>
                  <c:f>'SensIt Tornado 1'!$B$12</c:f>
                  <c:strCache>
                    <c:ptCount val="1"/>
                    <c:pt idx="0">
                      <c:v>$1.80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{62BE9A39-0DDA-4F3F-9599-12560FE8959B}</c15:txfldGUID>
                      <c15:f>'SensIt Tornado 1'!$B$12</c15:f>
                      <c15:dlblFieldTableCache>
                        <c:ptCount val="1"/>
                        <c:pt idx="0">
                          <c:v>$1.80</c:v>
                        </c:pt>
                      </c15:dlblFieldTableCache>
                    </c15:dlblFTEntry>
                  </c15:dlblFieldTable>
                  <c15:showDataLabelsRange val="0"/>
                </c:ext>
                <c:ext xmlns:c16="http://schemas.microsoft.com/office/drawing/2014/chart" uri="{C3380CC4-5D6E-409C-BE32-E72D297353CC}">
                  <c16:uniqueId val="{00000005-A79C-4443-AE9B-F15F1D1B987E}"/>
                </c:ext>
              </c:extLst>
            </c:dLbl>
            <c:dLbl>
              <c:idx val="2"/>
              <c:tx>
                <c:strRef>
                  <c:f>'SensIt Tornado 1'!$B$13</c:f>
                  <c:strCache>
                    <c:ptCount val="1"/>
                    <c:pt idx="0">
                      <c:v>$11.00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{7166D0FF-08A9-469D-89F3-A6D6B7241AEC}</c15:txfldGUID>
                      <c15:f>'SensIt Tornado 1'!$B$13</c15:f>
                      <c15:dlblFieldTableCache>
                        <c:ptCount val="1"/>
                        <c:pt idx="0">
                          <c:v>$11.00</c:v>
                        </c:pt>
                      </c15:dlblFieldTableCache>
                    </c15:dlblFTEntry>
                  </c15:dlblFieldTable>
                  <c15:showDataLabelsRange val="0"/>
                </c:ext>
                <c:ext xmlns:c16="http://schemas.microsoft.com/office/drawing/2014/chart" uri="{C3380CC4-5D6E-409C-BE32-E72D297353CC}">
                  <c16:uniqueId val="{00000007-A79C-4443-AE9B-F15F1D1B987E}"/>
                </c:ext>
              </c:extLst>
            </c:dLbl>
            <c:dLbl>
              <c:idx val="3"/>
              <c:tx>
                <c:strRef>
                  <c:f>'SensIt Tornado 1'!$B$14</c:f>
                  <c:strCache>
                    <c:ptCount val="1"/>
                    <c:pt idx="0">
                      <c:v>$11.00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{EC5F2066-6A49-44D8-8382-D3BDCCF96810}</c15:txfldGUID>
                      <c15:f>'SensIt Tornado 1'!$B$14</c15:f>
                      <c15:dlblFieldTableCache>
                        <c:ptCount val="1"/>
                        <c:pt idx="0">
                          <c:v>$11.00</c:v>
                        </c:pt>
                      </c15:dlblFieldTableCache>
                    </c15:dlblFTEntry>
                  </c15:dlblFieldTable>
                  <c15:showDataLabelsRange val="0"/>
                </c:ext>
                <c:ext xmlns:c16="http://schemas.microsoft.com/office/drawing/2014/chart" uri="{C3380CC4-5D6E-409C-BE32-E72D297353CC}">
                  <c16:uniqueId val="{00000009-A79C-4443-AE9B-F15F1D1B987E}"/>
                </c:ext>
              </c:extLst>
            </c:dLbl>
            <c:dLbl>
              <c:idx val="4"/>
              <c:tx>
                <c:strRef>
                  <c:f>'SensIt Tornado 1'!$B$15</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{6946B645-35C5-432D-BF92-B252E4DF437E}</c15:txfldGUID>
                      <c15:f>'SensIt Tornado 1'!$B$15</c15:f>
                      <c15:dlblFieldTableCache>
                        <c:ptCount val="1"/>
                        <c:pt idx="0">
                          <c:v>$10.00</c:v>
                        </c:pt>
                      </c15:dlblFieldTableCache>
                    </c15:dlblFTEntry>
                  </c15:dlblFieldTable>
                  <c15:showDataLabelsRange val="0"/>
                </c:ext>
                <c:ext xmlns:c16="http://schemas.microsoft.com/office/drawing/2014/chart" uri="{C3380CC4-5D6E-409C-BE32-E72D297353CC}">
                  <c16:uniqueId val="{0000000B-A79C-4443-AE9B-F15F1D1B987E}"/>
                </c:ext>
              </c:extLst>
            </c:dLbl>
            <c:dLbl>
              <c:idx val="5"/>
              <c:tx>
                <c:strRef>
                  <c:f>'SensIt Tornado 1'!$B$16</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{E1C1D8AB-D87B-4A5F-B521-993862DB45DD}</c15:txfldGUID>
                      <c15:f>'SensIt Tornado 1'!$B$16</c15:f>
                      <c15:dlblFieldTableCache>
                        <c:ptCount val="1"/>
                        <c:pt idx="0">
                          <c:v>$10.00</c:v>
                        </c:pt>
                      </c15:dlblFieldTableCache>
                    </c15:dlblFTEntry>
                  </c15:dlblFieldTable>
                  <c15:showDataLabelsRange val="0"/>
                </c:ext>
                <c:ext xmlns:c16="http://schemas.microsoft.com/office/drawing/2014/chart" uri="{C3380CC4-5D6E-409C-BE32-E72D297353CC}">
                  <c16:uniqueId val="{0000000D-A79C-4443-AE9B-F15F1D1B987E}"/>
                </c:ext>
              </c:extLst>
            </c:dLbl>
            <c:dLbl>
              <c:idx val="6"/>
              <c:tx>
                <c:strRef>
                  <c:f>'SensIt Tornado 1'!$B$17</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{14563BD9-99B0-451A-81E3-52123C645AC9}</c15:txfldGUID>
                      <c15:f>'SensIt Tornado 1'!$B$17</c15:f>
                      <c15:dlblFieldTableCache>
                        <c:ptCount val="1"/>
                        <c:pt idx="0">
                          <c:v>$10.00</c:v>
                        </c:pt>
                      </c15:dlblFieldTableCache>
                    </c15:dlblFTEntry>
                  </c15:dlblFieldTable>
                  <c15:showDataLabelsRange val="0"/>
                </c:ext>
                <c:ext xmlns:c16="http://schemas.microsoft.com/office/drawing/2014/chart" uri="{C3380CC4-5D6E-409C-BE32-E72D297353CC}">
                  <c16:uniqueId val="{0000000F-A79C-4443-AE9B-F15F1D1B987E}"/>
                </c:ext>
              </c:extLst>
            </c:dLbl>
            <c:dLbl>
              <c:idx val="7"/>
              <c:tx>
                <c:strRef>
                  <c:f>'SensIt Tornado 1'!$B$18</c:f>
                  <c:strCache>
                    <c:ptCount val="1"/>
                    <c:pt idx="0">
                      <c:v>$10.00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{06FF1C49-A0AA-4420-B7FE-7EF10E66DAEA}</c15:txfldGUID>
                      <c15:f>'SensIt Tornado 1'!$B$18</c15:f>
                      <c15:dlblFieldTableCache>
                        <c:ptCount val="1"/>
                        <c:pt idx="0">
                          <c:v>$10.00</c:v>
                        </c:pt>
                      </c15:dlblFieldTableCache>
                    </c15:dlblFTEntry>
                  </c15:dlblFieldTable>
                  <c15:showDataLabelsRange val="0"/>
                </c:ext>
                <c:ext xmlns:c16="http://schemas.microsoft.com/office/drawing/2014/chart" uri="{C3380CC4-5D6E-409C-BE32-E72D297353CC}">
                  <c16:uniqueId val="{00000011-A79C-4443-AE9B-F15F1D1B987E}"/>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Tornado 1'!$A$11:$A$18</c:f>
              <c:strCache>
                <c:ptCount val="8"/>
                <c:pt idx="0">
                  <c:v>BR01-08,</c:v>
                </c:pt>
                <c:pt idx="1">
                  <c:v>BR01-07,</c:v>
                </c:pt>
                <c:pt idx="2">
                  <c:v>BR01-02,</c:v>
                </c:pt>
                <c:pt idx="3">
                  <c:v>BR01-01,</c:v>
                </c:pt>
                <c:pt idx="4">
                  <c:v>BR01-04,</c:v>
                </c:pt>
                <c:pt idx="5">
                  <c:v>BR01-05,</c:v>
                </c:pt>
                <c:pt idx="6">
                  <c:v>BR01-03,</c:v>
                </c:pt>
                <c:pt idx="7">
                  <c:v>BR01-06,</c:v>
                </c:pt>
              </c:strCache>
            </c:strRef>
          </c:cat>
          <c:val>
            <c:numRef>
              <c:f>'SensIt Tornado 1'!$E$11:$E$18</c:f>
              <c:numCache>
                <c:formatCode>"$"#,##0_);[Red]\("$"#,##0\)</c:formatCode>
                <c:ptCount val="8"/>
                <c:pt idx="0">
                  <c:v>248898.23</c:v>
                </c:pt>
                <c:pt idx="1">
                  <c:v>257482.4</c:v>
                </c:pt>
                <c:pt idx="2">
                  <c:v>267198.21999999997</c:v>
                </c:pt>
                <c:pt idx="3">
                  <c:v>268630.36</c:v>
                </c:pt>
                <c:pt idx="4">
                  <c:v>274943.21999999997</c:v>
                </c:pt>
                <c:pt idx="5">
                  <c:v>276086.36</c:v>
                </c:pt>
                <c:pt idx="6">
                  <c:v>279674.08</c:v>
                </c:pt>
                <c:pt idx="7">
                  <c:v>280067.40999999997</c:v>
                </c:pt>
              </c:numCache>
            </c:numRef>
          </c:val>
          <c:extLst>
            <c:ext xmlns:c16="http://schemas.microsoft.com/office/drawing/2014/chart" uri="{C3380CC4-5D6E-409C-BE32-E72D297353CC}">
              <c16:uniqueId val="{00000000-A79C-4443-AE9B-F15F1D1B987E}"/>
            </c:ext>
          </c:extLst>
        </c:ser>
        <c:ser>
          <c:idx val="1"/>
          <c:order val="1"/>
          <c:spPr>
            <a:solidFill>
              <a:srgbClr val="000000"/>
            </a:solidFill>
          </c:spPr>
          <c:invertIfNegative val="0"/>
          <c:dLbls>
            <c:dLbl>
              <c:idx val="0"/>
              <c:tx>
                <c:strRef>
                  <c:f>'SensIt Tornado 1'!$D$11</c:f>
                  <c:strCache>
                    <c:ptCount val="1"/>
                    <c:pt idx="0">
                      <c:v>$5.30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{C73F83EC-21AC-414A-B02F-852110E971DD}</c15:txfldGUID>
                      <c15:f>'SensIt Tornado 1'!$D$11</c15:f>
                      <c15:dlblFieldTableCache>
                        <c:ptCount val="1"/>
                        <c:pt idx="0">
                          <c:v>$5.30</c:v>
                        </c:pt>
                      </c15:dlblFieldTableCache>
                    </c15:dlblFTEntry>
                  </c15:dlblFieldTable>
                  <c15:showDataLabelsRange val="0"/>
                </c:ext>
                <c:ext xmlns:c16="http://schemas.microsoft.com/office/drawing/2014/chart" uri="{C3380CC4-5D6E-409C-BE32-E72D297353CC}">
                  <c16:uniqueId val="{00000004-A79C-4443-AE9B-F15F1D1B987E}"/>
                </c:ext>
              </c:extLst>
            </c:dLbl>
            <c:dLbl>
              <c:idx val="1"/>
              <c:tx>
                <c:strRef>
                  <c:f>'SensIt Tornado 1'!$D$12</c:f>
                  <c:strCache>
                    <c:ptCount val="1"/>
                    <c:pt idx="0">
                      <c:v>$5.30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{D4906853-ABFD-403A-A998-5B197AD73EC1}</c15:txfldGUID>
                      <c15:f>'SensIt Tornado 1'!$D$12</c15:f>
                      <c15:dlblFieldTableCache>
                        <c:ptCount val="1"/>
                        <c:pt idx="0">
                          <c:v>$5.30</c:v>
                        </c:pt>
                      </c15:dlblFieldTableCache>
                    </c15:dlblFTEntry>
                  </c15:dlblFieldTable>
                  <c15:showDataLabelsRange val="0"/>
                </c:ext>
                <c:ext xmlns:c16="http://schemas.microsoft.com/office/drawing/2014/chart" uri="{C3380CC4-5D6E-409C-BE32-E72D297353CC}">
                  <c16:uniqueId val="{00000006-A79C-4443-AE9B-F15F1D1B987E}"/>
                </c:ext>
              </c:extLst>
            </c:dLbl>
            <c:dLbl>
              <c:idx val="2"/>
              <c:tx>
                <c:strRef>
                  <c:f>'SensIt Tornado 1'!$D$13</c:f>
                  <c:strCache>
                    <c:ptCount val="1"/>
                    <c:pt idx="0">
                      <c:v>$7.50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{161A2440-E937-4AA0-8F15-98391697C19E}</c15:txfldGUID>
                      <c15:f>'SensIt Tornado 1'!$D$13</c15:f>
                      <c15:dlblFieldTableCache>
                        <c:ptCount val="1"/>
                        <c:pt idx="0">
                          <c:v>$7.50</c:v>
                        </c:pt>
                      </c15:dlblFieldTableCache>
                    </c15:dlblFTEntry>
                  </c15:dlblFieldTable>
                  <c15:showDataLabelsRange val="0"/>
                </c:ext>
                <c:ext xmlns:c16="http://schemas.microsoft.com/office/drawing/2014/chart" uri="{C3380CC4-5D6E-409C-BE32-E72D297353CC}">
                  <c16:uniqueId val="{00000008-A79C-4443-AE9B-F15F1D1B987E}"/>
                </c:ext>
              </c:extLst>
            </c:dLbl>
            <c:dLbl>
              <c:idx val="3"/>
              <c:tx>
                <c:strRef>
                  <c:f>'SensIt Tornado 1'!$D$14</c:f>
                  <c:strCache>
                    <c:ptCount val="1"/>
                    <c:pt idx="0">
                      <c:v>$7.50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{FA9DF0A9-B642-4FAB-B2BC-88C0FDA712AE}</c15:txfldGUID>
                      <c15:f>'SensIt Tornado 1'!$D$14</c15:f>
                      <c15:dlblFieldTableCache>
                        <c:ptCount val="1"/>
                        <c:pt idx="0">
                          <c:v>$7.50</c:v>
                        </c:pt>
                      </c15:dlblFieldTableCache>
                    </c15:dlblFTEntry>
                  </c15:dlblFieldTable>
                  <c15:showDataLabelsRange val="0"/>
                </c:ext>
                <c:ext xmlns:c16="http://schemas.microsoft.com/office/drawing/2014/chart" uri="{C3380CC4-5D6E-409C-BE32-E72D297353CC}">
                  <c16:uniqueId val="{0000000A-A79C-4443-AE9B-F15F1D1B987E}"/>
                </c:ext>
              </c:extLst>
            </c:dLbl>
            <c:dLbl>
              <c:idx val="4"/>
              <c:tx>
                <c:strRef>
                  <c:f>'SensIt Tornado 1'!$D$15</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{54DCE236-970E-40F7-92B0-F88BDCF6C681}</c15:txfldGUID>
                      <c15:f>'SensIt Tornado 1'!$D$15</c15:f>
                      <c15:dlblFieldTableCache>
                        <c:ptCount val="1"/>
                        <c:pt idx="0">
                          <c:v>$6.50</c:v>
                        </c:pt>
                      </c15:dlblFieldTableCache>
                    </c15:dlblFTEntry>
                  </c15:dlblFieldTable>
                  <c15:showDataLabelsRange val="0"/>
                </c:ext>
                <c:ext xmlns:c16="http://schemas.microsoft.com/office/drawing/2014/chart" uri="{C3380CC4-5D6E-409C-BE32-E72D297353CC}">
                  <c16:uniqueId val="{0000000C-A79C-4443-AE9B-F15F1D1B987E}"/>
                </c:ext>
              </c:extLst>
            </c:dLbl>
            <c:dLbl>
              <c:idx val="5"/>
              <c:tx>
                <c:strRef>
                  <c:f>'SensIt Tornado 1'!$D$16</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{C431A15E-5D50-4356-BECF-6B56ED7F4A78}</c15:txfldGUID>
                      <c15:f>'SensIt Tornado 1'!$D$16</c15:f>
                      <c15:dlblFieldTableCache>
                        <c:ptCount val="1"/>
                        <c:pt idx="0">
                          <c:v>$6.50</c:v>
                        </c:pt>
                      </c15:dlblFieldTableCache>
                    </c15:dlblFTEntry>
                  </c15:dlblFieldTable>
                  <c15:showDataLabelsRange val="0"/>
                </c:ext>
                <c:ext xmlns:c16="http://schemas.microsoft.com/office/drawing/2014/chart" uri="{C3380CC4-5D6E-409C-BE32-E72D297353CC}">
                  <c16:uniqueId val="{0000000E-A79C-4443-AE9B-F15F1D1B987E}"/>
                </c:ext>
              </c:extLst>
            </c:dLbl>
            <c:dLbl>
              <c:idx val="6"/>
              <c:tx>
                <c:strRef>
                  <c:f>'SensIt Tornado 1'!$D$17</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{6D9FD675-3E00-409D-8397-760377BB79D2}</c15:txfldGUID>
                      <c15:f>'SensIt Tornado 1'!$D$17</c15:f>
                      <c15:dlblFieldTableCache>
                        <c:ptCount val="1"/>
                        <c:pt idx="0">
                          <c:v>$6.50</c:v>
                        </c:pt>
                      </c15:dlblFieldTableCache>
                    </c15:dlblFTEntry>
                  </c15:dlblFieldTable>
                  <c15:showDataLabelsRange val="0"/>
                </c:ext>
                <c:ext xmlns:c16="http://schemas.microsoft.com/office/drawing/2014/chart" uri="{C3380CC4-5D6E-409C-BE32-E72D297353CC}">
                  <c16:uniqueId val="{00000010-A79C-4443-AE9B-F15F1D1B987E}"/>
                </c:ext>
              </c:extLst>
            </c:dLbl>
            <c:dLbl>
              <c:idx val="7"/>
              <c:tx>
                <c:strRef>
                  <c:f>'SensIt Tornado 1'!$D$18</c:f>
                  <c:strCache>
                    <c:ptCount val="1"/>
                    <c:pt idx="0">
                      <c:v>$6.50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{215F0291-2C5D-4911-9F33-77DAEA3B870C}</c15:txfldGUID>
                      <c15:f>'SensIt Tornado 1'!$D$18</c15:f>
                      <c15:dlblFieldTableCache>
                        <c:ptCount val="1"/>
                        <c:pt idx="0">
                          <c:v>$6.50</c:v>
                        </c:pt>
                      </c15:dlblFieldTableCache>
                    </c15:dlblFTEntry>
                  </c15:dlblFieldTable>
                  <c15:showDataLabelsRange val="0"/>
                </c:ext>
                <c:ext xmlns:c16="http://schemas.microsoft.com/office/drawing/2014/chart" uri="{C3380CC4-5D6E-409C-BE32-E72D297353CC}">
                  <c16:uniqueId val="{00000012-A79C-4443-AE9B-F15F1D1B987E}"/>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Tornado 1'!$A$11:$A$18</c:f>
              <c:strCache>
                <c:ptCount val="8"/>
                <c:pt idx="0">
                  <c:v>BR01-08,</c:v>
                </c:pt>
                <c:pt idx="1">
                  <c:v>BR01-07,</c:v>
                </c:pt>
                <c:pt idx="2">
                  <c:v>BR01-02,</c:v>
                </c:pt>
                <c:pt idx="3">
                  <c:v>BR01-01,</c:v>
                </c:pt>
                <c:pt idx="4">
                  <c:v>BR01-04,</c:v>
                </c:pt>
                <c:pt idx="5">
                  <c:v>BR01-05,</c:v>
                </c:pt>
                <c:pt idx="6">
                  <c:v>BR01-03,</c:v>
                </c:pt>
                <c:pt idx="7">
                  <c:v>BR01-06,</c:v>
                </c:pt>
              </c:strCache>
            </c:strRef>
          </c:cat>
          <c:val>
            <c:numRef>
              <c:f>'SensIt Tornado 1'!$G$11:$G$18</c:f>
              <c:numCache>
                <c:formatCode>"$"#,##0_);[Red]\("$"#,##0\)</c:formatCode>
                <c:ptCount val="8"/>
                <c:pt idx="0">
                  <c:v>378321.37</c:v>
                </c:pt>
                <c:pt idx="1">
                  <c:v>357249.4</c:v>
                </c:pt>
                <c:pt idx="2">
                  <c:v>286266.71000000002</c:v>
                </c:pt>
                <c:pt idx="3">
                  <c:v>286219.09000000003</c:v>
                </c:pt>
                <c:pt idx="4">
                  <c:v>285415.76</c:v>
                </c:pt>
                <c:pt idx="5">
                  <c:v>285510.36</c:v>
                </c:pt>
                <c:pt idx="6">
                  <c:v>285807.27</c:v>
                </c:pt>
                <c:pt idx="7">
                  <c:v>285839.83</c:v>
                </c:pt>
              </c:numCache>
            </c:numRef>
          </c:val>
          <c:extLst>
            <c:ext xmlns:c16="http://schemas.microsoft.com/office/drawing/2014/chart" uri="{C3380CC4-5D6E-409C-BE32-E72D297353CC}">
              <c16:uniqueId val="{00000002-A79C-4443-AE9B-F15F1D1B987E}"/>
            </c:ext>
          </c:extLst>
        </c:ser>
        <c:dLbls>
          <c:showLegendKey val="0"/>
          <c:showVal val="0"/>
          <c:showCatName val="0"/>
          <c:showSerName val="0"/>
          <c:showPercent val="0"/>
          <c:showBubbleSize val="0"/>
        </c:dLbls>
        <c:gapWidth val="200"/>
        <c:overlap val="100"/>
        <c:axId val="1155038831"/>
        <c:axId val="1155053391"/>
      </c:barChart>
      <c:catAx>
        <c:axId val="1155038831"/>
        <c:scaling>
          <c:orientation val="maxMin"/>
        </c:scaling>
        <c:delete val="0"/>
        <c:axPos val="l"/>
        <c:numFmt formatCode="General" sourceLinked="1"/>
        <c:majorTickMark val="none"/>
        <c:minorTickMark val="none"/>
        <c:tickLblPos val="low"/>
        <c:spPr>
          <a:ln w="12700">
            <a:solidFill>
              <a:srgbClr val="000000"/>
            </a:solidFill>
            <a:prstDash val="solid"/>
          </a:ln>
        </c:spPr>
        <c:txPr>
          <a:bodyPr/>
          <a:lstStyle/>
          <a:p>
            <a:pPr>
              <a:defRPr sz="1000" b="0" i="0"/>
            </a:pPr>
            <a:endParaRPr lang="en-US"/>
          </a:p>
        </c:txPr>
        <c:crossAx val="1155053391"/>
        <c:crossesAt val="286360.64510000002"/>
        <c:auto val="0"/>
        <c:lblAlgn val="ctr"/>
        <c:lblOffset val="100"/>
        <c:noMultiLvlLbl val="0"/>
      </c:catAx>
      <c:valAx>
        <c:axId val="1155053391"/>
        <c:scaling>
          <c:orientation val="minMax"/>
          <c:max val="400000"/>
          <c:min val="220000"/>
        </c:scaling>
        <c:delete val="0"/>
        <c:axPos val="b"/>
        <c:title>
          <c:tx>
            <c:rich>
              <a:bodyPr/>
              <a:lstStyle/>
              <a:p>
                <a:pPr>
                  <a:defRPr sz="1000" b="0" i="0"/>
                </a:pPr>
                <a:r>
                  <a:rPr lang="en-US" sz="1000" b="0" i="0"/>
                  <a:t>Profit before Taxes</a:t>
                </a:r>
              </a:p>
            </c:rich>
          </c:tx>
          <c:overlay val="0"/>
        </c:title>
        <c:numFmt formatCode="&quot;$&quot;#,##0_);[Red]\(&quot;$&quot;#,##0\)" sourceLinked="1"/>
        <c:majorTickMark val="out"/>
        <c:minorTickMark val="none"/>
        <c:tickLblPos val="nextTo"/>
        <c:spPr>
          <a:ln w="12700">
            <a:solidFill>
              <a:srgbClr val="000000"/>
            </a:solidFill>
            <a:prstDash val="solid"/>
          </a:ln>
        </c:spPr>
        <c:txPr>
          <a:bodyPr/>
          <a:lstStyle/>
          <a:p>
            <a:pPr>
              <a:defRPr sz="800"/>
            </a:pPr>
            <a:endParaRPr lang="en-US"/>
          </a:p>
        </c:txPr>
        <c:crossAx val="1155038831"/>
        <c:crosses val="max"/>
        <c:crossBetween val="between"/>
        <c:majorUnit val="20000"/>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SensIt 1.46</a:t>
            </a:r>
          </a:p>
        </c:rich>
      </c:tx>
      <c:overlay val="0"/>
    </c:title>
    <c:autoTitleDeleted val="0"/>
    <c:plotArea>
      <c:layout/>
      <c:scatterChart>
        <c:scatterStyle val="lineMarker"/>
        <c:varyColors val="0"/>
        <c:ser>
          <c:idx val="0"/>
          <c:order val="0"/>
          <c:tx>
            <c:v>BR01-08,</c:v>
          </c:tx>
          <c:dPt>
            <c:idx val="1"/>
            <c:marker>
              <c:symbol val="none"/>
            </c:marker>
            <c:bubble3D val="0"/>
            <c:extLst>
              <c:ext xmlns:c16="http://schemas.microsoft.com/office/drawing/2014/chart" uri="{C3380CC4-5D6E-409C-BE32-E72D297353CC}">
                <c16:uniqueId val="{00000008-7C7A-483A-BDA8-F7C400DC079C}"/>
              </c:ext>
            </c:extLst>
          </c:dPt>
          <c:dPt>
            <c:idx val="2"/>
            <c:marker>
              <c:symbol val="none"/>
            </c:marker>
            <c:bubble3D val="0"/>
            <c:extLst>
              <c:ext xmlns:c16="http://schemas.microsoft.com/office/drawing/2014/chart" uri="{C3380CC4-5D6E-409C-BE32-E72D297353CC}">
                <c16:uniqueId val="{00000009-7C7A-483A-BDA8-F7C400DC079C}"/>
              </c:ext>
            </c:extLst>
          </c:dPt>
          <c:dPt>
            <c:idx val="3"/>
            <c:marker>
              <c:symbol val="none"/>
            </c:marker>
            <c:bubble3D val="0"/>
            <c:extLst>
              <c:ext xmlns:c16="http://schemas.microsoft.com/office/drawing/2014/chart" uri="{C3380CC4-5D6E-409C-BE32-E72D297353CC}">
                <c16:uniqueId val="{0000000A-7C7A-483A-BDA8-F7C400DC079C}"/>
              </c:ext>
            </c:extLst>
          </c:dPt>
          <c:dPt>
            <c:idx val="4"/>
            <c:marker>
              <c:symbol val="none"/>
            </c:marker>
            <c:bubble3D val="0"/>
            <c:extLst>
              <c:ext xmlns:c16="http://schemas.microsoft.com/office/drawing/2014/chart" uri="{C3380CC4-5D6E-409C-BE32-E72D297353CC}">
                <c16:uniqueId val="{0000000B-7C7A-483A-BDA8-F7C400DC079C}"/>
              </c:ext>
            </c:extLst>
          </c:dPt>
          <c:dPt>
            <c:idx val="5"/>
            <c:marker>
              <c:symbol val="none"/>
            </c:marker>
            <c:bubble3D val="0"/>
            <c:extLst>
              <c:ext xmlns:c16="http://schemas.microsoft.com/office/drawing/2014/chart" uri="{C3380CC4-5D6E-409C-BE32-E72D297353CC}">
                <c16:uniqueId val="{0000000C-7C7A-483A-BDA8-F7C400DC079C}"/>
              </c:ext>
            </c:extLst>
          </c:dPt>
          <c:dPt>
            <c:idx val="6"/>
            <c:marker>
              <c:symbol val="none"/>
            </c:marker>
            <c:bubble3D val="0"/>
            <c:extLst>
              <c:ext xmlns:c16="http://schemas.microsoft.com/office/drawing/2014/chart" uri="{C3380CC4-5D6E-409C-BE32-E72D297353CC}">
                <c16:uniqueId val="{0000000D-7C7A-483A-BDA8-F7C400DC079C}"/>
              </c:ext>
            </c:extLst>
          </c:dPt>
          <c:dPt>
            <c:idx val="7"/>
            <c:marker>
              <c:symbol val="none"/>
            </c:marker>
            <c:bubble3D val="0"/>
            <c:extLst>
              <c:ext xmlns:c16="http://schemas.microsoft.com/office/drawing/2014/chart" uri="{C3380CC4-5D6E-409C-BE32-E72D297353CC}">
                <c16:uniqueId val="{0000000E-7C7A-483A-BDA8-F7C400DC079C}"/>
              </c:ext>
            </c:extLst>
          </c:dPt>
          <c:dPt>
            <c:idx val="8"/>
            <c:marker>
              <c:symbol val="none"/>
            </c:marker>
            <c:bubble3D val="0"/>
            <c:extLst>
              <c:ext xmlns:c16="http://schemas.microsoft.com/office/drawing/2014/chart" uri="{C3380CC4-5D6E-409C-BE32-E72D297353CC}">
                <c16:uniqueId val="{0000000F-7C7A-483A-BDA8-F7C400DC079C}"/>
              </c:ext>
            </c:extLst>
          </c:dPt>
          <c:dPt>
            <c:idx val="9"/>
            <c:marker>
              <c:symbol val="none"/>
            </c:marker>
            <c:bubble3D val="0"/>
            <c:extLst>
              <c:ext xmlns:c16="http://schemas.microsoft.com/office/drawing/2014/chart" uri="{C3380CC4-5D6E-409C-BE32-E72D297353CC}">
                <c16:uniqueId val="{00000010-7C7A-483A-BDA8-F7C400DC079C}"/>
              </c:ext>
            </c:extLst>
          </c:dPt>
          <c:dPt>
            <c:idx val="10"/>
            <c:marker>
              <c:symbol val="none"/>
            </c:marker>
            <c:bubble3D val="0"/>
            <c:extLst>
              <c:ext xmlns:c16="http://schemas.microsoft.com/office/drawing/2014/chart" uri="{C3380CC4-5D6E-409C-BE32-E72D297353CC}">
                <c16:uniqueId val="{00000011-7C7A-483A-BDA8-F7C400DC079C}"/>
              </c:ext>
            </c:extLst>
          </c:dPt>
          <c:dPt>
            <c:idx val="11"/>
            <c:marker>
              <c:symbol val="none"/>
            </c:marker>
            <c:bubble3D val="0"/>
            <c:extLst>
              <c:ext xmlns:c16="http://schemas.microsoft.com/office/drawing/2014/chart" uri="{C3380CC4-5D6E-409C-BE32-E72D297353CC}">
                <c16:uniqueId val="{00000012-7C7A-483A-BDA8-F7C400DC079C}"/>
              </c:ext>
            </c:extLst>
          </c:dPt>
          <c:dPt>
            <c:idx val="12"/>
            <c:marker>
              <c:symbol val="none"/>
            </c:marker>
            <c:bubble3D val="0"/>
            <c:extLst>
              <c:ext xmlns:c16="http://schemas.microsoft.com/office/drawing/2014/chart" uri="{C3380CC4-5D6E-409C-BE32-E72D297353CC}">
                <c16:uniqueId val="{00000013-7C7A-483A-BDA8-F7C400DC079C}"/>
              </c:ext>
            </c:extLst>
          </c:dPt>
          <c:dPt>
            <c:idx val="13"/>
            <c:marker>
              <c:symbol val="none"/>
            </c:marker>
            <c:bubble3D val="0"/>
            <c:extLst>
              <c:ext xmlns:c16="http://schemas.microsoft.com/office/drawing/2014/chart" uri="{C3380CC4-5D6E-409C-BE32-E72D297353CC}">
                <c16:uniqueId val="{00000014-7C7A-483A-BDA8-F7C400DC079C}"/>
              </c:ext>
            </c:extLst>
          </c:dPt>
          <c:dPt>
            <c:idx val="14"/>
            <c:marker>
              <c:symbol val="none"/>
            </c:marker>
            <c:bubble3D val="0"/>
            <c:extLst>
              <c:ext xmlns:c16="http://schemas.microsoft.com/office/drawing/2014/chart" uri="{C3380CC4-5D6E-409C-BE32-E72D297353CC}">
                <c16:uniqueId val="{00000015-7C7A-483A-BDA8-F7C400DC079C}"/>
              </c:ext>
            </c:extLst>
          </c:dPt>
          <c:xVal>
            <c:numRef>
              <c:f>'SensIt Spider 1'!$AP$3:$AP$18</c:f>
              <c:numCache>
                <c:formatCode>0.0%</c:formatCode>
                <c:ptCount val="16"/>
                <c:pt idx="0">
                  <c:v>0.72</c:v>
                </c:pt>
                <c:pt idx="1">
                  <c:v>0.8</c:v>
                </c:pt>
                <c:pt idx="2">
                  <c:v>0.9</c:v>
                </c:pt>
                <c:pt idx="3">
                  <c:v>1</c:v>
                </c:pt>
                <c:pt idx="4">
                  <c:v>1.1000000000000001</c:v>
                </c:pt>
                <c:pt idx="5">
                  <c:v>1.2000000000000002</c:v>
                </c:pt>
                <c:pt idx="6">
                  <c:v>1.3000000000000003</c:v>
                </c:pt>
                <c:pt idx="7">
                  <c:v>1.4000000000000004</c:v>
                </c:pt>
                <c:pt idx="8">
                  <c:v>1.5000000000000004</c:v>
                </c:pt>
                <c:pt idx="9">
                  <c:v>1.6000000000000005</c:v>
                </c:pt>
                <c:pt idx="10">
                  <c:v>1.7000000000000006</c:v>
                </c:pt>
                <c:pt idx="11">
                  <c:v>1.8000000000000007</c:v>
                </c:pt>
                <c:pt idx="12">
                  <c:v>1.9000000000000008</c:v>
                </c:pt>
                <c:pt idx="13">
                  <c:v>2.0000000000000009</c:v>
                </c:pt>
                <c:pt idx="14">
                  <c:v>2.100000000000001</c:v>
                </c:pt>
                <c:pt idx="15">
                  <c:v>2.12</c:v>
                </c:pt>
              </c:numCache>
            </c:numRef>
          </c:xVal>
          <c:yVal>
            <c:numRef>
              <c:f>'SensIt Spider 1'!$AQ$3:$AQ$18</c:f>
              <c:numCache>
                <c:formatCode>"$"#,##0_);[Red]\("$"#,##0\)</c:formatCode>
                <c:ptCount val="16"/>
                <c:pt idx="0">
                  <c:v>248898.23</c:v>
                </c:pt>
                <c:pt idx="1">
                  <c:v>260192.48</c:v>
                </c:pt>
                <c:pt idx="2">
                  <c:v>273645.75</c:v>
                </c:pt>
                <c:pt idx="3">
                  <c:v>286360.65000000002</c:v>
                </c:pt>
                <c:pt idx="4">
                  <c:v>298337.15999999997</c:v>
                </c:pt>
                <c:pt idx="5">
                  <c:v>309575.28999999998</c:v>
                </c:pt>
                <c:pt idx="6">
                  <c:v>320075.05</c:v>
                </c:pt>
                <c:pt idx="7">
                  <c:v>329836.43</c:v>
                </c:pt>
                <c:pt idx="8">
                  <c:v>338859.42</c:v>
                </c:pt>
                <c:pt idx="9">
                  <c:v>347144.04</c:v>
                </c:pt>
                <c:pt idx="10">
                  <c:v>354690.28</c:v>
                </c:pt>
                <c:pt idx="11">
                  <c:v>361498.14</c:v>
                </c:pt>
                <c:pt idx="12">
                  <c:v>367567.61</c:v>
                </c:pt>
                <c:pt idx="13">
                  <c:v>372898.71</c:v>
                </c:pt>
                <c:pt idx="14">
                  <c:v>377491.43</c:v>
                </c:pt>
                <c:pt idx="15">
                  <c:v>378321.37</c:v>
                </c:pt>
              </c:numCache>
            </c:numRef>
          </c:yVal>
          <c:smooth val="0"/>
          <c:extLst>
            <c:ext xmlns:c16="http://schemas.microsoft.com/office/drawing/2014/chart" uri="{C3380CC4-5D6E-409C-BE32-E72D297353CC}">
              <c16:uniqueId val="{00000000-7C7A-483A-BDA8-F7C400DC079C}"/>
            </c:ext>
          </c:extLst>
        </c:ser>
        <c:ser>
          <c:idx val="1"/>
          <c:order val="1"/>
          <c:tx>
            <c:v>BR01-07,</c:v>
          </c:tx>
          <c:dPt>
            <c:idx val="1"/>
            <c:marker>
              <c:symbol val="none"/>
            </c:marker>
            <c:bubble3D val="0"/>
            <c:extLst>
              <c:ext xmlns:c16="http://schemas.microsoft.com/office/drawing/2014/chart" uri="{C3380CC4-5D6E-409C-BE32-E72D297353CC}">
                <c16:uniqueId val="{00000016-7C7A-483A-BDA8-F7C400DC079C}"/>
              </c:ext>
            </c:extLst>
          </c:dPt>
          <c:dPt>
            <c:idx val="2"/>
            <c:marker>
              <c:symbol val="none"/>
            </c:marker>
            <c:bubble3D val="0"/>
            <c:extLst>
              <c:ext xmlns:c16="http://schemas.microsoft.com/office/drawing/2014/chart" uri="{C3380CC4-5D6E-409C-BE32-E72D297353CC}">
                <c16:uniqueId val="{00000017-7C7A-483A-BDA8-F7C400DC079C}"/>
              </c:ext>
            </c:extLst>
          </c:dPt>
          <c:dPt>
            <c:idx val="3"/>
            <c:marker>
              <c:symbol val="none"/>
            </c:marker>
            <c:bubble3D val="0"/>
            <c:extLst>
              <c:ext xmlns:c16="http://schemas.microsoft.com/office/drawing/2014/chart" uri="{C3380CC4-5D6E-409C-BE32-E72D297353CC}">
                <c16:uniqueId val="{00000018-7C7A-483A-BDA8-F7C400DC079C}"/>
              </c:ext>
            </c:extLst>
          </c:dPt>
          <c:dPt>
            <c:idx val="4"/>
            <c:marker>
              <c:symbol val="none"/>
            </c:marker>
            <c:bubble3D val="0"/>
            <c:extLst>
              <c:ext xmlns:c16="http://schemas.microsoft.com/office/drawing/2014/chart" uri="{C3380CC4-5D6E-409C-BE32-E72D297353CC}">
                <c16:uniqueId val="{00000019-7C7A-483A-BDA8-F7C400DC079C}"/>
              </c:ext>
            </c:extLst>
          </c:dPt>
          <c:dPt>
            <c:idx val="5"/>
            <c:marker>
              <c:symbol val="none"/>
            </c:marker>
            <c:bubble3D val="0"/>
            <c:extLst>
              <c:ext xmlns:c16="http://schemas.microsoft.com/office/drawing/2014/chart" uri="{C3380CC4-5D6E-409C-BE32-E72D297353CC}">
                <c16:uniqueId val="{0000001A-7C7A-483A-BDA8-F7C400DC079C}"/>
              </c:ext>
            </c:extLst>
          </c:dPt>
          <c:dPt>
            <c:idx val="6"/>
            <c:marker>
              <c:symbol val="none"/>
            </c:marker>
            <c:bubble3D val="0"/>
            <c:extLst>
              <c:ext xmlns:c16="http://schemas.microsoft.com/office/drawing/2014/chart" uri="{C3380CC4-5D6E-409C-BE32-E72D297353CC}">
                <c16:uniqueId val="{0000001B-7C7A-483A-BDA8-F7C400DC079C}"/>
              </c:ext>
            </c:extLst>
          </c:dPt>
          <c:dPt>
            <c:idx val="7"/>
            <c:marker>
              <c:symbol val="none"/>
            </c:marker>
            <c:bubble3D val="0"/>
            <c:extLst>
              <c:ext xmlns:c16="http://schemas.microsoft.com/office/drawing/2014/chart" uri="{C3380CC4-5D6E-409C-BE32-E72D297353CC}">
                <c16:uniqueId val="{0000001C-7C7A-483A-BDA8-F7C400DC079C}"/>
              </c:ext>
            </c:extLst>
          </c:dPt>
          <c:dPt>
            <c:idx val="8"/>
            <c:marker>
              <c:symbol val="none"/>
            </c:marker>
            <c:bubble3D val="0"/>
            <c:extLst>
              <c:ext xmlns:c16="http://schemas.microsoft.com/office/drawing/2014/chart" uri="{C3380CC4-5D6E-409C-BE32-E72D297353CC}">
                <c16:uniqueId val="{0000001D-7C7A-483A-BDA8-F7C400DC079C}"/>
              </c:ext>
            </c:extLst>
          </c:dPt>
          <c:dPt>
            <c:idx val="9"/>
            <c:marker>
              <c:symbol val="none"/>
            </c:marker>
            <c:bubble3D val="0"/>
            <c:extLst>
              <c:ext xmlns:c16="http://schemas.microsoft.com/office/drawing/2014/chart" uri="{C3380CC4-5D6E-409C-BE32-E72D297353CC}">
                <c16:uniqueId val="{0000001E-7C7A-483A-BDA8-F7C400DC079C}"/>
              </c:ext>
            </c:extLst>
          </c:dPt>
          <c:dPt>
            <c:idx val="10"/>
            <c:marker>
              <c:symbol val="none"/>
            </c:marker>
            <c:bubble3D val="0"/>
            <c:extLst>
              <c:ext xmlns:c16="http://schemas.microsoft.com/office/drawing/2014/chart" uri="{C3380CC4-5D6E-409C-BE32-E72D297353CC}">
                <c16:uniqueId val="{0000001F-7C7A-483A-BDA8-F7C400DC079C}"/>
              </c:ext>
            </c:extLst>
          </c:dPt>
          <c:dPt>
            <c:idx val="11"/>
            <c:marker>
              <c:symbol val="none"/>
            </c:marker>
            <c:bubble3D val="0"/>
            <c:extLst>
              <c:ext xmlns:c16="http://schemas.microsoft.com/office/drawing/2014/chart" uri="{C3380CC4-5D6E-409C-BE32-E72D297353CC}">
                <c16:uniqueId val="{00000020-7C7A-483A-BDA8-F7C400DC079C}"/>
              </c:ext>
            </c:extLst>
          </c:dPt>
          <c:dPt>
            <c:idx val="12"/>
            <c:marker>
              <c:symbol val="none"/>
            </c:marker>
            <c:bubble3D val="0"/>
            <c:extLst>
              <c:ext xmlns:c16="http://schemas.microsoft.com/office/drawing/2014/chart" uri="{C3380CC4-5D6E-409C-BE32-E72D297353CC}">
                <c16:uniqueId val="{00000021-7C7A-483A-BDA8-F7C400DC079C}"/>
              </c:ext>
            </c:extLst>
          </c:dPt>
          <c:dPt>
            <c:idx val="13"/>
            <c:marker>
              <c:symbol val="none"/>
            </c:marker>
            <c:bubble3D val="0"/>
            <c:extLst>
              <c:ext xmlns:c16="http://schemas.microsoft.com/office/drawing/2014/chart" uri="{C3380CC4-5D6E-409C-BE32-E72D297353CC}">
                <c16:uniqueId val="{00000022-7C7A-483A-BDA8-F7C400DC079C}"/>
              </c:ext>
            </c:extLst>
          </c:dPt>
          <c:dPt>
            <c:idx val="14"/>
            <c:marker>
              <c:symbol val="none"/>
            </c:marker>
            <c:bubble3D val="0"/>
            <c:extLst>
              <c:ext xmlns:c16="http://schemas.microsoft.com/office/drawing/2014/chart" uri="{C3380CC4-5D6E-409C-BE32-E72D297353CC}">
                <c16:uniqueId val="{00000023-7C7A-483A-BDA8-F7C400DC079C}"/>
              </c:ext>
            </c:extLst>
          </c:dPt>
          <c:xVal>
            <c:numRef>
              <c:f>'SensIt Spider 1'!$AL$3:$AL$18</c:f>
              <c:numCache>
                <c:formatCode>0.0%</c:formatCode>
                <c:ptCount val="16"/>
                <c:pt idx="0">
                  <c:v>0.72</c:v>
                </c:pt>
                <c:pt idx="1">
                  <c:v>0.8</c:v>
                </c:pt>
                <c:pt idx="2">
                  <c:v>0.9</c:v>
                </c:pt>
                <c:pt idx="3">
                  <c:v>1</c:v>
                </c:pt>
                <c:pt idx="4">
                  <c:v>1.1000000000000001</c:v>
                </c:pt>
                <c:pt idx="5">
                  <c:v>1.2000000000000002</c:v>
                </c:pt>
                <c:pt idx="6">
                  <c:v>1.3000000000000003</c:v>
                </c:pt>
                <c:pt idx="7">
                  <c:v>1.4000000000000004</c:v>
                </c:pt>
                <c:pt idx="8">
                  <c:v>1.5000000000000004</c:v>
                </c:pt>
                <c:pt idx="9">
                  <c:v>1.6000000000000005</c:v>
                </c:pt>
                <c:pt idx="10">
                  <c:v>1.7000000000000006</c:v>
                </c:pt>
                <c:pt idx="11">
                  <c:v>1.8000000000000007</c:v>
                </c:pt>
                <c:pt idx="12">
                  <c:v>1.9000000000000008</c:v>
                </c:pt>
                <c:pt idx="13">
                  <c:v>2.0000000000000009</c:v>
                </c:pt>
                <c:pt idx="14">
                  <c:v>2.100000000000001</c:v>
                </c:pt>
                <c:pt idx="15">
                  <c:v>2.12</c:v>
                </c:pt>
              </c:numCache>
            </c:numRef>
          </c:xVal>
          <c:yVal>
            <c:numRef>
              <c:f>'SensIt Spider 1'!$AM$3:$AM$18</c:f>
              <c:numCache>
                <c:formatCode>"$"#,##0_);[Red]\("$"#,##0\)</c:formatCode>
                <c:ptCount val="16"/>
                <c:pt idx="0">
                  <c:v>257482.4</c:v>
                </c:pt>
                <c:pt idx="1">
                  <c:v>266188.68</c:v>
                </c:pt>
                <c:pt idx="2">
                  <c:v>276559.25</c:v>
                </c:pt>
                <c:pt idx="3">
                  <c:v>286360.65000000002</c:v>
                </c:pt>
                <c:pt idx="4">
                  <c:v>295592.84999999998</c:v>
                </c:pt>
                <c:pt idx="5">
                  <c:v>304255.87</c:v>
                </c:pt>
                <c:pt idx="6">
                  <c:v>312349.7</c:v>
                </c:pt>
                <c:pt idx="7">
                  <c:v>319874.34000000003</c:v>
                </c:pt>
                <c:pt idx="8">
                  <c:v>326829.8</c:v>
                </c:pt>
                <c:pt idx="9">
                  <c:v>333216.08</c:v>
                </c:pt>
                <c:pt idx="10">
                  <c:v>339033.16</c:v>
                </c:pt>
                <c:pt idx="11">
                  <c:v>344281.06</c:v>
                </c:pt>
                <c:pt idx="12">
                  <c:v>348959.77</c:v>
                </c:pt>
                <c:pt idx="13">
                  <c:v>353069.3</c:v>
                </c:pt>
                <c:pt idx="14">
                  <c:v>356609.64</c:v>
                </c:pt>
                <c:pt idx="15">
                  <c:v>357249.4</c:v>
                </c:pt>
              </c:numCache>
            </c:numRef>
          </c:yVal>
          <c:smooth val="0"/>
          <c:extLst>
            <c:ext xmlns:c16="http://schemas.microsoft.com/office/drawing/2014/chart" uri="{C3380CC4-5D6E-409C-BE32-E72D297353CC}">
              <c16:uniqueId val="{00000001-7C7A-483A-BDA8-F7C400DC079C}"/>
            </c:ext>
          </c:extLst>
        </c:ser>
        <c:ser>
          <c:idx val="2"/>
          <c:order val="2"/>
          <c:tx>
            <c:v>BR01-02,</c:v>
          </c:tx>
          <c:dPt>
            <c:idx val="1"/>
            <c:marker>
              <c:symbol val="none"/>
            </c:marker>
            <c:bubble3D val="0"/>
            <c:extLst>
              <c:ext xmlns:c16="http://schemas.microsoft.com/office/drawing/2014/chart" uri="{C3380CC4-5D6E-409C-BE32-E72D297353CC}">
                <c16:uniqueId val="{00000024-7C7A-483A-BDA8-F7C400DC079C}"/>
              </c:ext>
            </c:extLst>
          </c:dPt>
          <c:dPt>
            <c:idx val="2"/>
            <c:marker>
              <c:symbol val="none"/>
            </c:marker>
            <c:bubble3D val="0"/>
            <c:extLst>
              <c:ext xmlns:c16="http://schemas.microsoft.com/office/drawing/2014/chart" uri="{C3380CC4-5D6E-409C-BE32-E72D297353CC}">
                <c16:uniqueId val="{00000025-7C7A-483A-BDA8-F7C400DC079C}"/>
              </c:ext>
            </c:extLst>
          </c:dPt>
          <c:dPt>
            <c:idx val="3"/>
            <c:marker>
              <c:symbol val="none"/>
            </c:marker>
            <c:bubble3D val="0"/>
            <c:extLst>
              <c:ext xmlns:c16="http://schemas.microsoft.com/office/drawing/2014/chart" uri="{C3380CC4-5D6E-409C-BE32-E72D297353CC}">
                <c16:uniqueId val="{00000026-7C7A-483A-BDA8-F7C400DC079C}"/>
              </c:ext>
            </c:extLst>
          </c:dPt>
          <c:dPt>
            <c:idx val="4"/>
            <c:marker>
              <c:symbol val="none"/>
            </c:marker>
            <c:bubble3D val="0"/>
            <c:extLst>
              <c:ext xmlns:c16="http://schemas.microsoft.com/office/drawing/2014/chart" uri="{C3380CC4-5D6E-409C-BE32-E72D297353CC}">
                <c16:uniqueId val="{00000027-7C7A-483A-BDA8-F7C400DC079C}"/>
              </c:ext>
            </c:extLst>
          </c:dPt>
          <c:xVal>
            <c:numRef>
              <c:f>'SensIt Spider 1'!$R$3:$R$8</c:f>
              <c:numCache>
                <c:formatCode>0.0%</c:formatCode>
                <c:ptCount val="6"/>
                <c:pt idx="0">
                  <c:v>0.9375</c:v>
                </c:pt>
                <c:pt idx="1">
                  <c:v>1</c:v>
                </c:pt>
                <c:pt idx="2">
                  <c:v>1.1000000000000001</c:v>
                </c:pt>
                <c:pt idx="3">
                  <c:v>1.2000000000000002</c:v>
                </c:pt>
                <c:pt idx="4">
                  <c:v>1.3000000000000003</c:v>
                </c:pt>
                <c:pt idx="5">
                  <c:v>1.375</c:v>
                </c:pt>
              </c:numCache>
            </c:numRef>
          </c:xVal>
          <c:yVal>
            <c:numRef>
              <c:f>'SensIt Spider 1'!$S$3:$S$8</c:f>
              <c:numCache>
                <c:formatCode>"$"#,##0_);[Red]\("$"#,##0\)</c:formatCode>
                <c:ptCount val="6"/>
                <c:pt idx="0">
                  <c:v>286266.71000000002</c:v>
                </c:pt>
                <c:pt idx="1">
                  <c:v>286360.65000000002</c:v>
                </c:pt>
                <c:pt idx="2">
                  <c:v>284557.12</c:v>
                </c:pt>
                <c:pt idx="3">
                  <c:v>280348.90999999997</c:v>
                </c:pt>
                <c:pt idx="4">
                  <c:v>273735.99</c:v>
                </c:pt>
                <c:pt idx="5">
                  <c:v>267198.21999999997</c:v>
                </c:pt>
              </c:numCache>
            </c:numRef>
          </c:yVal>
          <c:smooth val="0"/>
          <c:extLst>
            <c:ext xmlns:c16="http://schemas.microsoft.com/office/drawing/2014/chart" uri="{C3380CC4-5D6E-409C-BE32-E72D297353CC}">
              <c16:uniqueId val="{00000002-7C7A-483A-BDA8-F7C400DC079C}"/>
            </c:ext>
          </c:extLst>
        </c:ser>
        <c:ser>
          <c:idx val="3"/>
          <c:order val="3"/>
          <c:tx>
            <c:v>BR01-01,</c:v>
          </c:tx>
          <c:dPt>
            <c:idx val="1"/>
            <c:marker>
              <c:symbol val="none"/>
            </c:marker>
            <c:bubble3D val="0"/>
            <c:extLst>
              <c:ext xmlns:c16="http://schemas.microsoft.com/office/drawing/2014/chart" uri="{C3380CC4-5D6E-409C-BE32-E72D297353CC}">
                <c16:uniqueId val="{00000028-7C7A-483A-BDA8-F7C400DC079C}"/>
              </c:ext>
            </c:extLst>
          </c:dPt>
          <c:dPt>
            <c:idx val="2"/>
            <c:marker>
              <c:symbol val="none"/>
            </c:marker>
            <c:bubble3D val="0"/>
            <c:extLst>
              <c:ext xmlns:c16="http://schemas.microsoft.com/office/drawing/2014/chart" uri="{C3380CC4-5D6E-409C-BE32-E72D297353CC}">
                <c16:uniqueId val="{00000029-7C7A-483A-BDA8-F7C400DC079C}"/>
              </c:ext>
            </c:extLst>
          </c:dPt>
          <c:dPt>
            <c:idx val="3"/>
            <c:marker>
              <c:symbol val="none"/>
            </c:marker>
            <c:bubble3D val="0"/>
            <c:extLst>
              <c:ext xmlns:c16="http://schemas.microsoft.com/office/drawing/2014/chart" uri="{C3380CC4-5D6E-409C-BE32-E72D297353CC}">
                <c16:uniqueId val="{0000002A-7C7A-483A-BDA8-F7C400DC079C}"/>
              </c:ext>
            </c:extLst>
          </c:dPt>
          <c:dPt>
            <c:idx val="4"/>
            <c:marker>
              <c:symbol val="none"/>
            </c:marker>
            <c:bubble3D val="0"/>
            <c:extLst>
              <c:ext xmlns:c16="http://schemas.microsoft.com/office/drawing/2014/chart" uri="{C3380CC4-5D6E-409C-BE32-E72D297353CC}">
                <c16:uniqueId val="{0000002B-7C7A-483A-BDA8-F7C400DC079C}"/>
              </c:ext>
            </c:extLst>
          </c:dPt>
          <c:xVal>
            <c:numRef>
              <c:f>'SensIt Spider 1'!$N$3:$N$8</c:f>
              <c:numCache>
                <c:formatCode>0.0%</c:formatCode>
                <c:ptCount val="6"/>
                <c:pt idx="0">
                  <c:v>0.9375</c:v>
                </c:pt>
                <c:pt idx="1">
                  <c:v>1</c:v>
                </c:pt>
                <c:pt idx="2">
                  <c:v>1.1000000000000001</c:v>
                </c:pt>
                <c:pt idx="3">
                  <c:v>1.2000000000000002</c:v>
                </c:pt>
                <c:pt idx="4">
                  <c:v>1.3000000000000003</c:v>
                </c:pt>
                <c:pt idx="5">
                  <c:v>1.375</c:v>
                </c:pt>
              </c:numCache>
            </c:numRef>
          </c:xVal>
          <c:yVal>
            <c:numRef>
              <c:f>'SensIt Spider 1'!$O$3:$O$8</c:f>
              <c:numCache>
                <c:formatCode>"$"#,##0_);[Red]\("$"#,##0\)</c:formatCode>
                <c:ptCount val="6"/>
                <c:pt idx="0">
                  <c:v>286219.09000000003</c:v>
                </c:pt>
                <c:pt idx="1">
                  <c:v>286360.65000000002</c:v>
                </c:pt>
                <c:pt idx="2">
                  <c:v>284746.87</c:v>
                </c:pt>
                <c:pt idx="3">
                  <c:v>280868.15000000002</c:v>
                </c:pt>
                <c:pt idx="4">
                  <c:v>274724.47999999998</c:v>
                </c:pt>
                <c:pt idx="5">
                  <c:v>268630.36</c:v>
                </c:pt>
              </c:numCache>
            </c:numRef>
          </c:yVal>
          <c:smooth val="0"/>
          <c:extLst>
            <c:ext xmlns:c16="http://schemas.microsoft.com/office/drawing/2014/chart" uri="{C3380CC4-5D6E-409C-BE32-E72D297353CC}">
              <c16:uniqueId val="{00000003-7C7A-483A-BDA8-F7C400DC079C}"/>
            </c:ext>
          </c:extLst>
        </c:ser>
        <c:ser>
          <c:idx val="4"/>
          <c:order val="4"/>
          <c:tx>
            <c:v>BR01-04,</c:v>
          </c:tx>
          <c:dPt>
            <c:idx val="1"/>
            <c:marker>
              <c:symbol val="none"/>
            </c:marker>
            <c:bubble3D val="0"/>
            <c:extLst>
              <c:ext xmlns:c16="http://schemas.microsoft.com/office/drawing/2014/chart" uri="{C3380CC4-5D6E-409C-BE32-E72D297353CC}">
                <c16:uniqueId val="{0000002C-7C7A-483A-BDA8-F7C400DC079C}"/>
              </c:ext>
            </c:extLst>
          </c:dPt>
          <c:dPt>
            <c:idx val="2"/>
            <c:marker>
              <c:symbol val="none"/>
            </c:marker>
            <c:bubble3D val="0"/>
            <c:extLst>
              <c:ext xmlns:c16="http://schemas.microsoft.com/office/drawing/2014/chart" uri="{C3380CC4-5D6E-409C-BE32-E72D297353CC}">
                <c16:uniqueId val="{0000002D-7C7A-483A-BDA8-F7C400DC079C}"/>
              </c:ext>
            </c:extLst>
          </c:dPt>
          <c:dPt>
            <c:idx val="3"/>
            <c:marker>
              <c:symbol val="none"/>
            </c:marker>
            <c:bubble3D val="0"/>
            <c:extLst>
              <c:ext xmlns:c16="http://schemas.microsoft.com/office/drawing/2014/chart" uri="{C3380CC4-5D6E-409C-BE32-E72D297353CC}">
                <c16:uniqueId val="{0000002E-7C7A-483A-BDA8-F7C400DC079C}"/>
              </c:ext>
            </c:extLst>
          </c:dPt>
          <c:dPt>
            <c:idx val="4"/>
            <c:marker>
              <c:symbol val="none"/>
            </c:marker>
            <c:bubble3D val="0"/>
            <c:extLst>
              <c:ext xmlns:c16="http://schemas.microsoft.com/office/drawing/2014/chart" uri="{C3380CC4-5D6E-409C-BE32-E72D297353CC}">
                <c16:uniqueId val="{0000002F-7C7A-483A-BDA8-F7C400DC079C}"/>
              </c:ext>
            </c:extLst>
          </c:dPt>
          <c:dPt>
            <c:idx val="5"/>
            <c:marker>
              <c:symbol val="none"/>
            </c:marker>
            <c:bubble3D val="0"/>
            <c:extLst>
              <c:ext xmlns:c16="http://schemas.microsoft.com/office/drawing/2014/chart" uri="{C3380CC4-5D6E-409C-BE32-E72D297353CC}">
                <c16:uniqueId val="{00000030-7C7A-483A-BDA8-F7C400DC079C}"/>
              </c:ext>
            </c:extLst>
          </c:dPt>
          <c:xVal>
            <c:numRef>
              <c:f>'SensIt Spider 1'!$Z$3:$Z$9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1'!$AA$3:$AA$9</c:f>
              <c:numCache>
                <c:formatCode>"$"#,##0_);[Red]\("$"#,##0\)</c:formatCode>
                <c:ptCount val="7"/>
                <c:pt idx="0">
                  <c:v>285415.76</c:v>
                </c:pt>
                <c:pt idx="1">
                  <c:v>285947.26</c:v>
                </c:pt>
                <c:pt idx="2">
                  <c:v>286360.65000000002</c:v>
                </c:pt>
                <c:pt idx="3">
                  <c:v>285002.37</c:v>
                </c:pt>
                <c:pt idx="4">
                  <c:v>281872.42</c:v>
                </c:pt>
                <c:pt idx="5">
                  <c:v>276970.8</c:v>
                </c:pt>
                <c:pt idx="6">
                  <c:v>274943.21999999997</c:v>
                </c:pt>
              </c:numCache>
            </c:numRef>
          </c:yVal>
          <c:smooth val="0"/>
          <c:extLst>
            <c:ext xmlns:c16="http://schemas.microsoft.com/office/drawing/2014/chart" uri="{C3380CC4-5D6E-409C-BE32-E72D297353CC}">
              <c16:uniqueId val="{00000004-7C7A-483A-BDA8-F7C400DC079C}"/>
            </c:ext>
          </c:extLst>
        </c:ser>
        <c:ser>
          <c:idx val="5"/>
          <c:order val="5"/>
          <c:tx>
            <c:v>BR01-05,</c:v>
          </c:tx>
          <c:dPt>
            <c:idx val="1"/>
            <c:marker>
              <c:symbol val="none"/>
            </c:marker>
            <c:bubble3D val="0"/>
            <c:extLst>
              <c:ext xmlns:c16="http://schemas.microsoft.com/office/drawing/2014/chart" uri="{C3380CC4-5D6E-409C-BE32-E72D297353CC}">
                <c16:uniqueId val="{00000031-7C7A-483A-BDA8-F7C400DC079C}"/>
              </c:ext>
            </c:extLst>
          </c:dPt>
          <c:dPt>
            <c:idx val="2"/>
            <c:marker>
              <c:symbol val="none"/>
            </c:marker>
            <c:bubble3D val="0"/>
            <c:extLst>
              <c:ext xmlns:c16="http://schemas.microsoft.com/office/drawing/2014/chart" uri="{C3380CC4-5D6E-409C-BE32-E72D297353CC}">
                <c16:uniqueId val="{00000032-7C7A-483A-BDA8-F7C400DC079C}"/>
              </c:ext>
            </c:extLst>
          </c:dPt>
          <c:dPt>
            <c:idx val="3"/>
            <c:marker>
              <c:symbol val="none"/>
            </c:marker>
            <c:bubble3D val="0"/>
            <c:extLst>
              <c:ext xmlns:c16="http://schemas.microsoft.com/office/drawing/2014/chart" uri="{C3380CC4-5D6E-409C-BE32-E72D297353CC}">
                <c16:uniqueId val="{00000033-7C7A-483A-BDA8-F7C400DC079C}"/>
              </c:ext>
            </c:extLst>
          </c:dPt>
          <c:dPt>
            <c:idx val="4"/>
            <c:marker>
              <c:symbol val="none"/>
            </c:marker>
            <c:bubble3D val="0"/>
            <c:extLst>
              <c:ext xmlns:c16="http://schemas.microsoft.com/office/drawing/2014/chart" uri="{C3380CC4-5D6E-409C-BE32-E72D297353CC}">
                <c16:uniqueId val="{00000034-7C7A-483A-BDA8-F7C400DC079C}"/>
              </c:ext>
            </c:extLst>
          </c:dPt>
          <c:dPt>
            <c:idx val="5"/>
            <c:marker>
              <c:symbol val="none"/>
            </c:marker>
            <c:bubble3D val="0"/>
            <c:extLst>
              <c:ext xmlns:c16="http://schemas.microsoft.com/office/drawing/2014/chart" uri="{C3380CC4-5D6E-409C-BE32-E72D297353CC}">
                <c16:uniqueId val="{00000035-7C7A-483A-BDA8-F7C400DC079C}"/>
              </c:ext>
            </c:extLst>
          </c:dPt>
          <c:xVal>
            <c:numRef>
              <c:f>'SensIt Spider 1'!$AD$3:$AD$9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1'!$AE$3:$AE$9</c:f>
              <c:numCache>
                <c:formatCode>"$"#,##0_);[Red]\("$"#,##0\)</c:formatCode>
                <c:ptCount val="7"/>
                <c:pt idx="0">
                  <c:v>285510.36</c:v>
                </c:pt>
                <c:pt idx="1">
                  <c:v>285988.65000000002</c:v>
                </c:pt>
                <c:pt idx="2">
                  <c:v>286360.65000000002</c:v>
                </c:pt>
                <c:pt idx="3">
                  <c:v>285138.36</c:v>
                </c:pt>
                <c:pt idx="4">
                  <c:v>282321.78999999998</c:v>
                </c:pt>
                <c:pt idx="5">
                  <c:v>277910.93</c:v>
                </c:pt>
                <c:pt idx="6">
                  <c:v>276086.36</c:v>
                </c:pt>
              </c:numCache>
            </c:numRef>
          </c:yVal>
          <c:smooth val="0"/>
          <c:extLst>
            <c:ext xmlns:c16="http://schemas.microsoft.com/office/drawing/2014/chart" uri="{C3380CC4-5D6E-409C-BE32-E72D297353CC}">
              <c16:uniqueId val="{00000005-7C7A-483A-BDA8-F7C400DC079C}"/>
            </c:ext>
          </c:extLst>
        </c:ser>
        <c:ser>
          <c:idx val="6"/>
          <c:order val="6"/>
          <c:tx>
            <c:v>BR01-03,</c:v>
          </c:tx>
          <c:dPt>
            <c:idx val="1"/>
            <c:marker>
              <c:symbol val="none"/>
            </c:marker>
            <c:bubble3D val="0"/>
            <c:extLst>
              <c:ext xmlns:c16="http://schemas.microsoft.com/office/drawing/2014/chart" uri="{C3380CC4-5D6E-409C-BE32-E72D297353CC}">
                <c16:uniqueId val="{00000036-7C7A-483A-BDA8-F7C400DC079C}"/>
              </c:ext>
            </c:extLst>
          </c:dPt>
          <c:dPt>
            <c:idx val="2"/>
            <c:marker>
              <c:symbol val="none"/>
            </c:marker>
            <c:bubble3D val="0"/>
            <c:extLst>
              <c:ext xmlns:c16="http://schemas.microsoft.com/office/drawing/2014/chart" uri="{C3380CC4-5D6E-409C-BE32-E72D297353CC}">
                <c16:uniqueId val="{00000037-7C7A-483A-BDA8-F7C400DC079C}"/>
              </c:ext>
            </c:extLst>
          </c:dPt>
          <c:dPt>
            <c:idx val="3"/>
            <c:marker>
              <c:symbol val="none"/>
            </c:marker>
            <c:bubble3D val="0"/>
            <c:extLst>
              <c:ext xmlns:c16="http://schemas.microsoft.com/office/drawing/2014/chart" uri="{C3380CC4-5D6E-409C-BE32-E72D297353CC}">
                <c16:uniqueId val="{00000038-7C7A-483A-BDA8-F7C400DC079C}"/>
              </c:ext>
            </c:extLst>
          </c:dPt>
          <c:dPt>
            <c:idx val="4"/>
            <c:marker>
              <c:symbol val="none"/>
            </c:marker>
            <c:bubble3D val="0"/>
            <c:extLst>
              <c:ext xmlns:c16="http://schemas.microsoft.com/office/drawing/2014/chart" uri="{C3380CC4-5D6E-409C-BE32-E72D297353CC}">
                <c16:uniqueId val="{00000039-7C7A-483A-BDA8-F7C400DC079C}"/>
              </c:ext>
            </c:extLst>
          </c:dPt>
          <c:dPt>
            <c:idx val="5"/>
            <c:marker>
              <c:symbol val="none"/>
            </c:marker>
            <c:bubble3D val="0"/>
            <c:extLst>
              <c:ext xmlns:c16="http://schemas.microsoft.com/office/drawing/2014/chart" uri="{C3380CC4-5D6E-409C-BE32-E72D297353CC}">
                <c16:uniqueId val="{0000003A-7C7A-483A-BDA8-F7C400DC079C}"/>
              </c:ext>
            </c:extLst>
          </c:dPt>
          <c:xVal>
            <c:numRef>
              <c:f>'SensIt Spider 1'!$V$3:$V$9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1'!$W$3:$W$9</c:f>
              <c:numCache>
                <c:formatCode>"$"#,##0_);[Red]\("$"#,##0\)</c:formatCode>
                <c:ptCount val="7"/>
                <c:pt idx="0">
                  <c:v>285807.27</c:v>
                </c:pt>
                <c:pt idx="1">
                  <c:v>286118.55</c:v>
                </c:pt>
                <c:pt idx="2">
                  <c:v>286360.65000000002</c:v>
                </c:pt>
                <c:pt idx="3">
                  <c:v>285565.17</c:v>
                </c:pt>
                <c:pt idx="4">
                  <c:v>283732.13</c:v>
                </c:pt>
                <c:pt idx="5">
                  <c:v>280861.52</c:v>
                </c:pt>
                <c:pt idx="6">
                  <c:v>279674.08</c:v>
                </c:pt>
              </c:numCache>
            </c:numRef>
          </c:yVal>
          <c:smooth val="0"/>
          <c:extLst>
            <c:ext xmlns:c16="http://schemas.microsoft.com/office/drawing/2014/chart" uri="{C3380CC4-5D6E-409C-BE32-E72D297353CC}">
              <c16:uniqueId val="{00000006-7C7A-483A-BDA8-F7C400DC079C}"/>
            </c:ext>
          </c:extLst>
        </c:ser>
        <c:ser>
          <c:idx val="7"/>
          <c:order val="7"/>
          <c:tx>
            <c:v>BR01-06,</c:v>
          </c:tx>
          <c:dPt>
            <c:idx val="1"/>
            <c:marker>
              <c:symbol val="none"/>
            </c:marker>
            <c:bubble3D val="0"/>
            <c:extLst>
              <c:ext xmlns:c16="http://schemas.microsoft.com/office/drawing/2014/chart" uri="{C3380CC4-5D6E-409C-BE32-E72D297353CC}">
                <c16:uniqueId val="{0000003B-7C7A-483A-BDA8-F7C400DC079C}"/>
              </c:ext>
            </c:extLst>
          </c:dPt>
          <c:dPt>
            <c:idx val="2"/>
            <c:marker>
              <c:symbol val="none"/>
            </c:marker>
            <c:bubble3D val="0"/>
            <c:extLst>
              <c:ext xmlns:c16="http://schemas.microsoft.com/office/drawing/2014/chart" uri="{C3380CC4-5D6E-409C-BE32-E72D297353CC}">
                <c16:uniqueId val="{0000003C-7C7A-483A-BDA8-F7C400DC079C}"/>
              </c:ext>
            </c:extLst>
          </c:dPt>
          <c:dPt>
            <c:idx val="3"/>
            <c:marker>
              <c:symbol val="none"/>
            </c:marker>
            <c:bubble3D val="0"/>
            <c:extLst>
              <c:ext xmlns:c16="http://schemas.microsoft.com/office/drawing/2014/chart" uri="{C3380CC4-5D6E-409C-BE32-E72D297353CC}">
                <c16:uniqueId val="{0000003D-7C7A-483A-BDA8-F7C400DC079C}"/>
              </c:ext>
            </c:extLst>
          </c:dPt>
          <c:dPt>
            <c:idx val="4"/>
            <c:marker>
              <c:symbol val="none"/>
            </c:marker>
            <c:bubble3D val="0"/>
            <c:extLst>
              <c:ext xmlns:c16="http://schemas.microsoft.com/office/drawing/2014/chart" uri="{C3380CC4-5D6E-409C-BE32-E72D297353CC}">
                <c16:uniqueId val="{0000003E-7C7A-483A-BDA8-F7C400DC079C}"/>
              </c:ext>
            </c:extLst>
          </c:dPt>
          <c:dPt>
            <c:idx val="5"/>
            <c:marker>
              <c:symbol val="none"/>
            </c:marker>
            <c:bubble3D val="0"/>
            <c:extLst>
              <c:ext xmlns:c16="http://schemas.microsoft.com/office/drawing/2014/chart" uri="{C3380CC4-5D6E-409C-BE32-E72D297353CC}">
                <c16:uniqueId val="{0000003F-7C7A-483A-BDA8-F7C400DC079C}"/>
              </c:ext>
            </c:extLst>
          </c:dPt>
          <c:xVal>
            <c:numRef>
              <c:f>'SensIt Spider 1'!$AH$3:$AH$9</c:f>
              <c:numCache>
                <c:formatCode>0.0%</c:formatCode>
                <c:ptCount val="7"/>
                <c:pt idx="0">
                  <c:v>0.8666666666666667</c:v>
                </c:pt>
                <c:pt idx="1">
                  <c:v>0.9</c:v>
                </c:pt>
                <c:pt idx="2">
                  <c:v>1</c:v>
                </c:pt>
                <c:pt idx="3">
                  <c:v>1.1000000000000001</c:v>
                </c:pt>
                <c:pt idx="4">
                  <c:v>1.2000000000000002</c:v>
                </c:pt>
                <c:pt idx="5">
                  <c:v>1.3000000000000003</c:v>
                </c:pt>
                <c:pt idx="6">
                  <c:v>1.3333333333333333</c:v>
                </c:pt>
              </c:numCache>
            </c:numRef>
          </c:xVal>
          <c:yVal>
            <c:numRef>
              <c:f>'SensIt Spider 1'!$AI$3:$AI$9</c:f>
              <c:numCache>
                <c:formatCode>"$"#,##0_);[Red]\("$"#,##0\)</c:formatCode>
                <c:ptCount val="7"/>
                <c:pt idx="0">
                  <c:v>285839.83</c:v>
                </c:pt>
                <c:pt idx="1">
                  <c:v>286132.78999999998</c:v>
                </c:pt>
                <c:pt idx="2">
                  <c:v>286360.65000000002</c:v>
                </c:pt>
                <c:pt idx="3">
                  <c:v>285611.96999999997</c:v>
                </c:pt>
                <c:pt idx="4">
                  <c:v>283886.75</c:v>
                </c:pt>
                <c:pt idx="5">
                  <c:v>281185</c:v>
                </c:pt>
                <c:pt idx="6">
                  <c:v>280067.40999999997</c:v>
                </c:pt>
              </c:numCache>
            </c:numRef>
          </c:yVal>
          <c:smooth val="0"/>
          <c:extLst>
            <c:ext xmlns:c16="http://schemas.microsoft.com/office/drawing/2014/chart" uri="{C3380CC4-5D6E-409C-BE32-E72D297353CC}">
              <c16:uniqueId val="{00000007-7C7A-483A-BDA8-F7C400DC079C}"/>
            </c:ext>
          </c:extLst>
        </c:ser>
        <c:dLbls>
          <c:showLegendKey val="0"/>
          <c:showVal val="0"/>
          <c:showCatName val="0"/>
          <c:showSerName val="0"/>
          <c:showPercent val="0"/>
          <c:showBubbleSize val="0"/>
        </c:dLbls>
        <c:axId val="1155042159"/>
        <c:axId val="1155030511"/>
      </c:scatterChart>
      <c:valAx>
        <c:axId val="1155042159"/>
        <c:scaling>
          <c:orientation val="minMax"/>
          <c:max val="2.4000000000000004"/>
          <c:min val="0.40000000000000008"/>
        </c:scaling>
        <c:delete val="0"/>
        <c:axPos val="b"/>
        <c:title>
          <c:tx>
            <c:rich>
              <a:bodyPr/>
              <a:lstStyle/>
              <a:p>
                <a:pPr>
                  <a:defRPr sz="1000"/>
                </a:pPr>
                <a:r>
                  <a:rPr lang="en-US"/>
                  <a:t>Input Value as % of Base Case</a:t>
                </a:r>
              </a:p>
            </c:rich>
          </c:tx>
          <c:overlay val="0"/>
        </c:title>
        <c:numFmt formatCode="0.0%" sourceLinked="1"/>
        <c:majorTickMark val="out"/>
        <c:minorTickMark val="none"/>
        <c:tickLblPos val="nextTo"/>
        <c:spPr>
          <a:ln w="12700">
            <a:solidFill>
              <a:srgbClr val="000000"/>
            </a:solidFill>
            <a:prstDash val="solid"/>
          </a:ln>
        </c:spPr>
        <c:crossAx val="1155030511"/>
        <c:crossesAt val="220000"/>
        <c:crossBetween val="midCat"/>
        <c:majorUnit val="0.2"/>
      </c:valAx>
      <c:valAx>
        <c:axId val="1155030511"/>
        <c:scaling>
          <c:orientation val="minMax"/>
          <c:max val="400000"/>
          <c:min val="220000"/>
        </c:scaling>
        <c:delete val="0"/>
        <c:axPos val="l"/>
        <c:title>
          <c:tx>
            <c:rich>
              <a:bodyPr/>
              <a:lstStyle/>
              <a:p>
                <a:pPr>
                  <a:defRPr sz="1000"/>
                </a:pPr>
                <a:r>
                  <a:rPr lang="en-US"/>
                  <a:t>Profit before Taxes</a:t>
                </a:r>
              </a:p>
            </c:rich>
          </c:tx>
          <c:overlay val="0"/>
        </c:title>
        <c:numFmt formatCode="&quot;$&quot;#,##0_);[Red]\(&quot;$&quot;#,##0\)" sourceLinked="1"/>
        <c:majorTickMark val="out"/>
        <c:minorTickMark val="none"/>
        <c:tickLblPos val="nextTo"/>
        <c:spPr>
          <a:ln w="12700">
            <a:solidFill>
              <a:srgbClr val="000000"/>
            </a:solidFill>
            <a:prstDash val="solid"/>
          </a:ln>
        </c:spPr>
        <c:crossAx val="1155042159"/>
        <c:crossesAt val="0.40000000000000008"/>
        <c:crossBetween val="midCat"/>
        <c:majorUnit val="20000"/>
      </c:valAx>
      <c:spPr>
        <a:noFill/>
        <a:ln w="25400">
          <a:noFill/>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800" b="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a:pPr>
            <a:r>
              <a:rPr lang="en-US" sz="1000" b="0" i="0"/>
              <a:t>SensIt 1.46</a:t>
            </a:r>
          </a:p>
        </c:rich>
      </c:tx>
      <c:overlay val="0"/>
    </c:title>
    <c:autoTitleDeleted val="0"/>
    <c:plotArea>
      <c:layout/>
      <c:barChart>
        <c:barDir val="bar"/>
        <c:grouping val="clustered"/>
        <c:varyColors val="0"/>
        <c:ser>
          <c:idx val="0"/>
          <c:order val="0"/>
          <c:tx>
            <c:v>Bars on Right</c:v>
          </c:tx>
          <c:spPr>
            <a:solidFill>
              <a:srgbClr val="000000"/>
            </a:solidFill>
          </c:spPr>
          <c:invertIfNegative val="0"/>
          <c:dLbls>
            <c:dLbl>
              <c:idx val="0"/>
              <c:tx>
                <c:strRef>
                  <c:f>'SensIt Two-Factor Tornado 1'!$B$11</c:f>
                  <c:strCache>
                    <c:ptCount val="1"/>
                    <c:pt idx="0">
                      <c:v>$1.80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{ADB6DD1B-C514-47EE-9A49-62BFE349BB59}</c15:txfldGUID>
                      <c15:f>'SensIt Two-Factor Tornado 1'!$B$11</c15:f>
                      <c15:dlblFieldTableCache>
                        <c:ptCount val="1"/>
                        <c:pt idx="0">
                          <c:v>$1.80 &amp; $1.80</c:v>
                        </c:pt>
                      </c15:dlblFieldTableCache>
                    </c15:dlblFTEntry>
                  </c15:dlblFieldTable>
                  <c15:showDataLabelsRange val="0"/>
                </c:ext>
                <c:ext xmlns:c16="http://schemas.microsoft.com/office/drawing/2014/chart" uri="{C3380CC4-5D6E-409C-BE32-E72D297353CC}">
                  <c16:uniqueId val="{00000006-EB1B-4D7A-A8E1-B80A8092B6C5}"/>
                </c:ext>
              </c:extLst>
            </c:dLbl>
            <c:dLbl>
              <c:idx val="1"/>
              <c:tx>
                <c:strRef>
                  <c:f>'SensIt Two-Factor Tornado 1'!$B$12</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{F73A8939-F912-45B3-A88D-C0675754D087}</c15:txfldGUID>
                      <c15:f>'SensIt Two-Factor Tornado 1'!$B$12</c15:f>
                      <c15:dlblFieldTableCache>
                        <c:ptCount val="1"/>
                        <c:pt idx="0">
                          <c:v>$11.00 &amp; $1.80</c:v>
                        </c:pt>
                      </c15:dlblFieldTableCache>
                    </c15:dlblFTEntry>
                  </c15:dlblFieldTable>
                  <c15:showDataLabelsRange val="0"/>
                </c:ext>
                <c:ext xmlns:c16="http://schemas.microsoft.com/office/drawing/2014/chart" uri="{C3380CC4-5D6E-409C-BE32-E72D297353CC}">
                  <c16:uniqueId val="{00000008-EB1B-4D7A-A8E1-B80A8092B6C5}"/>
                </c:ext>
              </c:extLst>
            </c:dLbl>
            <c:dLbl>
              <c:idx val="2"/>
              <c:tx>
                <c:strRef>
                  <c:f>'SensIt Two-Factor Tornado 1'!$B$13</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{66002504-AD86-45D4-B2F4-960670228858}</c15:txfldGUID>
                      <c15:f>'SensIt Two-Factor Tornado 1'!$B$13</c15:f>
                      <c15:dlblFieldTableCache>
                        <c:ptCount val="1"/>
                        <c:pt idx="0">
                          <c:v>$11.00 &amp; $1.80</c:v>
                        </c:pt>
                      </c15:dlblFieldTableCache>
                    </c15:dlblFTEntry>
                  </c15:dlblFieldTable>
                  <c15:showDataLabelsRange val="0"/>
                </c:ext>
                <c:ext xmlns:c16="http://schemas.microsoft.com/office/drawing/2014/chart" uri="{C3380CC4-5D6E-409C-BE32-E72D297353CC}">
                  <c16:uniqueId val="{0000000A-EB1B-4D7A-A8E1-B80A8092B6C5}"/>
                </c:ext>
              </c:extLst>
            </c:dLbl>
            <c:dLbl>
              <c:idx val="3"/>
              <c:tx>
                <c:strRef>
                  <c:f>'SensIt Two-Factor Tornado 1'!$B$14</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{CE6F6F29-C185-4A85-BBBB-B9E8266E187B}</c15:txfldGUID>
                      <c15:f>'SensIt Two-Factor Tornado 1'!$B$14</c15:f>
                      <c15:dlblFieldTableCache>
                        <c:ptCount val="1"/>
                        <c:pt idx="0">
                          <c:v>$10.00 &amp; $1.80</c:v>
                        </c:pt>
                      </c15:dlblFieldTableCache>
                    </c15:dlblFTEntry>
                  </c15:dlblFieldTable>
                  <c15:showDataLabelsRange val="0"/>
                </c:ext>
                <c:ext xmlns:c16="http://schemas.microsoft.com/office/drawing/2014/chart" uri="{C3380CC4-5D6E-409C-BE32-E72D297353CC}">
                  <c16:uniqueId val="{0000000C-EB1B-4D7A-A8E1-B80A8092B6C5}"/>
                </c:ext>
              </c:extLst>
            </c:dLbl>
            <c:dLbl>
              <c:idx val="4"/>
              <c:tx>
                <c:strRef>
                  <c:f>'SensIt Two-Factor Tornado 1'!$B$15</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{F92CD282-B585-42F2-8A4D-826E090BA496}</c15:txfldGUID>
                      <c15:f>'SensIt Two-Factor Tornado 1'!$B$15</c15:f>
                      <c15:dlblFieldTableCache>
                        <c:ptCount val="1"/>
                        <c:pt idx="0">
                          <c:v>$10.00 &amp; $1.80</c:v>
                        </c:pt>
                      </c15:dlblFieldTableCache>
                    </c15:dlblFTEntry>
                  </c15:dlblFieldTable>
                  <c15:showDataLabelsRange val="0"/>
                </c:ext>
                <c:ext xmlns:c16="http://schemas.microsoft.com/office/drawing/2014/chart" uri="{C3380CC4-5D6E-409C-BE32-E72D297353CC}">
                  <c16:uniqueId val="{0000000E-EB1B-4D7A-A8E1-B80A8092B6C5}"/>
                </c:ext>
              </c:extLst>
            </c:dLbl>
            <c:dLbl>
              <c:idx val="5"/>
              <c:tx>
                <c:strRef>
                  <c:f>'SensIt Two-Factor Tornado 1'!$B$16</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{233D8E4C-E4A9-42C3-9639-66A9C47246B0}</c15:txfldGUID>
                      <c15:f>'SensIt Two-Factor Tornado 1'!$B$16</c15:f>
                      <c15:dlblFieldTableCache>
                        <c:ptCount val="1"/>
                        <c:pt idx="0">
                          <c:v>$10.00 &amp; $1.80</c:v>
                        </c:pt>
                      </c15:dlblFieldTableCache>
                    </c15:dlblFTEntry>
                  </c15:dlblFieldTable>
                  <c15:showDataLabelsRange val="0"/>
                </c:ext>
                <c:ext xmlns:c16="http://schemas.microsoft.com/office/drawing/2014/chart" uri="{C3380CC4-5D6E-409C-BE32-E72D297353CC}">
                  <c16:uniqueId val="{00000010-EB1B-4D7A-A8E1-B80A8092B6C5}"/>
                </c:ext>
              </c:extLst>
            </c:dLbl>
            <c:dLbl>
              <c:idx val="6"/>
              <c:tx>
                <c:strRef>
                  <c:f>'SensIt Two-Factor Tornado 1'!$B$17</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{279F40CA-04F1-43DA-B721-2830B32BFBEE}</c15:txfldGUID>
                      <c15:f>'SensIt Two-Factor Tornado 1'!$B$17</c15:f>
                      <c15:dlblFieldTableCache>
                        <c:ptCount val="1"/>
                        <c:pt idx="0">
                          <c:v>$10.00 &amp; $1.80</c:v>
                        </c:pt>
                      </c15:dlblFieldTableCache>
                    </c15:dlblFTEntry>
                  </c15:dlblFieldTable>
                  <c15:showDataLabelsRange val="0"/>
                </c:ext>
                <c:ext xmlns:c16="http://schemas.microsoft.com/office/drawing/2014/chart" uri="{C3380CC4-5D6E-409C-BE32-E72D297353CC}">
                  <c16:uniqueId val="{00000012-EB1B-4D7A-A8E1-B80A8092B6C5}"/>
                </c:ext>
              </c:extLst>
            </c:dLbl>
            <c:dLbl>
              <c:idx val="7"/>
              <c:tx>
                <c:strRef>
                  <c:f>'SensIt Two-Factor Tornado 1'!$B$18</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{09255C9F-978D-47AF-9EE6-7BAA9B7702EF}</c15:txfldGUID>
                      <c15:f>'SensIt Two-Factor Tornado 1'!$B$18</c15:f>
                      <c15:dlblFieldTableCache>
                        <c:ptCount val="1"/>
                        <c:pt idx="0">
                          <c:v>$11.00 &amp; $1.80</c:v>
                        </c:pt>
                      </c15:dlblFieldTableCache>
                    </c15:dlblFTEntry>
                  </c15:dlblFieldTable>
                  <c15:showDataLabelsRange val="0"/>
                </c:ext>
                <c:ext xmlns:c16="http://schemas.microsoft.com/office/drawing/2014/chart" uri="{C3380CC4-5D6E-409C-BE32-E72D297353CC}">
                  <c16:uniqueId val="{00000014-EB1B-4D7A-A8E1-B80A8092B6C5}"/>
                </c:ext>
              </c:extLst>
            </c:dLbl>
            <c:dLbl>
              <c:idx val="8"/>
              <c:tx>
                <c:strRef>
                  <c:f>'SensIt Two-Factor Tornado 1'!$B$19</c:f>
                  <c:strCache>
                    <c:ptCount val="1"/>
                    <c:pt idx="0">
                      <c:v>$11.00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{5650959C-4AAD-4E7F-8099-2B33E9889F4E}</c15:txfldGUID>
                      <c15:f>'SensIt Two-Factor Tornado 1'!$B$19</c15:f>
                      <c15:dlblFieldTableCache>
                        <c:ptCount val="1"/>
                        <c:pt idx="0">
                          <c:v>$11.00 &amp; $1.80</c:v>
                        </c:pt>
                      </c15:dlblFieldTableCache>
                    </c15:dlblFTEntry>
                  </c15:dlblFieldTable>
                  <c15:showDataLabelsRange val="0"/>
                </c:ext>
                <c:ext xmlns:c16="http://schemas.microsoft.com/office/drawing/2014/chart" uri="{C3380CC4-5D6E-409C-BE32-E72D297353CC}">
                  <c16:uniqueId val="{00000016-EB1B-4D7A-A8E1-B80A8092B6C5}"/>
                </c:ext>
              </c:extLst>
            </c:dLbl>
            <c:dLbl>
              <c:idx val="9"/>
              <c:tx>
                <c:strRef>
                  <c:f>'SensIt Two-Factor Tornado 1'!$B$20</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{E60A88BD-1652-4A59-827B-D9E0B9D2F1D9}</c15:txfldGUID>
                      <c15:f>'SensIt Two-Factor Tornado 1'!$B$20</c15:f>
                      <c15:dlblFieldTableCache>
                        <c:ptCount val="1"/>
                        <c:pt idx="0">
                          <c:v>$10.00 &amp; $1.80</c:v>
                        </c:pt>
                      </c15:dlblFieldTableCache>
                    </c15:dlblFTEntry>
                  </c15:dlblFieldTable>
                  <c15:showDataLabelsRange val="0"/>
                </c:ext>
                <c:ext xmlns:c16="http://schemas.microsoft.com/office/drawing/2014/chart" uri="{C3380CC4-5D6E-409C-BE32-E72D297353CC}">
                  <c16:uniqueId val="{00000018-EB1B-4D7A-A8E1-B80A8092B6C5}"/>
                </c:ext>
              </c:extLst>
            </c:dLbl>
            <c:dLbl>
              <c:idx val="10"/>
              <c:tx>
                <c:strRef>
                  <c:f>'SensIt Two-Factor Tornado 1'!$B$21</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{F948268C-8101-4CC2-9432-E8DFA6DAC5A7}</c15:txfldGUID>
                      <c15:f>'SensIt Two-Factor Tornado 1'!$B$21</c15:f>
                      <c15:dlblFieldTableCache>
                        <c:ptCount val="1"/>
                        <c:pt idx="0">
                          <c:v>$10.00 &amp; $1.80</c:v>
                        </c:pt>
                      </c15:dlblFieldTableCache>
                    </c15:dlblFTEntry>
                  </c15:dlblFieldTable>
                  <c15:showDataLabelsRange val="0"/>
                </c:ext>
                <c:ext xmlns:c16="http://schemas.microsoft.com/office/drawing/2014/chart" uri="{C3380CC4-5D6E-409C-BE32-E72D297353CC}">
                  <c16:uniqueId val="{0000001A-EB1B-4D7A-A8E1-B80A8092B6C5}"/>
                </c:ext>
              </c:extLst>
            </c:dLbl>
            <c:dLbl>
              <c:idx val="11"/>
              <c:tx>
                <c:strRef>
                  <c:f>'SensIt Two-Factor Tornado 1'!$B$22</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{BE687452-B59D-4F47-974D-544CEC199A80}</c15:txfldGUID>
                      <c15:f>'SensIt Two-Factor Tornado 1'!$B$22</c15:f>
                      <c15:dlblFieldTableCache>
                        <c:ptCount val="1"/>
                        <c:pt idx="0">
                          <c:v>$10.00 &amp; $1.80</c:v>
                        </c:pt>
                      </c15:dlblFieldTableCache>
                    </c15:dlblFTEntry>
                  </c15:dlblFieldTable>
                  <c15:showDataLabelsRange val="0"/>
                </c:ext>
                <c:ext xmlns:c16="http://schemas.microsoft.com/office/drawing/2014/chart" uri="{C3380CC4-5D6E-409C-BE32-E72D297353CC}">
                  <c16:uniqueId val="{0000001C-EB1B-4D7A-A8E1-B80A8092B6C5}"/>
                </c:ext>
              </c:extLst>
            </c:dLbl>
            <c:dLbl>
              <c:idx val="12"/>
              <c:tx>
                <c:strRef>
                  <c:f>'SensIt Two-Factor Tornado 1'!$B$23</c:f>
                  <c:strCache>
                    <c:ptCount val="1"/>
                    <c:pt idx="0">
                      <c:v>$10.00 &amp; $1.80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{50E3FE2D-F08C-4570-AE76-3F5B1AF576FF}</c15:txfldGUID>
                      <c15:f>'SensIt Two-Factor Tornado 1'!$B$23</c15:f>
                      <c15:dlblFieldTableCache>
                        <c:ptCount val="1"/>
                        <c:pt idx="0">
                          <c:v>$10.00 &amp; $1.80</c:v>
                        </c:pt>
                      </c15:dlblFieldTableCache>
                    </c15:dlblFTEntry>
                  </c15:dlblFieldTable>
                  <c15:showDataLabelsRange val="0"/>
                </c:ext>
                <c:ext xmlns:c16="http://schemas.microsoft.com/office/drawing/2014/chart" uri="{C3380CC4-5D6E-409C-BE32-E72D297353CC}">
                  <c16:uniqueId val="{0000001E-EB1B-4D7A-A8E1-B80A8092B6C5}"/>
                </c:ext>
              </c:extLst>
            </c:dLbl>
            <c:dLbl>
              <c:idx val="13"/>
              <c:tx>
                <c:strRef>
                  <c:f>'SensIt Two-Factor Tornado 1'!$B$24</c:f>
                  <c:strCache>
                    <c:ptCount val="1"/>
                    <c:pt idx="0">
                      <c:v>$11.00 &amp; $11.00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{90061241-08A9-4C8C-8974-ACA498466603}</c15:txfldGUID>
                      <c15:f>'SensIt Two-Factor Tornado 1'!$B$24</c15:f>
                      <c15:dlblFieldTableCache>
                        <c:ptCount val="1"/>
                        <c:pt idx="0">
                          <c:v>$11.00 &amp; $11.00</c:v>
                        </c:pt>
                      </c15:dlblFieldTableCache>
                    </c15:dlblFTEntry>
                  </c15:dlblFieldTable>
                  <c15:showDataLabelsRange val="0"/>
                </c:ext>
                <c:ext xmlns:c16="http://schemas.microsoft.com/office/drawing/2014/chart" uri="{C3380CC4-5D6E-409C-BE32-E72D297353CC}">
                  <c16:uniqueId val="{00000020-EB1B-4D7A-A8E1-B80A8092B6C5}"/>
                </c:ext>
              </c:extLst>
            </c:dLbl>
            <c:dLbl>
              <c:idx val="14"/>
              <c:tx>
                <c:strRef>
                  <c:f>'SensIt Two-Factor Tornado 1'!$B$25</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{8BB4C70E-2992-40DF-B5D9-1BE61C9E0F40}</c15:txfldGUID>
                      <c15:f>'SensIt Two-Factor Tornado 1'!$B$25</c15:f>
                      <c15:dlblFieldTableCache>
                        <c:ptCount val="1"/>
                        <c:pt idx="0">
                          <c:v>$11.00 &amp; $10.00</c:v>
                        </c:pt>
                      </c15:dlblFieldTableCache>
                    </c15:dlblFTEntry>
                  </c15:dlblFieldTable>
                  <c15:showDataLabelsRange val="0"/>
                </c:ext>
                <c:ext xmlns:c16="http://schemas.microsoft.com/office/drawing/2014/chart" uri="{C3380CC4-5D6E-409C-BE32-E72D297353CC}">
                  <c16:uniqueId val="{00000022-EB1B-4D7A-A8E1-B80A8092B6C5}"/>
                </c:ext>
              </c:extLst>
            </c:dLbl>
            <c:dLbl>
              <c:idx val="15"/>
              <c:tx>
                <c:strRef>
                  <c:f>'SensIt Two-Factor Tornado 1'!$B$26</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{19C4EC82-FAA4-468B-9D6C-9F8B622FB85E}</c15:txfldGUID>
                      <c15:f>'SensIt Two-Factor Tornado 1'!$B$26</c15:f>
                      <c15:dlblFieldTableCache>
                        <c:ptCount val="1"/>
                        <c:pt idx="0">
                          <c:v>$11.00 &amp; $10.00</c:v>
                        </c:pt>
                      </c15:dlblFieldTableCache>
                    </c15:dlblFTEntry>
                  </c15:dlblFieldTable>
                  <c15:showDataLabelsRange val="0"/>
                </c:ext>
                <c:ext xmlns:c16="http://schemas.microsoft.com/office/drawing/2014/chart" uri="{C3380CC4-5D6E-409C-BE32-E72D297353CC}">
                  <c16:uniqueId val="{00000024-EB1B-4D7A-A8E1-B80A8092B6C5}"/>
                </c:ext>
              </c:extLst>
            </c:dLbl>
            <c:dLbl>
              <c:idx val="16"/>
              <c:tx>
                <c:strRef>
                  <c:f>'SensIt Two-Factor Tornado 1'!$B$27</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{6B2DCDAF-2CE9-4D3F-9AE6-F31E6E766370}</c15:txfldGUID>
                      <c15:f>'SensIt Two-Factor Tornado 1'!$B$27</c15:f>
                      <c15:dlblFieldTableCache>
                        <c:ptCount val="1"/>
                        <c:pt idx="0">
                          <c:v>$11.00 &amp; $10.00</c:v>
                        </c:pt>
                      </c15:dlblFieldTableCache>
                    </c15:dlblFTEntry>
                  </c15:dlblFieldTable>
                  <c15:showDataLabelsRange val="0"/>
                </c:ext>
                <c:ext xmlns:c16="http://schemas.microsoft.com/office/drawing/2014/chart" uri="{C3380CC4-5D6E-409C-BE32-E72D297353CC}">
                  <c16:uniqueId val="{00000026-EB1B-4D7A-A8E1-B80A8092B6C5}"/>
                </c:ext>
              </c:extLst>
            </c:dLbl>
            <c:dLbl>
              <c:idx val="17"/>
              <c:tx>
                <c:strRef>
                  <c:f>'SensIt Two-Factor Tornado 1'!$B$28</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{611F48CB-F355-49CD-A7A5-4C504939E849}</c15:txfldGUID>
                      <c15:f>'SensIt Two-Factor Tornado 1'!$B$28</c15:f>
                      <c15:dlblFieldTableCache>
                        <c:ptCount val="1"/>
                        <c:pt idx="0">
                          <c:v>$11.00 &amp; $10.00</c:v>
                        </c:pt>
                      </c15:dlblFieldTableCache>
                    </c15:dlblFTEntry>
                  </c15:dlblFieldTable>
                  <c15:showDataLabelsRange val="0"/>
                </c:ext>
                <c:ext xmlns:c16="http://schemas.microsoft.com/office/drawing/2014/chart" uri="{C3380CC4-5D6E-409C-BE32-E72D297353CC}">
                  <c16:uniqueId val="{00000028-EB1B-4D7A-A8E1-B80A8092B6C5}"/>
                </c:ext>
              </c:extLst>
            </c:dLbl>
            <c:dLbl>
              <c:idx val="18"/>
              <c:tx>
                <c:strRef>
                  <c:f>'SensIt Two-Factor Tornado 1'!$B$29</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{B1DE7BDC-81D8-414A-AEC5-8DBA8D513B83}</c15:txfldGUID>
                      <c15:f>'SensIt Two-Factor Tornado 1'!$B$29</c15:f>
                      <c15:dlblFieldTableCache>
                        <c:ptCount val="1"/>
                        <c:pt idx="0">
                          <c:v>$11.00 &amp; $10.00</c:v>
                        </c:pt>
                      </c15:dlblFieldTableCache>
                    </c15:dlblFTEntry>
                  </c15:dlblFieldTable>
                  <c15:showDataLabelsRange val="0"/>
                </c:ext>
                <c:ext xmlns:c16="http://schemas.microsoft.com/office/drawing/2014/chart" uri="{C3380CC4-5D6E-409C-BE32-E72D297353CC}">
                  <c16:uniqueId val="{0000002A-EB1B-4D7A-A8E1-B80A8092B6C5}"/>
                </c:ext>
              </c:extLst>
            </c:dLbl>
            <c:dLbl>
              <c:idx val="19"/>
              <c:tx>
                <c:strRef>
                  <c:f>'SensIt Two-Factor Tornado 1'!$B$30</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{DF9FBF09-4EF6-41A9-BED5-632D1359DC11}</c15:txfldGUID>
                      <c15:f>'SensIt Two-Factor Tornado 1'!$B$30</c15:f>
                      <c15:dlblFieldTableCache>
                        <c:ptCount val="1"/>
                        <c:pt idx="0">
                          <c:v>$11.00 &amp; $10.00</c:v>
                        </c:pt>
                      </c15:dlblFieldTableCache>
                    </c15:dlblFTEntry>
                  </c15:dlblFieldTable>
                  <c15:showDataLabelsRange val="0"/>
                </c:ext>
                <c:ext xmlns:c16="http://schemas.microsoft.com/office/drawing/2014/chart" uri="{C3380CC4-5D6E-409C-BE32-E72D297353CC}">
                  <c16:uniqueId val="{0000002C-EB1B-4D7A-A8E1-B80A8092B6C5}"/>
                </c:ext>
              </c:extLst>
            </c:dLbl>
            <c:dLbl>
              <c:idx val="20"/>
              <c:tx>
                <c:strRef>
                  <c:f>'SensIt Two-Factor Tornado 1'!$B$31</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{7B23B28D-E527-431C-B124-7E341E4D8AB1}</c15:txfldGUID>
                      <c15:f>'SensIt Two-Factor Tornado 1'!$B$31</c15:f>
                      <c15:dlblFieldTableCache>
                        <c:ptCount val="1"/>
                        <c:pt idx="0">
                          <c:v>$11.00 &amp; $10.00</c:v>
                        </c:pt>
                      </c15:dlblFieldTableCache>
                    </c15:dlblFTEntry>
                  </c15:dlblFieldTable>
                  <c15:showDataLabelsRange val="0"/>
                </c:ext>
                <c:ext xmlns:c16="http://schemas.microsoft.com/office/drawing/2014/chart" uri="{C3380CC4-5D6E-409C-BE32-E72D297353CC}">
                  <c16:uniqueId val="{0000002E-EB1B-4D7A-A8E1-B80A8092B6C5}"/>
                </c:ext>
              </c:extLst>
            </c:dLbl>
            <c:dLbl>
              <c:idx val="21"/>
              <c:tx>
                <c:strRef>
                  <c:f>'SensIt Two-Factor Tornado 1'!$B$32</c:f>
                  <c:strCache>
                    <c:ptCount val="1"/>
                    <c:pt idx="0">
                      <c:v>$11.00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{07AF3659-E4CC-4827-8472-3565C4EC91B4}</c15:txfldGUID>
                      <c15:f>'SensIt Two-Factor Tornado 1'!$B$32</c15:f>
                      <c15:dlblFieldTableCache>
                        <c:ptCount val="1"/>
                        <c:pt idx="0">
                          <c:v>$11.00 &amp; $10.00</c:v>
                        </c:pt>
                      </c15:dlblFieldTableCache>
                    </c15:dlblFTEntry>
                  </c15:dlblFieldTable>
                  <c15:showDataLabelsRange val="0"/>
                </c:ext>
                <c:ext xmlns:c16="http://schemas.microsoft.com/office/drawing/2014/chart" uri="{C3380CC4-5D6E-409C-BE32-E72D297353CC}">
                  <c16:uniqueId val="{00000030-EB1B-4D7A-A8E1-B80A8092B6C5}"/>
                </c:ext>
              </c:extLst>
            </c:dLbl>
            <c:dLbl>
              <c:idx val="22"/>
              <c:tx>
                <c:strRef>
                  <c:f>'SensIt Two-Factor Tornado 1'!$B$33</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{6D1DAD97-6246-4378-B152-FB309B22D0A1}</c15:txfldGUID>
                      <c15:f>'SensIt Two-Factor Tornado 1'!$B$33</c15:f>
                      <c15:dlblFieldTableCache>
                        <c:ptCount val="1"/>
                        <c:pt idx="0">
                          <c:v>$10.00 &amp; $10.00</c:v>
                        </c:pt>
                      </c15:dlblFieldTableCache>
                    </c15:dlblFTEntry>
                  </c15:dlblFieldTable>
                  <c15:showDataLabelsRange val="0"/>
                </c:ext>
                <c:ext xmlns:c16="http://schemas.microsoft.com/office/drawing/2014/chart" uri="{C3380CC4-5D6E-409C-BE32-E72D297353CC}">
                  <c16:uniqueId val="{00000032-EB1B-4D7A-A8E1-B80A8092B6C5}"/>
                </c:ext>
              </c:extLst>
            </c:dLbl>
            <c:dLbl>
              <c:idx val="23"/>
              <c:tx>
                <c:strRef>
                  <c:f>'SensIt Two-Factor Tornado 1'!$B$34</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{715733E0-5331-429E-8C85-E991D1BC0E4C}</c15:txfldGUID>
                      <c15:f>'SensIt Two-Factor Tornado 1'!$B$34</c15:f>
                      <c15:dlblFieldTableCache>
                        <c:ptCount val="1"/>
                        <c:pt idx="0">
                          <c:v>$10.00 &amp; $10.00</c:v>
                        </c:pt>
                      </c15:dlblFieldTableCache>
                    </c15:dlblFTEntry>
                  </c15:dlblFieldTable>
                  <c15:showDataLabelsRange val="0"/>
                </c:ext>
                <c:ext xmlns:c16="http://schemas.microsoft.com/office/drawing/2014/chart" uri="{C3380CC4-5D6E-409C-BE32-E72D297353CC}">
                  <c16:uniqueId val="{00000034-EB1B-4D7A-A8E1-B80A8092B6C5}"/>
                </c:ext>
              </c:extLst>
            </c:dLbl>
            <c:dLbl>
              <c:idx val="24"/>
              <c:tx>
                <c:strRef>
                  <c:f>'SensIt Two-Factor Tornado 1'!$B$35</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{6E5D14A4-C65E-4231-A20E-D23BBADB7004}</c15:txfldGUID>
                      <c15:f>'SensIt Two-Factor Tornado 1'!$B$35</c15:f>
                      <c15:dlblFieldTableCache>
                        <c:ptCount val="1"/>
                        <c:pt idx="0">
                          <c:v>$10.00 &amp; $10.00</c:v>
                        </c:pt>
                      </c15:dlblFieldTableCache>
                    </c15:dlblFTEntry>
                  </c15:dlblFieldTable>
                  <c15:showDataLabelsRange val="0"/>
                </c:ext>
                <c:ext xmlns:c16="http://schemas.microsoft.com/office/drawing/2014/chart" uri="{C3380CC4-5D6E-409C-BE32-E72D297353CC}">
                  <c16:uniqueId val="{00000036-EB1B-4D7A-A8E1-B80A8092B6C5}"/>
                </c:ext>
              </c:extLst>
            </c:dLbl>
            <c:dLbl>
              <c:idx val="25"/>
              <c:tx>
                <c:strRef>
                  <c:f>'SensIt Two-Factor Tornado 1'!$B$36</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{9873D425-E301-4ABD-A7FB-503D99DC68AA}</c15:txfldGUID>
                      <c15:f>'SensIt Two-Factor Tornado 1'!$B$36</c15:f>
                      <c15:dlblFieldTableCache>
                        <c:ptCount val="1"/>
                        <c:pt idx="0">
                          <c:v>$10.00 &amp; $10.00</c:v>
                        </c:pt>
                      </c15:dlblFieldTableCache>
                    </c15:dlblFTEntry>
                  </c15:dlblFieldTable>
                  <c15:showDataLabelsRange val="0"/>
                </c:ext>
                <c:ext xmlns:c16="http://schemas.microsoft.com/office/drawing/2014/chart" uri="{C3380CC4-5D6E-409C-BE32-E72D297353CC}">
                  <c16:uniqueId val="{00000038-EB1B-4D7A-A8E1-B80A8092B6C5}"/>
                </c:ext>
              </c:extLst>
            </c:dLbl>
            <c:dLbl>
              <c:idx val="26"/>
              <c:tx>
                <c:strRef>
                  <c:f>'SensIt Two-Factor Tornado 1'!$B$37</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{2DCA4F2F-997B-48C5-A80E-4F5485580C76}</c15:txfldGUID>
                      <c15:f>'SensIt Two-Factor Tornado 1'!$B$37</c15:f>
                      <c15:dlblFieldTableCache>
                        <c:ptCount val="1"/>
                        <c:pt idx="0">
                          <c:v>$10.00 &amp; $10.00</c:v>
                        </c:pt>
                      </c15:dlblFieldTableCache>
                    </c15:dlblFTEntry>
                  </c15:dlblFieldTable>
                  <c15:showDataLabelsRange val="0"/>
                </c:ext>
                <c:ext xmlns:c16="http://schemas.microsoft.com/office/drawing/2014/chart" uri="{C3380CC4-5D6E-409C-BE32-E72D297353CC}">
                  <c16:uniqueId val="{0000003A-EB1B-4D7A-A8E1-B80A8092B6C5}"/>
                </c:ext>
              </c:extLst>
            </c:dLbl>
            <c:dLbl>
              <c:idx val="27"/>
              <c:tx>
                <c:strRef>
                  <c:f>'SensIt Two-Factor Tornado 1'!$B$38</c:f>
                  <c:strCache>
                    <c:ptCount val="1"/>
                    <c:pt idx="0">
                      <c:v>$10.00 &amp; $10.00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{843F6813-C1AD-4C6D-82F5-569B45B8AB75}</c15:txfldGUID>
                      <c15:f>'SensIt Two-Factor Tornado 1'!$B$38</c15:f>
                      <c15:dlblFieldTableCache>
                        <c:ptCount val="1"/>
                        <c:pt idx="0">
                          <c:v>$10.00 &amp; $10.00</c:v>
                        </c:pt>
                      </c15:dlblFieldTableCache>
                    </c15:dlblFTEntry>
                  </c15:dlblFieldTable>
                  <c15:showDataLabelsRange val="0"/>
                </c:ext>
                <c:ext xmlns:c16="http://schemas.microsoft.com/office/drawing/2014/chart" uri="{C3380CC4-5D6E-409C-BE32-E72D297353CC}">
                  <c16:uniqueId val="{0000003C-EB1B-4D7A-A8E1-B80A8092B6C5}"/>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Two-Factor Tornado 1'!$A$11:$A$38</c:f>
              <c:strCache>
                <c:ptCount val="28"/>
                <c:pt idx="0">
                  <c:v>BR01-07, &amp; BR01-08,</c:v>
                </c:pt>
                <c:pt idx="1">
                  <c:v>BR01-02, &amp; BR01-08,</c:v>
                </c:pt>
                <c:pt idx="2">
                  <c:v>BR01-01, &amp; BR01-08,</c:v>
                </c:pt>
                <c:pt idx="3">
                  <c:v>BR01-04, &amp; BR01-08,</c:v>
                </c:pt>
                <c:pt idx="4">
                  <c:v>BR01-05, &amp; BR01-08,</c:v>
                </c:pt>
                <c:pt idx="5">
                  <c:v>BR01-03, &amp; BR01-08,</c:v>
                </c:pt>
                <c:pt idx="6">
                  <c:v>BR01-06, &amp; BR01-08,</c:v>
                </c:pt>
                <c:pt idx="7">
                  <c:v>BR01-02, &amp; BR01-07,</c:v>
                </c:pt>
                <c:pt idx="8">
                  <c:v>BR01-01, &amp; BR01-07,</c:v>
                </c:pt>
                <c:pt idx="9">
                  <c:v>BR01-04, &amp; BR01-07,</c:v>
                </c:pt>
                <c:pt idx="10">
                  <c:v>BR01-05, &amp; BR01-07,</c:v>
                </c:pt>
                <c:pt idx="11">
                  <c:v>BR01-03, &amp; BR01-07,</c:v>
                </c:pt>
                <c:pt idx="12">
                  <c:v>BR01-06, &amp; BR01-07,</c:v>
                </c:pt>
                <c:pt idx="13">
                  <c:v>BR01-01, &amp; BR01-02,</c:v>
                </c:pt>
                <c:pt idx="14">
                  <c:v>BR01-02, &amp; BR01-04,</c:v>
                </c:pt>
                <c:pt idx="15">
                  <c:v>BR01-02, &amp; BR01-05,</c:v>
                </c:pt>
                <c:pt idx="16">
                  <c:v>BR01-01, &amp; BR01-04,</c:v>
                </c:pt>
                <c:pt idx="17">
                  <c:v>BR01-01, &amp; BR01-05,</c:v>
                </c:pt>
                <c:pt idx="18">
                  <c:v>BR01-02, &amp; BR01-03,</c:v>
                </c:pt>
                <c:pt idx="19">
                  <c:v>BR01-02, &amp; BR01-06,</c:v>
                </c:pt>
                <c:pt idx="20">
                  <c:v>BR01-01, &amp; BR01-03,</c:v>
                </c:pt>
                <c:pt idx="21">
                  <c:v>BR01-01, &amp; BR01-06,</c:v>
                </c:pt>
                <c:pt idx="22">
                  <c:v>BR01-04, &amp; BR01-05,</c:v>
                </c:pt>
                <c:pt idx="23">
                  <c:v>BR01-03, &amp; BR01-04,</c:v>
                </c:pt>
                <c:pt idx="24">
                  <c:v>BR01-04, &amp; BR01-06,</c:v>
                </c:pt>
                <c:pt idx="25">
                  <c:v>BR01-03, &amp; BR01-05,</c:v>
                </c:pt>
                <c:pt idx="26">
                  <c:v>BR01-05, &amp; BR01-06,</c:v>
                </c:pt>
                <c:pt idx="27">
                  <c:v>BR01-03, &amp; BR01-06,</c:v>
                </c:pt>
              </c:strCache>
            </c:strRef>
          </c:cat>
          <c:val>
            <c:numRef>
              <c:f>'SensIt Two-Factor Tornado 1'!$E$11:$E$38</c:f>
              <c:numCache>
                <c:formatCode>"$"#,##0_);[Red]\("$"#,##0\)</c:formatCode>
                <c:ptCount val="28"/>
                <c:pt idx="0">
                  <c:v>220019.98</c:v>
                </c:pt>
                <c:pt idx="1">
                  <c:v>229735.8</c:v>
                </c:pt>
                <c:pt idx="2">
                  <c:v>231167.94</c:v>
                </c:pt>
                <c:pt idx="3">
                  <c:v>237480.8</c:v>
                </c:pt>
                <c:pt idx="4">
                  <c:v>238623.94</c:v>
                </c:pt>
                <c:pt idx="5">
                  <c:v>242211.66</c:v>
                </c:pt>
                <c:pt idx="6">
                  <c:v>242604.99</c:v>
                </c:pt>
                <c:pt idx="7">
                  <c:v>238319.98</c:v>
                </c:pt>
                <c:pt idx="8">
                  <c:v>239752.11</c:v>
                </c:pt>
                <c:pt idx="9">
                  <c:v>246064.98</c:v>
                </c:pt>
                <c:pt idx="10">
                  <c:v>247208.11</c:v>
                </c:pt>
                <c:pt idx="11">
                  <c:v>250795.83</c:v>
                </c:pt>
                <c:pt idx="12">
                  <c:v>251189.16</c:v>
                </c:pt>
                <c:pt idx="13">
                  <c:v>249467.93</c:v>
                </c:pt>
                <c:pt idx="14">
                  <c:v>255780.8</c:v>
                </c:pt>
                <c:pt idx="15">
                  <c:v>256923.94</c:v>
                </c:pt>
                <c:pt idx="16">
                  <c:v>257212.93</c:v>
                </c:pt>
                <c:pt idx="17">
                  <c:v>258356.07</c:v>
                </c:pt>
                <c:pt idx="18">
                  <c:v>260511.66</c:v>
                </c:pt>
                <c:pt idx="19">
                  <c:v>260904.98</c:v>
                </c:pt>
                <c:pt idx="20">
                  <c:v>261943.79</c:v>
                </c:pt>
                <c:pt idx="21">
                  <c:v>262337.12</c:v>
                </c:pt>
                <c:pt idx="22">
                  <c:v>264668.94</c:v>
                </c:pt>
                <c:pt idx="23">
                  <c:v>268256.65999999997</c:v>
                </c:pt>
                <c:pt idx="24">
                  <c:v>268649.98</c:v>
                </c:pt>
                <c:pt idx="25">
                  <c:v>269399.78999999998</c:v>
                </c:pt>
                <c:pt idx="26">
                  <c:v>269793.12</c:v>
                </c:pt>
                <c:pt idx="27">
                  <c:v>273380.84000000003</c:v>
                </c:pt>
              </c:numCache>
            </c:numRef>
          </c:val>
          <c:extLst>
            <c:ext xmlns:c16="http://schemas.microsoft.com/office/drawing/2014/chart" uri="{C3380CC4-5D6E-409C-BE32-E72D297353CC}">
              <c16:uniqueId val="{00000004-EB1B-4D7A-A8E1-B80A8092B6C5}"/>
            </c:ext>
          </c:extLst>
        </c:ser>
        <c:ser>
          <c:idx val="1"/>
          <c:order val="1"/>
          <c:spPr>
            <a:solidFill>
              <a:srgbClr val="000000"/>
            </a:solidFill>
          </c:spPr>
          <c:invertIfNegative val="0"/>
          <c:dLbls>
            <c:dLbl>
              <c:idx val="0"/>
              <c:tx>
                <c:strRef>
                  <c:f>'SensIt Two-Factor Tornado 1'!$D$11</c:f>
                  <c:strCache>
                    <c:ptCount val="1"/>
                    <c:pt idx="0">
                      <c:v>$5.30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{8A4E1BD0-7805-4DDA-A9E6-EF6A6D59B29B}</c15:txfldGUID>
                      <c15:f>'SensIt Two-Factor Tornado 1'!$D$11</c15:f>
                      <c15:dlblFieldTableCache>
                        <c:ptCount val="1"/>
                        <c:pt idx="0">
                          <c:v>$5.30 &amp; $5.30</c:v>
                        </c:pt>
                      </c15:dlblFieldTableCache>
                    </c15:dlblFTEntry>
                  </c15:dlblFieldTable>
                  <c15:showDataLabelsRange val="0"/>
                </c:ext>
                <c:ext xmlns:c16="http://schemas.microsoft.com/office/drawing/2014/chart" uri="{C3380CC4-5D6E-409C-BE32-E72D297353CC}">
                  <c16:uniqueId val="{00000007-EB1B-4D7A-A8E1-B80A8092B6C5}"/>
                </c:ext>
              </c:extLst>
            </c:dLbl>
            <c:dLbl>
              <c:idx val="1"/>
              <c:tx>
                <c:strRef>
                  <c:f>'SensIt Two-Factor Tornado 1'!$D$12</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{B1EC73E9-A1A8-43F2-991B-1D15BDE12D7D}</c15:txfldGUID>
                      <c15:f>'SensIt Two-Factor Tornado 1'!$D$12</c15:f>
                      <c15:dlblFieldTableCache>
                        <c:ptCount val="1"/>
                        <c:pt idx="0">
                          <c:v>$8.00 &amp; $5.30</c:v>
                        </c:pt>
                      </c15:dlblFieldTableCache>
                    </c15:dlblFTEntry>
                  </c15:dlblFieldTable>
                  <c15:showDataLabelsRange val="0"/>
                </c:ext>
                <c:ext xmlns:c16="http://schemas.microsoft.com/office/drawing/2014/chart" uri="{C3380CC4-5D6E-409C-BE32-E72D297353CC}">
                  <c16:uniqueId val="{00000009-EB1B-4D7A-A8E1-B80A8092B6C5}"/>
                </c:ext>
              </c:extLst>
            </c:dLbl>
            <c:dLbl>
              <c:idx val="2"/>
              <c:tx>
                <c:strRef>
                  <c:f>'SensIt Two-Factor Tornado 1'!$D$13</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{80E17E9D-5657-4FDB-BCB5-EA57F3B56D66}</c15:txfldGUID>
                      <c15:f>'SensIt Two-Factor Tornado 1'!$D$13</c15:f>
                      <c15:dlblFieldTableCache>
                        <c:ptCount val="1"/>
                        <c:pt idx="0">
                          <c:v>$8.00 &amp; $5.30</c:v>
                        </c:pt>
                      </c15:dlblFieldTableCache>
                    </c15:dlblFTEntry>
                  </c15:dlblFieldTable>
                  <c15:showDataLabelsRange val="0"/>
                </c:ext>
                <c:ext xmlns:c16="http://schemas.microsoft.com/office/drawing/2014/chart" uri="{C3380CC4-5D6E-409C-BE32-E72D297353CC}">
                  <c16:uniqueId val="{0000000B-EB1B-4D7A-A8E1-B80A8092B6C5}"/>
                </c:ext>
              </c:extLst>
            </c:dLbl>
            <c:dLbl>
              <c:idx val="3"/>
              <c:tx>
                <c:strRef>
                  <c:f>'SensIt Two-Factor Tornado 1'!$D$14</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{F278385F-FCD4-422D-8BEB-D7CAE0F9CEC0}</c15:txfldGUID>
                      <c15:f>'SensIt Two-Factor Tornado 1'!$D$14</c15:f>
                      <c15:dlblFieldTableCache>
                        <c:ptCount val="1"/>
                        <c:pt idx="0">
                          <c:v>$7.50 &amp; $5.30</c:v>
                        </c:pt>
                      </c15:dlblFieldTableCache>
                    </c15:dlblFTEntry>
                  </c15:dlblFieldTable>
                  <c15:showDataLabelsRange val="0"/>
                </c:ext>
                <c:ext xmlns:c16="http://schemas.microsoft.com/office/drawing/2014/chart" uri="{C3380CC4-5D6E-409C-BE32-E72D297353CC}">
                  <c16:uniqueId val="{0000000D-EB1B-4D7A-A8E1-B80A8092B6C5}"/>
                </c:ext>
              </c:extLst>
            </c:dLbl>
            <c:dLbl>
              <c:idx val="4"/>
              <c:tx>
                <c:strRef>
                  <c:f>'SensIt Two-Factor Tornado 1'!$D$15</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{EAD9751B-0B6E-4724-AA99-932E2FA4E5C3}</c15:txfldGUID>
                      <c15:f>'SensIt Two-Factor Tornado 1'!$D$15</c15:f>
                      <c15:dlblFieldTableCache>
                        <c:ptCount val="1"/>
                        <c:pt idx="0">
                          <c:v>$7.50 &amp; $5.30</c:v>
                        </c:pt>
                      </c15:dlblFieldTableCache>
                    </c15:dlblFTEntry>
                  </c15:dlblFieldTable>
                  <c15:showDataLabelsRange val="0"/>
                </c:ext>
                <c:ext xmlns:c16="http://schemas.microsoft.com/office/drawing/2014/chart" uri="{C3380CC4-5D6E-409C-BE32-E72D297353CC}">
                  <c16:uniqueId val="{0000000F-EB1B-4D7A-A8E1-B80A8092B6C5}"/>
                </c:ext>
              </c:extLst>
            </c:dLbl>
            <c:dLbl>
              <c:idx val="5"/>
              <c:tx>
                <c:strRef>
                  <c:f>'SensIt Two-Factor Tornado 1'!$D$16</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{C1BE89AF-8484-48F0-B8EE-8757D141E829}</c15:txfldGUID>
                      <c15:f>'SensIt Two-Factor Tornado 1'!$D$16</c15:f>
                      <c15:dlblFieldTableCache>
                        <c:ptCount val="1"/>
                        <c:pt idx="0">
                          <c:v>$7.50 &amp; $5.30</c:v>
                        </c:pt>
                      </c15:dlblFieldTableCache>
                    </c15:dlblFTEntry>
                  </c15:dlblFieldTable>
                  <c15:showDataLabelsRange val="0"/>
                </c:ext>
                <c:ext xmlns:c16="http://schemas.microsoft.com/office/drawing/2014/chart" uri="{C3380CC4-5D6E-409C-BE32-E72D297353CC}">
                  <c16:uniqueId val="{00000011-EB1B-4D7A-A8E1-B80A8092B6C5}"/>
                </c:ext>
              </c:extLst>
            </c:dLbl>
            <c:dLbl>
              <c:idx val="6"/>
              <c:tx>
                <c:strRef>
                  <c:f>'SensIt Two-Factor Tornado 1'!$D$17</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{CC10FAEF-03AC-45FE-8E70-605826E59CD1}</c15:txfldGUID>
                      <c15:f>'SensIt Two-Factor Tornado 1'!$D$17</c15:f>
                      <c15:dlblFieldTableCache>
                        <c:ptCount val="1"/>
                        <c:pt idx="0">
                          <c:v>$7.50 &amp; $5.30</c:v>
                        </c:pt>
                      </c15:dlblFieldTableCache>
                    </c15:dlblFTEntry>
                  </c15:dlblFieldTable>
                  <c15:showDataLabelsRange val="0"/>
                </c:ext>
                <c:ext xmlns:c16="http://schemas.microsoft.com/office/drawing/2014/chart" uri="{C3380CC4-5D6E-409C-BE32-E72D297353CC}">
                  <c16:uniqueId val="{00000013-EB1B-4D7A-A8E1-B80A8092B6C5}"/>
                </c:ext>
              </c:extLst>
            </c:dLbl>
            <c:dLbl>
              <c:idx val="7"/>
              <c:tx>
                <c:strRef>
                  <c:f>'SensIt Two-Factor Tornado 1'!$D$18</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{645A412F-E037-44C4-8FB8-24B9D412DB36}</c15:txfldGUID>
                      <c15:f>'SensIt Two-Factor Tornado 1'!$D$18</c15:f>
                      <c15:dlblFieldTableCache>
                        <c:ptCount val="1"/>
                        <c:pt idx="0">
                          <c:v>$8.00 &amp; $5.30</c:v>
                        </c:pt>
                      </c15:dlblFieldTableCache>
                    </c15:dlblFTEntry>
                  </c15:dlblFieldTable>
                  <c15:showDataLabelsRange val="0"/>
                </c:ext>
                <c:ext xmlns:c16="http://schemas.microsoft.com/office/drawing/2014/chart" uri="{C3380CC4-5D6E-409C-BE32-E72D297353CC}">
                  <c16:uniqueId val="{00000015-EB1B-4D7A-A8E1-B80A8092B6C5}"/>
                </c:ext>
              </c:extLst>
            </c:dLbl>
            <c:dLbl>
              <c:idx val="8"/>
              <c:tx>
                <c:strRef>
                  <c:f>'SensIt Two-Factor Tornado 1'!$D$19</c:f>
                  <c:strCache>
                    <c:ptCount val="1"/>
                    <c:pt idx="0">
                      <c:v>$8.00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{20757A70-1371-4D4F-B58F-3395417538F8}</c15:txfldGUID>
                      <c15:f>'SensIt Two-Factor Tornado 1'!$D$19</c15:f>
                      <c15:dlblFieldTableCache>
                        <c:ptCount val="1"/>
                        <c:pt idx="0">
                          <c:v>$8.00 &amp; $5.30</c:v>
                        </c:pt>
                      </c15:dlblFieldTableCache>
                    </c15:dlblFTEntry>
                  </c15:dlblFieldTable>
                  <c15:showDataLabelsRange val="0"/>
                </c:ext>
                <c:ext xmlns:c16="http://schemas.microsoft.com/office/drawing/2014/chart" uri="{C3380CC4-5D6E-409C-BE32-E72D297353CC}">
                  <c16:uniqueId val="{00000017-EB1B-4D7A-A8E1-B80A8092B6C5}"/>
                </c:ext>
              </c:extLst>
            </c:dLbl>
            <c:dLbl>
              <c:idx val="9"/>
              <c:tx>
                <c:strRef>
                  <c:f>'SensIt Two-Factor Tornado 1'!$D$20</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{A99E0A6D-4603-444E-9109-71439BD34548}</c15:txfldGUID>
                      <c15:f>'SensIt Two-Factor Tornado 1'!$D$20</c15:f>
                      <c15:dlblFieldTableCache>
                        <c:ptCount val="1"/>
                        <c:pt idx="0">
                          <c:v>$7.50 &amp; $5.30</c:v>
                        </c:pt>
                      </c15:dlblFieldTableCache>
                    </c15:dlblFTEntry>
                  </c15:dlblFieldTable>
                  <c15:showDataLabelsRange val="0"/>
                </c:ext>
                <c:ext xmlns:c16="http://schemas.microsoft.com/office/drawing/2014/chart" uri="{C3380CC4-5D6E-409C-BE32-E72D297353CC}">
                  <c16:uniqueId val="{00000019-EB1B-4D7A-A8E1-B80A8092B6C5}"/>
                </c:ext>
              </c:extLst>
            </c:dLbl>
            <c:dLbl>
              <c:idx val="10"/>
              <c:tx>
                <c:strRef>
                  <c:f>'SensIt Two-Factor Tornado 1'!$D$21</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{87D16F49-85B1-4614-A694-EAC4B20F0443}</c15:txfldGUID>
                      <c15:f>'SensIt Two-Factor Tornado 1'!$D$21</c15:f>
                      <c15:dlblFieldTableCache>
                        <c:ptCount val="1"/>
                        <c:pt idx="0">
                          <c:v>$7.50 &amp; $5.30</c:v>
                        </c:pt>
                      </c15:dlblFieldTableCache>
                    </c15:dlblFTEntry>
                  </c15:dlblFieldTable>
                  <c15:showDataLabelsRange val="0"/>
                </c:ext>
                <c:ext xmlns:c16="http://schemas.microsoft.com/office/drawing/2014/chart" uri="{C3380CC4-5D6E-409C-BE32-E72D297353CC}">
                  <c16:uniqueId val="{0000001B-EB1B-4D7A-A8E1-B80A8092B6C5}"/>
                </c:ext>
              </c:extLst>
            </c:dLbl>
            <c:dLbl>
              <c:idx val="11"/>
              <c:tx>
                <c:strRef>
                  <c:f>'SensIt Two-Factor Tornado 1'!$D$22</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{2EBE959B-AE32-45B9-ACE7-AD829F11ADC4}</c15:txfldGUID>
                      <c15:f>'SensIt Two-Factor Tornado 1'!$D$22</c15:f>
                      <c15:dlblFieldTableCache>
                        <c:ptCount val="1"/>
                        <c:pt idx="0">
                          <c:v>$7.50 &amp; $5.30</c:v>
                        </c:pt>
                      </c15:dlblFieldTableCache>
                    </c15:dlblFTEntry>
                  </c15:dlblFieldTable>
                  <c15:showDataLabelsRange val="0"/>
                </c:ext>
                <c:ext xmlns:c16="http://schemas.microsoft.com/office/drawing/2014/chart" uri="{C3380CC4-5D6E-409C-BE32-E72D297353CC}">
                  <c16:uniqueId val="{0000001D-EB1B-4D7A-A8E1-B80A8092B6C5}"/>
                </c:ext>
              </c:extLst>
            </c:dLbl>
            <c:dLbl>
              <c:idx val="12"/>
              <c:tx>
                <c:strRef>
                  <c:f>'SensIt Two-Factor Tornado 1'!$D$23</c:f>
                  <c:strCache>
                    <c:ptCount val="1"/>
                    <c:pt idx="0">
                      <c:v>$7.50 &amp; $5.30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{C92271A5-A234-4473-8AC7-2689FFC761BA}</c15:txfldGUID>
                      <c15:f>'SensIt Two-Factor Tornado 1'!$D$23</c15:f>
                      <c15:dlblFieldTableCache>
                        <c:ptCount val="1"/>
                        <c:pt idx="0">
                          <c:v>$7.50 &amp; $5.30</c:v>
                        </c:pt>
                      </c15:dlblFieldTableCache>
                    </c15:dlblFTEntry>
                  </c15:dlblFieldTable>
                  <c15:showDataLabelsRange val="0"/>
                </c:ext>
                <c:ext xmlns:c16="http://schemas.microsoft.com/office/drawing/2014/chart" uri="{C3380CC4-5D6E-409C-BE32-E72D297353CC}">
                  <c16:uniqueId val="{0000001F-EB1B-4D7A-A8E1-B80A8092B6C5}"/>
                </c:ext>
              </c:extLst>
            </c:dLbl>
            <c:dLbl>
              <c:idx val="13"/>
              <c:tx>
                <c:strRef>
                  <c:f>'SensIt Two-Factor Tornado 1'!$D$24</c:f>
                  <c:strCache>
                    <c:ptCount val="1"/>
                    <c:pt idx="0">
                      <c:v>$8.00 &amp; $8.00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{BD36CEFF-DB92-4DC4-B110-25DF4045DFC6}</c15:txfldGUID>
                      <c15:f>'SensIt Two-Factor Tornado 1'!$D$24</c15:f>
                      <c15:dlblFieldTableCache>
                        <c:ptCount val="1"/>
                        <c:pt idx="0">
                          <c:v>$8.00 &amp; $8.00</c:v>
                        </c:pt>
                      </c15:dlblFieldTableCache>
                    </c15:dlblFTEntry>
                  </c15:dlblFieldTable>
                  <c15:showDataLabelsRange val="0"/>
                </c:ext>
                <c:ext xmlns:c16="http://schemas.microsoft.com/office/drawing/2014/chart" uri="{C3380CC4-5D6E-409C-BE32-E72D297353CC}">
                  <c16:uniqueId val="{00000021-EB1B-4D7A-A8E1-B80A8092B6C5}"/>
                </c:ext>
              </c:extLst>
            </c:dLbl>
            <c:dLbl>
              <c:idx val="14"/>
              <c:tx>
                <c:strRef>
                  <c:f>'SensIt Two-Factor Tornado 1'!$D$25</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{0D3F9B6F-4A5C-43D9-8CAF-9E3434338CDF}</c15:txfldGUID>
                      <c15:f>'SensIt Two-Factor Tornado 1'!$D$25</c15:f>
                      <c15:dlblFieldTableCache>
                        <c:ptCount val="1"/>
                        <c:pt idx="0">
                          <c:v>$8.00 &amp; $7.50</c:v>
                        </c:pt>
                      </c15:dlblFieldTableCache>
                    </c15:dlblFTEntry>
                  </c15:dlblFieldTable>
                  <c15:showDataLabelsRange val="0"/>
                </c:ext>
                <c:ext xmlns:c16="http://schemas.microsoft.com/office/drawing/2014/chart" uri="{C3380CC4-5D6E-409C-BE32-E72D297353CC}">
                  <c16:uniqueId val="{00000023-EB1B-4D7A-A8E1-B80A8092B6C5}"/>
                </c:ext>
              </c:extLst>
            </c:dLbl>
            <c:dLbl>
              <c:idx val="15"/>
              <c:tx>
                <c:strRef>
                  <c:f>'SensIt Two-Factor Tornado 1'!$D$26</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{2C1CFBE0-F4CD-4995-B5D1-A4DAA309AF9A}</c15:txfldGUID>
                      <c15:f>'SensIt Two-Factor Tornado 1'!$D$26</c15:f>
                      <c15:dlblFieldTableCache>
                        <c:ptCount val="1"/>
                        <c:pt idx="0">
                          <c:v>$8.00 &amp; $7.50</c:v>
                        </c:pt>
                      </c15:dlblFieldTableCache>
                    </c15:dlblFTEntry>
                  </c15:dlblFieldTable>
                  <c15:showDataLabelsRange val="0"/>
                </c:ext>
                <c:ext xmlns:c16="http://schemas.microsoft.com/office/drawing/2014/chart" uri="{C3380CC4-5D6E-409C-BE32-E72D297353CC}">
                  <c16:uniqueId val="{00000025-EB1B-4D7A-A8E1-B80A8092B6C5}"/>
                </c:ext>
              </c:extLst>
            </c:dLbl>
            <c:dLbl>
              <c:idx val="16"/>
              <c:tx>
                <c:strRef>
                  <c:f>'SensIt Two-Factor Tornado 1'!$D$27</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{F441189D-3D14-412D-AB47-FD30B630203D}</c15:txfldGUID>
                      <c15:f>'SensIt Two-Factor Tornado 1'!$D$27</c15:f>
                      <c15:dlblFieldTableCache>
                        <c:ptCount val="1"/>
                        <c:pt idx="0">
                          <c:v>$8.00 &amp; $7.50</c:v>
                        </c:pt>
                      </c15:dlblFieldTableCache>
                    </c15:dlblFTEntry>
                  </c15:dlblFieldTable>
                  <c15:showDataLabelsRange val="0"/>
                </c:ext>
                <c:ext xmlns:c16="http://schemas.microsoft.com/office/drawing/2014/chart" uri="{C3380CC4-5D6E-409C-BE32-E72D297353CC}">
                  <c16:uniqueId val="{00000027-EB1B-4D7A-A8E1-B80A8092B6C5}"/>
                </c:ext>
              </c:extLst>
            </c:dLbl>
            <c:dLbl>
              <c:idx val="17"/>
              <c:tx>
                <c:strRef>
                  <c:f>'SensIt Two-Factor Tornado 1'!$D$28</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{62FE78E8-2DD1-49D9-A8B4-FE536F0EA3DE}</c15:txfldGUID>
                      <c15:f>'SensIt Two-Factor Tornado 1'!$D$28</c15:f>
                      <c15:dlblFieldTableCache>
                        <c:ptCount val="1"/>
                        <c:pt idx="0">
                          <c:v>$8.00 &amp; $7.50</c:v>
                        </c:pt>
                      </c15:dlblFieldTableCache>
                    </c15:dlblFTEntry>
                  </c15:dlblFieldTable>
                  <c15:showDataLabelsRange val="0"/>
                </c:ext>
                <c:ext xmlns:c16="http://schemas.microsoft.com/office/drawing/2014/chart" uri="{C3380CC4-5D6E-409C-BE32-E72D297353CC}">
                  <c16:uniqueId val="{00000029-EB1B-4D7A-A8E1-B80A8092B6C5}"/>
                </c:ext>
              </c:extLst>
            </c:dLbl>
            <c:dLbl>
              <c:idx val="18"/>
              <c:tx>
                <c:strRef>
                  <c:f>'SensIt Two-Factor Tornado 1'!$D$29</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{390D216E-74BB-440A-A9E4-1F21F38F49D1}</c15:txfldGUID>
                      <c15:f>'SensIt Two-Factor Tornado 1'!$D$29</c15:f>
                      <c15:dlblFieldTableCache>
                        <c:ptCount val="1"/>
                        <c:pt idx="0">
                          <c:v>$8.00 &amp; $7.50</c:v>
                        </c:pt>
                      </c15:dlblFieldTableCache>
                    </c15:dlblFTEntry>
                  </c15:dlblFieldTable>
                  <c15:showDataLabelsRange val="0"/>
                </c:ext>
                <c:ext xmlns:c16="http://schemas.microsoft.com/office/drawing/2014/chart" uri="{C3380CC4-5D6E-409C-BE32-E72D297353CC}">
                  <c16:uniqueId val="{0000002B-EB1B-4D7A-A8E1-B80A8092B6C5}"/>
                </c:ext>
              </c:extLst>
            </c:dLbl>
            <c:dLbl>
              <c:idx val="19"/>
              <c:tx>
                <c:strRef>
                  <c:f>'SensIt Two-Factor Tornado 1'!$D$30</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{DE479F3E-A142-442C-AE37-2B1E7908F1E3}</c15:txfldGUID>
                      <c15:f>'SensIt Two-Factor Tornado 1'!$D$30</c15:f>
                      <c15:dlblFieldTableCache>
                        <c:ptCount val="1"/>
                        <c:pt idx="0">
                          <c:v>$8.00 &amp; $7.50</c:v>
                        </c:pt>
                      </c15:dlblFieldTableCache>
                    </c15:dlblFTEntry>
                  </c15:dlblFieldTable>
                  <c15:showDataLabelsRange val="0"/>
                </c:ext>
                <c:ext xmlns:c16="http://schemas.microsoft.com/office/drawing/2014/chart" uri="{C3380CC4-5D6E-409C-BE32-E72D297353CC}">
                  <c16:uniqueId val="{0000002D-EB1B-4D7A-A8E1-B80A8092B6C5}"/>
                </c:ext>
              </c:extLst>
            </c:dLbl>
            <c:dLbl>
              <c:idx val="20"/>
              <c:tx>
                <c:strRef>
                  <c:f>'SensIt Two-Factor Tornado 1'!$D$31</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{A65E3B13-EB25-44C7-AFE1-D2DFE82E33EC}</c15:txfldGUID>
                      <c15:f>'SensIt Two-Factor Tornado 1'!$D$31</c15:f>
                      <c15:dlblFieldTableCache>
                        <c:ptCount val="1"/>
                        <c:pt idx="0">
                          <c:v>$8.00 &amp; $7.50</c:v>
                        </c:pt>
                      </c15:dlblFieldTableCache>
                    </c15:dlblFTEntry>
                  </c15:dlblFieldTable>
                  <c15:showDataLabelsRange val="0"/>
                </c:ext>
                <c:ext xmlns:c16="http://schemas.microsoft.com/office/drawing/2014/chart" uri="{C3380CC4-5D6E-409C-BE32-E72D297353CC}">
                  <c16:uniqueId val="{0000002F-EB1B-4D7A-A8E1-B80A8092B6C5}"/>
                </c:ext>
              </c:extLst>
            </c:dLbl>
            <c:dLbl>
              <c:idx val="21"/>
              <c:tx>
                <c:strRef>
                  <c:f>'SensIt Two-Factor Tornado 1'!$D$32</c:f>
                  <c:strCache>
                    <c:ptCount val="1"/>
                    <c:pt idx="0">
                      <c:v>$8.00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{3B65D2C8-2C4B-4A48-A3CA-6F0912E982BD}</c15:txfldGUID>
                      <c15:f>'SensIt Two-Factor Tornado 1'!$D$32</c15:f>
                      <c15:dlblFieldTableCache>
                        <c:ptCount val="1"/>
                        <c:pt idx="0">
                          <c:v>$8.00 &amp; $7.50</c:v>
                        </c:pt>
                      </c15:dlblFieldTableCache>
                    </c15:dlblFTEntry>
                  </c15:dlblFieldTable>
                  <c15:showDataLabelsRange val="0"/>
                </c:ext>
                <c:ext xmlns:c16="http://schemas.microsoft.com/office/drawing/2014/chart" uri="{C3380CC4-5D6E-409C-BE32-E72D297353CC}">
                  <c16:uniqueId val="{00000031-EB1B-4D7A-A8E1-B80A8092B6C5}"/>
                </c:ext>
              </c:extLst>
            </c:dLbl>
            <c:dLbl>
              <c:idx val="22"/>
              <c:tx>
                <c:strRef>
                  <c:f>'SensIt Two-Factor Tornado 1'!$D$33</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{95CFB8C5-14A4-48E0-9FC1-D255550DAEDE}</c15:txfldGUID>
                      <c15:f>'SensIt Two-Factor Tornado 1'!$D$33</c15:f>
                      <c15:dlblFieldTableCache>
                        <c:ptCount val="1"/>
                        <c:pt idx="0">
                          <c:v>$7.50 &amp; $7.50</c:v>
                        </c:pt>
                      </c15:dlblFieldTableCache>
                    </c15:dlblFTEntry>
                  </c15:dlblFieldTable>
                  <c15:showDataLabelsRange val="0"/>
                </c:ext>
                <c:ext xmlns:c16="http://schemas.microsoft.com/office/drawing/2014/chart" uri="{C3380CC4-5D6E-409C-BE32-E72D297353CC}">
                  <c16:uniqueId val="{00000033-EB1B-4D7A-A8E1-B80A8092B6C5}"/>
                </c:ext>
              </c:extLst>
            </c:dLbl>
            <c:dLbl>
              <c:idx val="23"/>
              <c:tx>
                <c:strRef>
                  <c:f>'SensIt Two-Factor Tornado 1'!$D$34</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{D1C3EB4B-17D8-40E8-8C4D-30FF1BDA8B3C}</c15:txfldGUID>
                      <c15:f>'SensIt Two-Factor Tornado 1'!$D$34</c15:f>
                      <c15:dlblFieldTableCache>
                        <c:ptCount val="1"/>
                        <c:pt idx="0">
                          <c:v>$7.50 &amp; $7.50</c:v>
                        </c:pt>
                      </c15:dlblFieldTableCache>
                    </c15:dlblFTEntry>
                  </c15:dlblFieldTable>
                  <c15:showDataLabelsRange val="0"/>
                </c:ext>
                <c:ext xmlns:c16="http://schemas.microsoft.com/office/drawing/2014/chart" uri="{C3380CC4-5D6E-409C-BE32-E72D297353CC}">
                  <c16:uniqueId val="{00000035-EB1B-4D7A-A8E1-B80A8092B6C5}"/>
                </c:ext>
              </c:extLst>
            </c:dLbl>
            <c:dLbl>
              <c:idx val="24"/>
              <c:tx>
                <c:strRef>
                  <c:f>'SensIt Two-Factor Tornado 1'!$D$35</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{E9BB8E60-D692-483A-B606-63E1918C3317}</c15:txfldGUID>
                      <c15:f>'SensIt Two-Factor Tornado 1'!$D$35</c15:f>
                      <c15:dlblFieldTableCache>
                        <c:ptCount val="1"/>
                        <c:pt idx="0">
                          <c:v>$7.50 &amp; $7.50</c:v>
                        </c:pt>
                      </c15:dlblFieldTableCache>
                    </c15:dlblFTEntry>
                  </c15:dlblFieldTable>
                  <c15:showDataLabelsRange val="0"/>
                </c:ext>
                <c:ext xmlns:c16="http://schemas.microsoft.com/office/drawing/2014/chart" uri="{C3380CC4-5D6E-409C-BE32-E72D297353CC}">
                  <c16:uniqueId val="{00000037-EB1B-4D7A-A8E1-B80A8092B6C5}"/>
                </c:ext>
              </c:extLst>
            </c:dLbl>
            <c:dLbl>
              <c:idx val="25"/>
              <c:tx>
                <c:strRef>
                  <c:f>'SensIt Two-Factor Tornado 1'!$D$36</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{4673A846-E4A4-4C03-9275-DFC55B3D8F45}</c15:txfldGUID>
                      <c15:f>'SensIt Two-Factor Tornado 1'!$D$36</c15:f>
                      <c15:dlblFieldTableCache>
                        <c:ptCount val="1"/>
                        <c:pt idx="0">
                          <c:v>$7.50 &amp; $7.50</c:v>
                        </c:pt>
                      </c15:dlblFieldTableCache>
                    </c15:dlblFTEntry>
                  </c15:dlblFieldTable>
                  <c15:showDataLabelsRange val="0"/>
                </c:ext>
                <c:ext xmlns:c16="http://schemas.microsoft.com/office/drawing/2014/chart" uri="{C3380CC4-5D6E-409C-BE32-E72D297353CC}">
                  <c16:uniqueId val="{00000039-EB1B-4D7A-A8E1-B80A8092B6C5}"/>
                </c:ext>
              </c:extLst>
            </c:dLbl>
            <c:dLbl>
              <c:idx val="26"/>
              <c:tx>
                <c:strRef>
                  <c:f>'SensIt Two-Factor Tornado 1'!$D$37</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{B2F97565-A294-460C-A425-F492CBF0C402}</c15:txfldGUID>
                      <c15:f>'SensIt Two-Factor Tornado 1'!$D$37</c15:f>
                      <c15:dlblFieldTableCache>
                        <c:ptCount val="1"/>
                        <c:pt idx="0">
                          <c:v>$7.50 &amp; $7.50</c:v>
                        </c:pt>
                      </c15:dlblFieldTableCache>
                    </c15:dlblFTEntry>
                  </c15:dlblFieldTable>
                  <c15:showDataLabelsRange val="0"/>
                </c:ext>
                <c:ext xmlns:c16="http://schemas.microsoft.com/office/drawing/2014/chart" uri="{C3380CC4-5D6E-409C-BE32-E72D297353CC}">
                  <c16:uniqueId val="{0000003B-EB1B-4D7A-A8E1-B80A8092B6C5}"/>
                </c:ext>
              </c:extLst>
            </c:dLbl>
            <c:dLbl>
              <c:idx val="27"/>
              <c:tx>
                <c:strRef>
                  <c:f>'SensIt Two-Factor Tornado 1'!$D$38</c:f>
                  <c:strCache>
                    <c:ptCount val="1"/>
                    <c:pt idx="0">
                      <c:v>$7.50 &amp; $7.50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{7596596B-BC84-4E8A-94C2-C909A6A86288}</c15:txfldGUID>
                      <c15:f>'SensIt Two-Factor Tornado 1'!$D$38</c15:f>
                      <c15:dlblFieldTableCache>
                        <c:ptCount val="1"/>
                        <c:pt idx="0">
                          <c:v>$7.50 &amp; $7.50</c:v>
                        </c:pt>
                      </c15:dlblFieldTableCache>
                    </c15:dlblFTEntry>
                  </c15:dlblFieldTable>
                  <c15:showDataLabelsRange val="0"/>
                </c:ext>
                <c:ext xmlns:c16="http://schemas.microsoft.com/office/drawing/2014/chart" uri="{C3380CC4-5D6E-409C-BE32-E72D297353CC}">
                  <c16:uniqueId val="{0000003D-EB1B-4D7A-A8E1-B80A8092B6C5}"/>
                </c:ext>
              </c:extLst>
            </c:dLbl>
            <c:spPr>
              <a:noFill/>
              <a:ln>
                <a:noFill/>
              </a:ln>
              <a:effectLst/>
            </c:spPr>
            <c:txPr>
              <a:bodyPr wrap="square" lIns="38100" tIns="19050" rIns="38100" bIns="19050" anchor="ctr">
                <a:spAutoFit/>
              </a:bodyPr>
              <a:lstStyle/>
              <a:p>
                <a:pPr>
                  <a:defRPr sz="800" b="0"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'SensIt Two-Factor Tornado 1'!$A$11:$A$38</c:f>
              <c:strCache>
                <c:ptCount val="28"/>
                <c:pt idx="0">
                  <c:v>BR01-07, &amp; BR01-08,</c:v>
                </c:pt>
                <c:pt idx="1">
                  <c:v>BR01-02, &amp; BR01-08,</c:v>
                </c:pt>
                <c:pt idx="2">
                  <c:v>BR01-01, &amp; BR01-08,</c:v>
                </c:pt>
                <c:pt idx="3">
                  <c:v>BR01-04, &amp; BR01-08,</c:v>
                </c:pt>
                <c:pt idx="4">
                  <c:v>BR01-05, &amp; BR01-08,</c:v>
                </c:pt>
                <c:pt idx="5">
                  <c:v>BR01-03, &amp; BR01-08,</c:v>
                </c:pt>
                <c:pt idx="6">
                  <c:v>BR01-06, &amp; BR01-08,</c:v>
                </c:pt>
                <c:pt idx="7">
                  <c:v>BR01-02, &amp; BR01-07,</c:v>
                </c:pt>
                <c:pt idx="8">
                  <c:v>BR01-01, &amp; BR01-07,</c:v>
                </c:pt>
                <c:pt idx="9">
                  <c:v>BR01-04, &amp; BR01-07,</c:v>
                </c:pt>
                <c:pt idx="10">
                  <c:v>BR01-05, &amp; BR01-07,</c:v>
                </c:pt>
                <c:pt idx="11">
                  <c:v>BR01-03, &amp; BR01-07,</c:v>
                </c:pt>
                <c:pt idx="12">
                  <c:v>BR01-06, &amp; BR01-07,</c:v>
                </c:pt>
                <c:pt idx="13">
                  <c:v>BR01-01, &amp; BR01-02,</c:v>
                </c:pt>
                <c:pt idx="14">
                  <c:v>BR01-02, &amp; BR01-04,</c:v>
                </c:pt>
                <c:pt idx="15">
                  <c:v>BR01-02, &amp; BR01-05,</c:v>
                </c:pt>
                <c:pt idx="16">
                  <c:v>BR01-01, &amp; BR01-04,</c:v>
                </c:pt>
                <c:pt idx="17">
                  <c:v>BR01-01, &amp; BR01-05,</c:v>
                </c:pt>
                <c:pt idx="18">
                  <c:v>BR01-02, &amp; BR01-03,</c:v>
                </c:pt>
                <c:pt idx="19">
                  <c:v>BR01-02, &amp; BR01-06,</c:v>
                </c:pt>
                <c:pt idx="20">
                  <c:v>BR01-01, &amp; BR01-03,</c:v>
                </c:pt>
                <c:pt idx="21">
                  <c:v>BR01-01, &amp; BR01-06,</c:v>
                </c:pt>
                <c:pt idx="22">
                  <c:v>BR01-04, &amp; BR01-05,</c:v>
                </c:pt>
                <c:pt idx="23">
                  <c:v>BR01-03, &amp; BR01-04,</c:v>
                </c:pt>
                <c:pt idx="24">
                  <c:v>BR01-04, &amp; BR01-06,</c:v>
                </c:pt>
                <c:pt idx="25">
                  <c:v>BR01-03, &amp; BR01-05,</c:v>
                </c:pt>
                <c:pt idx="26">
                  <c:v>BR01-05, &amp; BR01-06,</c:v>
                </c:pt>
                <c:pt idx="27">
                  <c:v>BR01-03, &amp; BR01-06,</c:v>
                </c:pt>
              </c:strCache>
            </c:strRef>
          </c:cat>
          <c:val>
            <c:numRef>
              <c:f>'SensIt Two-Factor Tornado 1'!$G$11:$G$38</c:f>
              <c:numCache>
                <c:formatCode>"$"#,##0_);[Red]\("$"#,##0\)</c:formatCode>
                <c:ptCount val="28"/>
                <c:pt idx="0">
                  <c:v>449210.13</c:v>
                </c:pt>
                <c:pt idx="1">
                  <c:v>378321.37</c:v>
                </c:pt>
                <c:pt idx="2">
                  <c:v>378321.37</c:v>
                </c:pt>
                <c:pt idx="3">
                  <c:v>378321.37</c:v>
                </c:pt>
                <c:pt idx="4">
                  <c:v>378321.37</c:v>
                </c:pt>
                <c:pt idx="5">
                  <c:v>378321.37</c:v>
                </c:pt>
                <c:pt idx="6">
                  <c:v>378321.37</c:v>
                </c:pt>
                <c:pt idx="7">
                  <c:v>357249.4</c:v>
                </c:pt>
                <c:pt idx="8">
                  <c:v>357249.4</c:v>
                </c:pt>
                <c:pt idx="9">
                  <c:v>357249.4</c:v>
                </c:pt>
                <c:pt idx="10">
                  <c:v>357249.4</c:v>
                </c:pt>
                <c:pt idx="11">
                  <c:v>357249.4</c:v>
                </c:pt>
                <c:pt idx="12">
                  <c:v>357249.4</c:v>
                </c:pt>
                <c:pt idx="13">
                  <c:v>286360.65000000002</c:v>
                </c:pt>
                <c:pt idx="14">
                  <c:v>286360.65000000002</c:v>
                </c:pt>
                <c:pt idx="15">
                  <c:v>286360.65000000002</c:v>
                </c:pt>
                <c:pt idx="16">
                  <c:v>286360.65000000002</c:v>
                </c:pt>
                <c:pt idx="17">
                  <c:v>286360.65000000002</c:v>
                </c:pt>
                <c:pt idx="18">
                  <c:v>286360.65000000002</c:v>
                </c:pt>
                <c:pt idx="19">
                  <c:v>286360.65000000002</c:v>
                </c:pt>
                <c:pt idx="20">
                  <c:v>286360.65000000002</c:v>
                </c:pt>
                <c:pt idx="21">
                  <c:v>286360.65000000002</c:v>
                </c:pt>
                <c:pt idx="22">
                  <c:v>286360.65000000002</c:v>
                </c:pt>
                <c:pt idx="23">
                  <c:v>286360.65000000002</c:v>
                </c:pt>
                <c:pt idx="24">
                  <c:v>286360.65000000002</c:v>
                </c:pt>
                <c:pt idx="25">
                  <c:v>286360.65000000002</c:v>
                </c:pt>
                <c:pt idx="26">
                  <c:v>286360.65000000002</c:v>
                </c:pt>
                <c:pt idx="27">
                  <c:v>286360.65000000002</c:v>
                </c:pt>
              </c:numCache>
            </c:numRef>
          </c:val>
          <c:extLst>
            <c:ext xmlns:c16="http://schemas.microsoft.com/office/drawing/2014/chart" uri="{C3380CC4-5D6E-409C-BE32-E72D297353CC}">
              <c16:uniqueId val="{00000005-EB1B-4D7A-A8E1-B80A8092B6C5}"/>
            </c:ext>
          </c:extLst>
        </c:ser>
        <c:dLbls>
          <c:showLegendKey val="0"/>
          <c:showVal val="0"/>
          <c:showCatName val="0"/>
          <c:showSerName val="0"/>
          <c:showPercent val="0"/>
          <c:showBubbleSize val="0"/>
        </c:dLbls>
        <c:gapWidth val="200"/>
        <c:overlap val="100"/>
        <c:axId val="1155068367"/>
        <c:axId val="1155063375"/>
      </c:barChart>
      <c:catAx>
        <c:axId val="1155068367"/>
        <c:scaling>
          <c:orientation val="maxMin"/>
        </c:scaling>
        <c:delete val="0"/>
        <c:axPos val="l"/>
        <c:numFmt formatCode="General" sourceLinked="1"/>
        <c:majorTickMark val="none"/>
        <c:minorTickMark val="none"/>
        <c:tickLblPos val="low"/>
        <c:spPr>
          <a:ln w="12700">
            <a:solidFill>
              <a:srgbClr val="000000"/>
            </a:solidFill>
            <a:prstDash val="solid"/>
          </a:ln>
        </c:spPr>
        <c:txPr>
          <a:bodyPr/>
          <a:lstStyle/>
          <a:p>
            <a:pPr>
              <a:defRPr sz="1000" b="0" i="0"/>
            </a:pPr>
            <a:endParaRPr lang="en-US"/>
          </a:p>
        </c:txPr>
        <c:crossAx val="1155063375"/>
        <c:crossesAt val="286360.65000000002"/>
        <c:auto val="0"/>
        <c:lblAlgn val="ctr"/>
        <c:lblOffset val="100"/>
        <c:noMultiLvlLbl val="0"/>
      </c:catAx>
      <c:valAx>
        <c:axId val="1155063375"/>
        <c:scaling>
          <c:orientation val="minMax"/>
          <c:max val="500000"/>
          <c:min val="180000"/>
        </c:scaling>
        <c:delete val="0"/>
        <c:axPos val="b"/>
        <c:title>
          <c:tx>
            <c:rich>
              <a:bodyPr/>
              <a:lstStyle/>
              <a:p>
                <a:pPr>
                  <a:defRPr sz="1000" b="0" i="0"/>
                </a:pPr>
                <a:r>
                  <a:rPr lang="en-US" sz="1000" b="0" i="0"/>
                  <a:t>Profit before Taxes</a:t>
                </a:r>
              </a:p>
            </c:rich>
          </c:tx>
          <c:overlay val="0"/>
        </c:title>
        <c:numFmt formatCode="&quot;$&quot;#,##0_);[Red]\(&quot;$&quot;#,##0\)" sourceLinked="1"/>
        <c:majorTickMark val="out"/>
        <c:minorTickMark val="none"/>
        <c:tickLblPos val="nextTo"/>
        <c:spPr>
          <a:ln w="12700">
            <a:solidFill>
              <a:srgbClr val="000000"/>
            </a:solidFill>
            <a:prstDash val="solid"/>
          </a:ln>
        </c:spPr>
        <c:txPr>
          <a:bodyPr/>
          <a:lstStyle/>
          <a:p>
            <a:pPr>
              <a:defRPr sz="800"/>
            </a:pPr>
            <a:endParaRPr lang="en-US"/>
          </a:p>
        </c:txPr>
        <c:crossAx val="1155068367"/>
        <c:crosses val="max"/>
        <c:crossBetween val="between"/>
        <c:majorUnit val="20000"/>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59145</c:v>
                </c:pt>
                <c:pt idx="1">
                  <c:v>72857</c:v>
                </c:pt>
                <c:pt idx="2">
                  <c:v>84911.172101648728</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51200</c:v>
                </c:pt>
                <c:pt idx="1">
                  <c:v>66950</c:v>
                </c:pt>
                <c:pt idx="2">
                  <c:v>87007.572101648751</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51500</c:v>
                </c:pt>
                <c:pt idx="1">
                  <c:v>62500</c:v>
                </c:pt>
                <c:pt idx="2">
                  <c:v>65197.572101648693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467527.04393744166</c:v>
                </c:pt>
                <c:pt idx="1">
                  <c:v>204088.17210164873</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410311.17808465537</c:v>
                </c:pt>
                <c:pt idx="1">
                  <c:v>190907.57210164875</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393516.68258801725</c:v>
                </c:pt>
                <c:pt idx="1">
                  <c:v>171697.57210164869</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128298.2537</c:v>
                </c:pt>
                <c:pt idx="1">
                  <c:v>192379.337</c:v>
                </c:pt>
                <c:pt idx="2">
                  <c:v>280395.69579999999</c:v>
                </c:pt>
                <c:pt idx="3">
                  <c:v>185504.8916</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29295.741900000001</c:v>
                </c:pt>
                <c:pt idx="1">
                  <c:v>45337.107000000004</c:v>
                </c:pt>
                <c:pt idx="2">
                  <c:v>67862.714500000002</c:v>
                </c:pt>
                <c:pt idx="3">
                  <c:v>41373.974300000002</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99002.511799999993</c:v>
                </c:pt>
                <c:pt idx="1">
                  <c:v>147042.22990000001</c:v>
                </c:pt>
                <c:pt idx="2">
                  <c:v>212532.98130000001</c:v>
                </c:pt>
                <c:pt idx="3">
                  <c:v>144130.91740000001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48209.393100000001</c:v>
                </c:pt>
                <c:pt idx="1">
                  <c:v>48209.393100000001</c:v>
                </c:pt>
                <c:pt idx="2">
                  <c:v>48209.393100000001</c:v>
                </c:pt>
                <c:pt idx="3">
                  <c:v>48209.393100000001</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50793.118799999997</c:v>
                </c:pt>
                <c:pt idx="1">
                  <c:v>98832.837</c:v>
                </c:pt>
                <c:pt idx="2">
                  <c:v>164323.5883</c:v>
                </c:pt>
                <c:pt idx="3">
                  <c:v>95921.524399999995</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149449.74489999999</c:v>
                </c:pt>
                <c:pt idx="1">
                  <c:v>226238.09520000001</c:v>
                </c:pt>
                <c:pt idx="2">
                  <c:v>270837.07669999998</c:v>
                </c:pt>
                <c:pt idx="3">
                  <c:v>230864.68700000001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35049.574800000002</c:v>
                </c:pt>
                <c:pt idx="1">
                  <c:v>53326.538</c:v>
                </c:pt>
                <c:pt idx="2">
                  <c:v>65224.540300000001</c:v>
                </c:pt>
                <c:pt idx="3">
                  <c:v>50777.968099999998</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114400.1701</c:v>
                </c:pt>
                <c:pt idx="1">
                  <c:v>172911.55720000001</c:v>
                </c:pt>
                <c:pt idx="2">
                  <c:v>205612.53640000001</c:v>
                </c:pt>
                <c:pt idx="3">
                  <c:v>180086.7188</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53269.892999999996</c:v>
                </c:pt>
                <c:pt idx="1">
                  <c:v>53269.892999999996</c:v>
                </c:pt>
                <c:pt idx="2">
                  <c:v>53269.892999999996</c:v>
                </c:pt>
                <c:pt idx="3">
                  <c:v>53269.892999999996</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61130.277099999999</c:v>
                </c:pt>
                <c:pt idx="1">
                  <c:v>119641.6642</c:v>
                </c:pt>
                <c:pt idx="2">
                  <c:v>152342.6433</c:v>
                </c:pt>
                <c:pt idx="3">
                  <c:v>126816.82580000001</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130007.1721</c:v>
                </c:pt>
                <c:pt idx="1">
                  <c:v>175331.39439999999</c:v>
                </c:pt>
                <c:pt idx="2">
                  <c:v>264415.32689999999</c:v>
                </c:pt>
                <c:pt idx="3">
                  <c:v>171482.83919999999</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43049.393100000001</c:v>
                </c:pt>
                <c:pt idx="1">
                  <c:v>43049.393100000001</c:v>
                </c:pt>
                <c:pt idx="2">
                  <c:v>43049.393100000001</c:v>
                </c:pt>
                <c:pt idx="3">
                  <c:v>43049.393100000001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56187.608699999997</c:v>
                </c:pt>
                <c:pt idx="1">
                  <c:v>89675.466100000005</c:v>
                </c:pt>
                <c:pt idx="2">
                  <c:v>160032.23869999999</c:v>
                </c:pt>
                <c:pt idx="3">
                  <c:v>88457.042300000001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30770.170399999999</c:v>
                </c:pt>
                <c:pt idx="1">
                  <c:v>42606.535199999998</c:v>
                </c:pt>
                <c:pt idx="2">
                  <c:v>61333.695099999997</c:v>
                </c:pt>
                <c:pt idx="3">
                  <c:v>39976.4038</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99237.001799999998</c:v>
                </c:pt>
                <c:pt idx="1">
                  <c:v>132724.85920000001</c:v>
                </c:pt>
                <c:pt idx="2">
                  <c:v>203081.6317</c:v>
                </c:pt>
                <c:pt idx="3">
                  <c:v>131506.43530000001</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6.6521012032847701E-2</c:v>
                </c:pt>
                <c:pt idx="1">
                  <c:v>7.0269900374260619E-2</c:v>
                </c:pt>
                <c:pt idx="2">
                  <c:v>7.2294551928886008E-2</c:v>
                </c:pt>
                <c:pt idx="3">
                  <c:v>8.6347126149172157E-2</c:v>
                </c:pt>
                <c:pt idx="4">
                  <c:v>9.6684491153934404E-2</c:v>
                </c:pt>
                <c:pt idx="5">
                  <c:v>6.4998588775608088E-2</c:v>
                </c:pt>
                <c:pt idx="6">
                  <c:v>0.22846639329350327</c:v>
                </c:pt>
                <c:pt idx="7">
                  <c:v>0.25341056062961587</c:v>
                </c:pt>
                <c:pt idx="8">
                  <c:v>6.1007375662171862E-2</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3.9847381206562831E-2</c:v>
                </c:pt>
                <c:pt idx="1">
                  <c:v>4.0126983042823514E-2</c:v>
                </c:pt>
                <c:pt idx="2">
                  <c:v>4.3740179861238467E-2</c:v>
                </c:pt>
                <c:pt idx="3">
                  <c:v>5.2242371263578211E-2</c:v>
                </c:pt>
                <c:pt idx="4">
                  <c:v>5.9172200555568766E-2</c:v>
                </c:pt>
                <c:pt idx="5">
                  <c:v>4.0055089110353236E-2</c:v>
                </c:pt>
                <c:pt idx="6">
                  <c:v>0.3209399416754784</c:v>
                </c:pt>
                <c:pt idx="7">
                  <c:v>0.35635201787821141</c:v>
                </c:pt>
                <c:pt idx="8">
                  <c:v>4.7523835053545162E-2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7.4751465678481316E-2</c:v>
                </c:pt>
                <c:pt idx="1">
                  <c:v>7.9570842014354895E-2</c:v>
                </c:pt>
                <c:pt idx="2">
                  <c:v>8.1105329721439634E-2</c:v>
                </c:pt>
                <c:pt idx="3">
                  <c:v>9.6870537984480365E-2</c:v>
                </c:pt>
                <c:pt idx="4">
                  <c:v>0.10825933707145428</c:v>
                </c:pt>
                <c:pt idx="5">
                  <c:v>7.2695190572625079E-2</c:v>
                </c:pt>
                <c:pt idx="6">
                  <c:v>0.19993262321489078</c:v>
                </c:pt>
                <c:pt idx="7">
                  <c:v>0.22164679760170702</c:v>
                </c:pt>
                <c:pt idx="8">
                  <c:v>6.5167876249377671E-2</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ltLang="zh-CN">
                        <a:solidFill>
                          <a:schemeClr val="bg1"/>
                        </a:solidFill>
                      </a:rPr>
                      <a:pPr/>
                      <a:t>[CATEGORY NAME]</a:t>
                    </a:fld>
                    <a:r>
                      <a:rPr lang="en-US" baseline="0">
                        <a:solidFill>
                          <a:schemeClr val="bg1"/>
                        </a:solidFill>
                      </a:rPr>
                      <a:t>
</a:t>
                    </a:r>
                    <a:fld id="{79245283-CFCC-4E1F-AF1B-4D88293817FA}" type="PERCENTAGE">
                      <a:rPr lang="en-US" altLang="zh-CN"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0.31</c:v>
                </c:pt>
                <c:pt idx="1">
                  <c:v>0.69</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0.31848210533922788</c:v>
                </c:pt>
                <c:pt idx="1">
                  <c:v>0.68151789466077206</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ltLang="zh-CN">
                        <a:solidFill>
                          <a:schemeClr val="bg1"/>
                        </a:solidFill>
                      </a:rPr>
                      <a:pPr/>
                      <a:t>[CATEGORY NAME]</a:t>
                    </a:fld>
                    <a:r>
                      <a:rPr lang="en-US" baseline="0">
                        <a:solidFill>
                          <a:schemeClr val="bg1"/>
                        </a:solidFill>
                      </a:rPr>
                      <a:t>
</a:t>
                    </a:r>
                    <a:fld id="{79245283-CFCC-4E1F-AF1B-4D88293817FA}" type="PERCENTAGE">
                      <a:rPr lang="en-US" altLang="zh-CN"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0.315</c:v>
                </c:pt>
                <c:pt idx="1">
                  <c:v>0.68500000000000005</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0.32535899285383896</c:v>
                </c:pt>
                <c:pt idx="1">
                  <c:v>0.67464100714616104</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ltLang="zh-CN">
                        <a:solidFill>
                          <a:schemeClr val="bg1"/>
                        </a:solidFill>
                      </a:rPr>
                      <a:pPr/>
                      <a:t>[CATEGORY NAME]</a:t>
                    </a:fld>
                    <a:r>
                      <a:rPr lang="en-US" baseline="0">
                        <a:solidFill>
                          <a:schemeClr val="bg1"/>
                        </a:solidFill>
                      </a:rPr>
                      <a:t>
</a:t>
                    </a:r>
                    <a:fld id="{79245283-CFCC-4E1F-AF1B-4D88293817FA}" type="PERCENTAGE">
                      <a:rPr lang="en-US" altLang="zh-CN"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0.32</c:v>
                </c:pt>
                <c:pt idx="1">
                  <c:v>0.67999999999999994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0.32740651572706592</c:v>
                </c:pt>
                <c:pt idx="1">
                  <c:v>0.67259348427293408</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52745.061599999994</c:v>
                </c:pt>
                <c:pt idx="1">
                  <c:v>57053.581200000001</c:v>
                </c:pt>
                <c:pt idx="2">
                  <c:v>63228.211200000005</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51327.562703253512</c:v>
                </c:pt>
                <c:pt idx="1">
                  <c:v>55271.985706010164</c:v>
                </c:pt>
                <c:pt idx="2">
                  <c:v>61709.580084237386</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0.97312546703431124</c:v>
                </c:pt>
                <c:pt idx="1">
                  <c:v>0.96877329246442045</c:v>
                </c:pt>
                <c:pt idx="2">
                  <c:v>0.97598174791061276</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117400.29839999999</c:v>
                </c:pt>
                <c:pt idx="1">
                  <c:v>124068.89880000001</c:v>
                </c:pt>
                <c:pt idx="2">
                  <c:v>134359.94879999998</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109835.53513730646</c:v>
                </c:pt>
                <c:pt idx="1">
                  <c:v>114608.01429398981</c:v>
                </c:pt>
                <c:pt idx="2">
                  <c:v>126770.41991576258</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0.93556436085946504</c:v>
                </c:pt>
                <c:pt idx="1">
                  <c:v>0.92374491433778894</c:v>
                </c:pt>
                <c:pt idx="2">
                  <c:v>0.94351345805039932</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0.23163662099938351</c:v>
                </c:pt>
                <c:pt idx="1">
                  <c:v>0.24270811871512007</c:v>
                </c:pt>
                <c:pt idx="2">
                  <c:v>0.23260837744625421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8.4318541230685537E-2</c:v>
                </c:pt>
                <c:pt idx="1">
                  <c:v>8.5116102882107483E-2</c:v>
                </c:pt>
                <c:pt idx="2">
                  <c:v>8.3038367099299598E-2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6.9478477974084893E-2</c:v>
                </c:pt>
                <c:pt idx="1">
                  <c:v>6.5092523787362258E-2</c:v>
                </c:pt>
                <c:pt idx="2">
                  <c:v>6.7410190127071862E-2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0.53089204201216522</c:v>
                </c:pt>
                <c:pt idx="1">
                  <c:v>0.52164433827531376</c:v>
                </c:pt>
                <c:pt idx="2">
                  <c:v>0.5328613901660465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176022.47791707361</c:v>
                </c:pt>
                <c:pt idx="1">
                  <c:v>565214.25468966586</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185353.91624240961</c:v>
                </c:pt>
                <c:pt idx="1">
                  <c:v>601218.75018630421</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205774.38764706533</c:v>
                </c:pt>
                <c:pt idx="1">
                  <c:v>671615.21603909042</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149449.74489999999</c:v>
                </c:pt>
                <c:pt idx="1">
                  <c:v>226238.09520000001</c:v>
                </c:pt>
                <c:pt idx="2">
                  <c:v>270837.07669999998</c:v>
                </c:pt>
                <c:pt idx="3">
                  <c:v>230864.68700000001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128298.2537</c:v>
                </c:pt>
                <c:pt idx="1">
                  <c:v>192379.337</c:v>
                </c:pt>
                <c:pt idx="2">
                  <c:v>280395.69579999999</c:v>
                </c:pt>
                <c:pt idx="3">
                  <c:v>185504.8916</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130007.1721</c:v>
                </c:pt>
                <c:pt idx="1">
                  <c:v>175331.39439999999</c:v>
                </c:pt>
                <c:pt idx="2">
                  <c:v>264415.32689999999</c:v>
                </c:pt>
                <c:pt idx="3">
                  <c:v>171482.83919999999</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35049.574800000002</c:v>
                </c:pt>
                <c:pt idx="1">
                  <c:v>53326.538</c:v>
                </c:pt>
                <c:pt idx="2">
                  <c:v>65224.540300000001</c:v>
                </c:pt>
                <c:pt idx="3">
                  <c:v>50777.968099999998</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29295.741900000001</c:v>
                </c:pt>
                <c:pt idx="1">
                  <c:v>45337.107000000004</c:v>
                </c:pt>
                <c:pt idx="2">
                  <c:v>67862.714500000002</c:v>
                </c:pt>
                <c:pt idx="3">
                  <c:v>41373.974300000002</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30770.170399999999</c:v>
                </c:pt>
                <c:pt idx="1">
                  <c:v>42606.535199999998</c:v>
                </c:pt>
                <c:pt idx="2">
                  <c:v>61333.695099999997</c:v>
                </c:pt>
                <c:pt idx="3">
                  <c:v>39976.4038</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114400.1701</c:v>
                </c:pt>
                <c:pt idx="1">
                  <c:v>172911.55720000001</c:v>
                </c:pt>
                <c:pt idx="2">
                  <c:v>205612.53640000001</c:v>
                </c:pt>
                <c:pt idx="3">
                  <c:v>180086.7188</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99002.511799999993</c:v>
                </c:pt>
                <c:pt idx="1">
                  <c:v>147042.22990000001</c:v>
                </c:pt>
                <c:pt idx="2">
                  <c:v>212532.98130000001</c:v>
                </c:pt>
                <c:pt idx="3">
                  <c:v>144130.91740000001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99237.001799999998</c:v>
                </c:pt>
                <c:pt idx="1">
                  <c:v>132724.85920000001</c:v>
                </c:pt>
                <c:pt idx="2">
                  <c:v>203081.6317</c:v>
                </c:pt>
                <c:pt idx="3">
                  <c:v>131506.43530000001</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53269.892999999996</c:v>
                </c:pt>
                <c:pt idx="1">
                  <c:v>53269.892999999996</c:v>
                </c:pt>
                <c:pt idx="2">
                  <c:v>53269.892999999996</c:v>
                </c:pt>
                <c:pt idx="3">
                  <c:v>53269.892999999996</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48209.393100000001</c:v>
                </c:pt>
                <c:pt idx="1">
                  <c:v>48209.393100000001</c:v>
                </c:pt>
                <c:pt idx="2">
                  <c:v>48209.393100000001</c:v>
                </c:pt>
                <c:pt idx="3">
                  <c:v>48209.393100000001</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43049.393100000001</c:v>
                </c:pt>
                <c:pt idx="1">
                  <c:v>43049.393100000001</c:v>
                </c:pt>
                <c:pt idx="2">
                  <c:v>43049.393100000001</c:v>
                </c:pt>
                <c:pt idx="3">
                  <c:v>43049.393100000001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61130.277099999999</c:v>
                </c:pt>
                <c:pt idx="1">
                  <c:v>119641.6642</c:v>
                </c:pt>
                <c:pt idx="2">
                  <c:v>152342.6433</c:v>
                </c:pt>
                <c:pt idx="3">
                  <c:v>126816.82580000001</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50793.118799999997</c:v>
                </c:pt>
                <c:pt idx="1">
                  <c:v>98832.837</c:v>
                </c:pt>
                <c:pt idx="2">
                  <c:v>164323.5883</c:v>
                </c:pt>
                <c:pt idx="3">
                  <c:v>95921.524399999995</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56187.608699999997</c:v>
                </c:pt>
                <c:pt idx="1">
                  <c:v>89675.466100000005</c:v>
                </c:pt>
                <c:pt idx="2">
                  <c:v>160032.23869999999</c:v>
                </c:pt>
                <c:pt idx="3">
                  <c:v>88457.042300000001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2</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3" Type="http://schemas.openxmlformats.org/officeDocument/2006/relationships/chart" Target="../charts/chart24.xml"/><Relationship Id="rId18" Type="http://schemas.openxmlformats.org/officeDocument/2006/relationships/chart" Target="../charts/chart29.xml"/><Relationship Id="rId26" Type="http://schemas.openxmlformats.org/officeDocument/2006/relationships/chart" Target="../charts/chart36.xml"/><Relationship Id="rId39" Type="http://schemas.openxmlformats.org/officeDocument/2006/relationships/chart" Target="../charts/chart49.xml"/><Relationship Id="rId21" Type="http://schemas.openxmlformats.org/officeDocument/2006/relationships/chart" Target="../charts/chart32.xml"/><Relationship Id="rId34" Type="http://schemas.openxmlformats.org/officeDocument/2006/relationships/chart" Target="../charts/chart44.xml"/><Relationship Id="rId42" Type="http://schemas.openxmlformats.org/officeDocument/2006/relationships/chart" Target="../charts/chart52.xml"/><Relationship Id="rId7" Type="http://schemas.openxmlformats.org/officeDocument/2006/relationships/chart" Target="../charts/chart18.xml"/><Relationship Id="rId2" Type="http://schemas.openxmlformats.org/officeDocument/2006/relationships/chart" Target="../charts/chart13.xml"/><Relationship Id="rId16" Type="http://schemas.openxmlformats.org/officeDocument/2006/relationships/chart" Target="../charts/chart27.xml"/><Relationship Id="rId29" Type="http://schemas.openxmlformats.org/officeDocument/2006/relationships/chart" Target="../charts/chart39.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24" Type="http://schemas.openxmlformats.org/officeDocument/2006/relationships/chart" Target="../charts/chart34.xml"/><Relationship Id="rId32" Type="http://schemas.openxmlformats.org/officeDocument/2006/relationships/chart" Target="../charts/chart42.xml"/><Relationship Id="rId37" Type="http://schemas.openxmlformats.org/officeDocument/2006/relationships/chart" Target="../charts/chart47.xml"/><Relationship Id="rId40" Type="http://schemas.openxmlformats.org/officeDocument/2006/relationships/chart" Target="../charts/chart50.xml"/><Relationship Id="rId45" Type="http://schemas.openxmlformats.org/officeDocument/2006/relationships/chart" Target="../charts/chart55.xml"/><Relationship Id="rId5" Type="http://schemas.openxmlformats.org/officeDocument/2006/relationships/chart" Target="../charts/chart16.xml"/><Relationship Id="rId15" Type="http://schemas.openxmlformats.org/officeDocument/2006/relationships/chart" Target="../charts/chart26.xml"/><Relationship Id="rId23" Type="http://schemas.openxmlformats.org/officeDocument/2006/relationships/chart" Target="../charts/chart33.xml"/><Relationship Id="rId28" Type="http://schemas.openxmlformats.org/officeDocument/2006/relationships/chart" Target="../charts/chart38.xml"/><Relationship Id="rId36" Type="http://schemas.openxmlformats.org/officeDocument/2006/relationships/chart" Target="../charts/chart46.xml"/><Relationship Id="rId10" Type="http://schemas.openxmlformats.org/officeDocument/2006/relationships/chart" Target="../charts/chart21.xml"/><Relationship Id="rId19" Type="http://schemas.openxmlformats.org/officeDocument/2006/relationships/chart" Target="../charts/chart30.xml"/><Relationship Id="rId31" Type="http://schemas.openxmlformats.org/officeDocument/2006/relationships/chart" Target="../charts/chart41.xml"/><Relationship Id="rId44" Type="http://schemas.openxmlformats.org/officeDocument/2006/relationships/chart" Target="../charts/chart54.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 Id="rId22" Type="http://schemas.openxmlformats.org/officeDocument/2006/relationships/image" Target="../media/image21.png"/><Relationship Id="rId27" Type="http://schemas.openxmlformats.org/officeDocument/2006/relationships/chart" Target="../charts/chart37.xml"/><Relationship Id="rId30" Type="http://schemas.openxmlformats.org/officeDocument/2006/relationships/chart" Target="../charts/chart40.xml"/><Relationship Id="rId35" Type="http://schemas.openxmlformats.org/officeDocument/2006/relationships/chart" Target="../charts/chart45.xml"/><Relationship Id="rId43" Type="http://schemas.openxmlformats.org/officeDocument/2006/relationships/chart" Target="../charts/chart53.xml"/><Relationship Id="rId8" Type="http://schemas.openxmlformats.org/officeDocument/2006/relationships/chart" Target="../charts/chart19.xml"/><Relationship Id="rId3" Type="http://schemas.openxmlformats.org/officeDocument/2006/relationships/chart" Target="../charts/chart14.xml"/><Relationship Id="rId12" Type="http://schemas.openxmlformats.org/officeDocument/2006/relationships/chart" Target="../charts/chart23.xml"/><Relationship Id="rId17" Type="http://schemas.openxmlformats.org/officeDocument/2006/relationships/chart" Target="../charts/chart28.xml"/><Relationship Id="rId25" Type="http://schemas.openxmlformats.org/officeDocument/2006/relationships/chart" Target="../charts/chart35.xml"/><Relationship Id="rId33" Type="http://schemas.openxmlformats.org/officeDocument/2006/relationships/chart" Target="../charts/chart43.xml"/><Relationship Id="rId38" Type="http://schemas.openxmlformats.org/officeDocument/2006/relationships/chart" Target="../charts/chart48.xml"/><Relationship Id="rId20" Type="http://schemas.openxmlformats.org/officeDocument/2006/relationships/chart" Target="../charts/chart31.xml"/><Relationship Id="rId41" Type="http://schemas.openxmlformats.org/officeDocument/2006/relationships/chart" Target="../charts/chart51.xml"/></Relationships>
</file>

<file path=xl/drawings/_rels/drawing21.xml.rels><?xml version="1.0" encoding="UTF-8" standalone="yes"?>
<Relationships xmlns="http://schemas.openxmlformats.org/package/2006/relationships"><Relationship Id="rId1" Type="http://schemas.openxmlformats.org/officeDocument/2006/relationships/image" Target="../media/image7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a:extLst>
            <a:ext uri="{FF2B5EF4-FFF2-40B4-BE49-F238E27FC236}">
              <a16:creationId xmlns:a16="http://schemas.microsoft.com/office/drawing/2014/main" id="{00000000-0008-0000-0000-000004000000}"/>
            </a:ext>
          </a:extLst>
        </xdr:cNvPr>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a:extLst>
            <a:ext uri="{FF2B5EF4-FFF2-40B4-BE49-F238E27FC236}">
              <a16:creationId xmlns:a16="http://schemas.microsoft.com/office/drawing/2014/main" id="{00000000-0008-0000-0100-000002000000}"/>
            </a:ext>
          </a:extLst>
        </xdr:cNvPr>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190500</xdr:colOff>
          <xdr:row>11</xdr:row>
          <xdr:rowOff>152400</xdr:rowOff>
        </xdr:to>
        <xdr:sp macro="" textlink="">
          <xdr:nvSpPr>
            <xdr:cNvPr id="24577" name="ListBox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7</xdr:col>
          <xdr:colOff>200025</xdr:colOff>
          <xdr:row>19</xdr:row>
          <xdr:rowOff>19050</xdr:rowOff>
        </xdr:to>
        <xdr:sp macro="" textlink="">
          <xdr:nvSpPr>
            <xdr:cNvPr id="24581" name="ListBox4" hidden="1">
              <a:extLst>
                <a:ext uri="{63B3BB69-23CF-44E3-9099-C40C66FF867C}">
                  <a14:compatExt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152400</xdr:colOff>
          <xdr:row>17</xdr:row>
          <xdr:rowOff>114300</xdr:rowOff>
        </xdr:to>
        <xdr:sp macro="" textlink="">
          <xdr:nvSpPr>
            <xdr:cNvPr id="24582" name="gotoprojectstart" hidden="1">
              <a:extLst>
                <a:ext uri="{63B3BB69-23CF-44E3-9099-C40C66FF867C}">
                  <a14:compatExt spid="_x0000_s24582"/>
                </a:ext>
                <a:ext uri="{FF2B5EF4-FFF2-40B4-BE49-F238E27FC236}">
                  <a16:creationId xmlns:a16="http://schemas.microsoft.com/office/drawing/2014/main" id="{00000000-0008-0000-02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152400</xdr:colOff>
          <xdr:row>3</xdr:row>
          <xdr:rowOff>133350</xdr:rowOff>
        </xdr:to>
        <xdr:sp macro="" textlink="">
          <xdr:nvSpPr>
            <xdr:cNvPr id="24584" name="gotosim" hidden="1">
              <a:extLst>
                <a:ext uri="{63B3BB69-23CF-44E3-9099-C40C66FF867C}">
                  <a14:compatExt spid="_x0000_s24584"/>
                </a:ext>
                <a:ext uri="{FF2B5EF4-FFF2-40B4-BE49-F238E27FC236}">
                  <a16:creationId xmlns:a16="http://schemas.microsoft.com/office/drawing/2014/main" id="{00000000-0008-0000-02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171450</xdr:colOff>
          <xdr:row>3</xdr:row>
          <xdr:rowOff>133350</xdr:rowOff>
        </xdr:to>
        <xdr:sp macro="" textlink="">
          <xdr:nvSpPr>
            <xdr:cNvPr id="24585" name="goto36mo" hidden="1">
              <a:extLst>
                <a:ext uri="{63B3BB69-23CF-44E3-9099-C40C66FF867C}">
                  <a14:compatExt spid="_x0000_s24585"/>
                </a:ext>
                <a:ext uri="{FF2B5EF4-FFF2-40B4-BE49-F238E27FC236}">
                  <a16:creationId xmlns:a16="http://schemas.microsoft.com/office/drawing/2014/main" id="{00000000-0008-0000-02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152400</xdr:colOff>
          <xdr:row>7</xdr:row>
          <xdr:rowOff>95250</xdr:rowOff>
        </xdr:to>
        <xdr:sp macro="" textlink="">
          <xdr:nvSpPr>
            <xdr:cNvPr id="24586" name="gotoperformance" hidden="1">
              <a:extLst>
                <a:ext uri="{63B3BB69-23CF-44E3-9099-C40C66FF867C}">
                  <a14:compatExt spid="_x0000_s24586"/>
                </a:ext>
                <a:ext uri="{FF2B5EF4-FFF2-40B4-BE49-F238E27FC236}">
                  <a16:creationId xmlns:a16="http://schemas.microsoft.com/office/drawing/2014/main" id="{00000000-0008-0000-02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171450</xdr:colOff>
          <xdr:row>12</xdr:row>
          <xdr:rowOff>95250</xdr:rowOff>
        </xdr:to>
        <xdr:sp macro="" textlink="">
          <xdr:nvSpPr>
            <xdr:cNvPr id="24587" name="gotodanalysis" hidden="1">
              <a:extLst>
                <a:ext uri="{63B3BB69-23CF-44E3-9099-C40C66FF867C}">
                  <a14:compatExt spid="_x0000_s24587"/>
                </a:ext>
                <a:ext uri="{FF2B5EF4-FFF2-40B4-BE49-F238E27FC236}">
                  <a16:creationId xmlns:a16="http://schemas.microsoft.com/office/drawing/2014/main" id="{00000000-0008-0000-0200-00000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180975</xdr:colOff>
          <xdr:row>3</xdr:row>
          <xdr:rowOff>133350</xdr:rowOff>
        </xdr:to>
        <xdr:sp macro="" textlink="">
          <xdr:nvSpPr>
            <xdr:cNvPr id="24588" name="gotomktg" hidden="1">
              <a:extLst>
                <a:ext uri="{63B3BB69-23CF-44E3-9099-C40C66FF867C}">
                  <a14:compatExt spid="_x0000_s24588"/>
                </a:ext>
                <a:ext uri="{FF2B5EF4-FFF2-40B4-BE49-F238E27FC236}">
                  <a16:creationId xmlns:a16="http://schemas.microsoft.com/office/drawing/2014/main" id="{00000000-0008-0000-02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171450</xdr:colOff>
          <xdr:row>6</xdr:row>
          <xdr:rowOff>133350</xdr:rowOff>
        </xdr:to>
        <xdr:sp macro="" textlink="">
          <xdr:nvSpPr>
            <xdr:cNvPr id="24589" name="gotoinn" hidden="1">
              <a:extLst>
                <a:ext uri="{63B3BB69-23CF-44E3-9099-C40C66FF867C}">
                  <a14:compatExt spid="_x0000_s24589"/>
                </a:ext>
                <a:ext uri="{FF2B5EF4-FFF2-40B4-BE49-F238E27FC236}">
                  <a16:creationId xmlns:a16="http://schemas.microsoft.com/office/drawing/2014/main" id="{00000000-0008-0000-02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171450</xdr:colOff>
          <xdr:row>10</xdr:row>
          <xdr:rowOff>123825</xdr:rowOff>
        </xdr:to>
        <xdr:sp macro="" textlink="">
          <xdr:nvSpPr>
            <xdr:cNvPr id="24590" name="gotooper" hidden="1">
              <a:extLst>
                <a:ext uri="{63B3BB69-23CF-44E3-9099-C40C66FF867C}">
                  <a14:compatExt spid="_x0000_s24590"/>
                </a:ext>
                <a:ext uri="{FF2B5EF4-FFF2-40B4-BE49-F238E27FC236}">
                  <a16:creationId xmlns:a16="http://schemas.microsoft.com/office/drawing/2014/main" id="{00000000-0008-0000-02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171450</xdr:colOff>
          <xdr:row>14</xdr:row>
          <xdr:rowOff>104775</xdr:rowOff>
        </xdr:to>
        <xdr:sp macro="" textlink="">
          <xdr:nvSpPr>
            <xdr:cNvPr id="24591" name="gotofin" hidden="1">
              <a:extLst>
                <a:ext uri="{63B3BB69-23CF-44E3-9099-C40C66FF867C}">
                  <a14:compatExt spid="_x0000_s24591"/>
                </a:ext>
                <a:ext uri="{FF2B5EF4-FFF2-40B4-BE49-F238E27FC236}">
                  <a16:creationId xmlns:a16="http://schemas.microsoft.com/office/drawing/2014/main" id="{00000000-0008-0000-02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171450</xdr:colOff>
          <xdr:row>16</xdr:row>
          <xdr:rowOff>114300</xdr:rowOff>
        </xdr:to>
        <xdr:sp macro="" textlink="">
          <xdr:nvSpPr>
            <xdr:cNvPr id="24592" name="gotoorg" hidden="1">
              <a:extLst>
                <a:ext uri="{63B3BB69-23CF-44E3-9099-C40C66FF867C}">
                  <a14:compatExt spid="_x0000_s24592"/>
                </a:ext>
                <a:ext uri="{FF2B5EF4-FFF2-40B4-BE49-F238E27FC236}">
                  <a16:creationId xmlns:a16="http://schemas.microsoft.com/office/drawing/2014/main" id="{00000000-0008-0000-02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14</xdr:col>
          <xdr:colOff>200025</xdr:colOff>
          <xdr:row>11</xdr:row>
          <xdr:rowOff>85725</xdr:rowOff>
        </xdr:to>
        <xdr:sp macro="" textlink="">
          <xdr:nvSpPr>
            <xdr:cNvPr id="24593" name="ListBox2" hidden="1">
              <a:extLst>
                <a:ext uri="{63B3BB69-23CF-44E3-9099-C40C66FF867C}">
                  <a14:compatExt spid="_x0000_s24593"/>
                </a:ext>
                <a:ext uri="{FF2B5EF4-FFF2-40B4-BE49-F238E27FC236}">
                  <a16:creationId xmlns:a16="http://schemas.microsoft.com/office/drawing/2014/main" id="{00000000-0008-0000-0200-00001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 uri="{FF2B5EF4-FFF2-40B4-BE49-F238E27FC236}">
                  <a16:creationId xmlns:a16="http://schemas.microsoft.com/office/drawing/2014/main" id="{00000000-0008-0000-0200-00001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14</xdr:col>
          <xdr:colOff>228600</xdr:colOff>
          <xdr:row>16</xdr:row>
          <xdr:rowOff>171450</xdr:rowOff>
        </xdr:to>
        <xdr:sp macro="" textlink="">
          <xdr:nvSpPr>
            <xdr:cNvPr id="24596" name="ListBox5" hidden="1">
              <a:extLst>
                <a:ext uri="{63B3BB69-23CF-44E3-9099-C40C66FF867C}">
                  <a14:compatExt spid="_x0000_s24596"/>
                </a:ext>
                <a:ext uri="{FF2B5EF4-FFF2-40B4-BE49-F238E27FC236}">
                  <a16:creationId xmlns:a16="http://schemas.microsoft.com/office/drawing/2014/main" id="{00000000-0008-0000-02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 uri="{FF2B5EF4-FFF2-40B4-BE49-F238E27FC236}">
                  <a16:creationId xmlns:a16="http://schemas.microsoft.com/office/drawing/2014/main" id="{00000000-0008-0000-02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 uri="{FF2B5EF4-FFF2-40B4-BE49-F238E27FC236}">
                  <a16:creationId xmlns:a16="http://schemas.microsoft.com/office/drawing/2014/main" id="{00000000-0008-0000-0200-00001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428625</xdr:colOff>
          <xdr:row>13</xdr:row>
          <xdr:rowOff>123825</xdr:rowOff>
        </xdr:to>
        <xdr:sp macro="" textlink="">
          <xdr:nvSpPr>
            <xdr:cNvPr id="24599" name="ListBox8" hidden="1">
              <a:extLst>
                <a:ext uri="{63B3BB69-23CF-44E3-9099-C40C66FF867C}">
                  <a14:compatExt spid="_x0000_s24599"/>
                </a:ext>
                <a:ext uri="{FF2B5EF4-FFF2-40B4-BE49-F238E27FC236}">
                  <a16:creationId xmlns:a16="http://schemas.microsoft.com/office/drawing/2014/main" id="{00000000-0008-0000-02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 uri="{FF2B5EF4-FFF2-40B4-BE49-F238E27FC236}">
                  <a16:creationId xmlns:a16="http://schemas.microsoft.com/office/drawing/2014/main" id="{00000000-0008-0000-0200-00001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 uri="{FF2B5EF4-FFF2-40B4-BE49-F238E27FC236}">
                  <a16:creationId xmlns:a16="http://schemas.microsoft.com/office/drawing/2014/main" id="{00000000-0008-0000-0200-00001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a:extLst>
            <a:ext uri="{FF2B5EF4-FFF2-40B4-BE49-F238E27FC236}">
              <a16:creationId xmlns:a16="http://schemas.microsoft.com/office/drawing/2014/main" id="{00000000-0008-0000-0200-000000600000}"/>
            </a:ext>
          </a:extLst>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a:extLst>
            <a:ext uri="{FF2B5EF4-FFF2-40B4-BE49-F238E27FC236}">
              <a16:creationId xmlns:a16="http://schemas.microsoft.com/office/drawing/2014/main" id="{00000000-0008-0000-0200-000002600000}"/>
            </a:ext>
          </a:extLst>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a:extLst>
            <a:ext uri="{FF2B5EF4-FFF2-40B4-BE49-F238E27FC236}">
              <a16:creationId xmlns:a16="http://schemas.microsoft.com/office/drawing/2014/main" id="{00000000-0008-0000-0200-000003600000}"/>
            </a:ext>
          </a:extLst>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a:extLst>
            <a:ext uri="{FF2B5EF4-FFF2-40B4-BE49-F238E27FC236}">
              <a16:creationId xmlns:a16="http://schemas.microsoft.com/office/drawing/2014/main" id="{00000000-0008-0000-0200-000004600000}"/>
            </a:ext>
          </a:extLst>
        </xdr:cNvPr>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a:extLst>
            <a:ext uri="{FF2B5EF4-FFF2-40B4-BE49-F238E27FC236}">
              <a16:creationId xmlns:a16="http://schemas.microsoft.com/office/drawing/2014/main" id="{00000000-0008-0000-0200-000007600000}"/>
            </a:ext>
          </a:extLst>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a:extLst>
            <a:ext uri="{FF2B5EF4-FFF2-40B4-BE49-F238E27FC236}">
              <a16:creationId xmlns:a16="http://schemas.microsoft.com/office/drawing/2014/main" id="{00000000-0008-0000-0200-000013600000}"/>
            </a:ext>
          </a:extLst>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a:extLst>
            <a:ext uri="{FF2B5EF4-FFF2-40B4-BE49-F238E27FC236}">
              <a16:creationId xmlns:a16="http://schemas.microsoft.com/office/drawing/2014/main" id="{00000000-0008-0000-0200-00001A600000}"/>
            </a:ext>
          </a:extLst>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a:extLst>
            <a:ext uri="{FF2B5EF4-FFF2-40B4-BE49-F238E27FC236}">
              <a16:creationId xmlns:a16="http://schemas.microsoft.com/office/drawing/2014/main" id="{00000000-0008-0000-0200-00001B600000}"/>
            </a:ext>
          </a:extLst>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a:extLst>
            <a:ext uri="{FF2B5EF4-FFF2-40B4-BE49-F238E27FC236}">
              <a16:creationId xmlns:a16="http://schemas.microsoft.com/office/drawing/2014/main" id="{00000000-0008-0000-0200-00001C600000}"/>
            </a:ext>
          </a:extLst>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a:extLst>
            <a:ext uri="{FF2B5EF4-FFF2-40B4-BE49-F238E27FC236}">
              <a16:creationId xmlns:a16="http://schemas.microsoft.com/office/drawing/2014/main" id="{00000000-0008-0000-0200-00001D600000}"/>
            </a:ext>
          </a:extLst>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a:extLst>
            <a:ext uri="{FF2B5EF4-FFF2-40B4-BE49-F238E27FC236}">
              <a16:creationId xmlns:a16="http://schemas.microsoft.com/office/drawing/2014/main" id="{00000000-0008-0000-0200-00001E600000}"/>
            </a:ext>
          </a:extLst>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a:extLst>
            <a:ext uri="{FF2B5EF4-FFF2-40B4-BE49-F238E27FC236}">
              <a16:creationId xmlns:a16="http://schemas.microsoft.com/office/drawing/2014/main" id="{00000000-0008-0000-0200-00001F600000}"/>
            </a:ext>
          </a:extLst>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152774" y="1094317"/>
          <a:ext cx="1866378" cy="1930213"/>
          <a:chOff x="2914650" y="1466850"/>
          <a:chExt cx="2011681" cy="2028825"/>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2914650" y="1466850"/>
            <a:ext cx="2011681" cy="2028825"/>
            <a:chOff x="2914650" y="1466850"/>
            <a:chExt cx="2011681" cy="2028825"/>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3343275" y="2033905"/>
            <a:ext cx="1198245" cy="1323975"/>
            <a:chOff x="0" y="0"/>
            <a:chExt cx="1198245" cy="1323975"/>
          </a:xfrm>
        </xdr:grpSpPr>
        <xdr:sp macro="[0]!T36MoFinPr" textlink="">
          <xdr:nvSpPr>
            <xdr:cNvPr id="6" name="Rounded Rectangle 5">
              <a:extLst>
                <a:ext uri="{FF2B5EF4-FFF2-40B4-BE49-F238E27FC236}">
                  <a16:creationId xmlns:a16="http://schemas.microsoft.com/office/drawing/2014/main" id="{00000000-0008-0000-0300-000006000000}"/>
                </a:ext>
              </a:extLst>
            </xdr:cNvPr>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a:extLst>
                <a:ext uri="{FF2B5EF4-FFF2-40B4-BE49-F238E27FC236}">
                  <a16:creationId xmlns:a16="http://schemas.microsoft.com/office/drawing/2014/main" id="{00000000-0008-0000-0300-000007000000}"/>
                </a:ext>
              </a:extLst>
            </xdr:cNvPr>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a:extLst>
                <a:ext uri="{FF2B5EF4-FFF2-40B4-BE49-F238E27FC236}">
                  <a16:creationId xmlns:a16="http://schemas.microsoft.com/office/drawing/2014/main" id="{00000000-0008-0000-0300-000008000000}"/>
                </a:ext>
              </a:extLst>
            </xdr:cNvPr>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a:extLst>
                <a:ext uri="{FF2B5EF4-FFF2-40B4-BE49-F238E27FC236}">
                  <a16:creationId xmlns:a16="http://schemas.microsoft.com/office/drawing/2014/main" id="{00000000-0008-0000-0300-000009000000}"/>
                </a:ext>
              </a:extLst>
            </xdr:cNvPr>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7797676" y="916517"/>
          <a:ext cx="2376020" cy="3337112"/>
          <a:chOff x="6657975" y="561975"/>
          <a:chExt cx="2466975" cy="3514725"/>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6657975" y="561975"/>
            <a:ext cx="2466975" cy="3514725"/>
            <a:chOff x="2914650" y="1466850"/>
            <a:chExt cx="2011681" cy="2028825"/>
          </a:xfrm>
        </xdr:grpSpPr>
        <xdr:sp macro="" textlink="">
          <xdr:nvSpPr>
            <xdr:cNvPr id="20" name="Rectangle 19">
              <a:extLst>
                <a:ext uri="{FF2B5EF4-FFF2-40B4-BE49-F238E27FC236}">
                  <a16:creationId xmlns:a16="http://schemas.microsoft.com/office/drawing/2014/main" id="{00000000-0008-0000-0300-000014000000}"/>
                </a:ext>
              </a:extLst>
            </xdr:cNvPr>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0300-000015000000}"/>
                </a:ext>
              </a:extLst>
            </xdr:cNvPr>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6978103" y="1110017"/>
            <a:ext cx="1838845" cy="2799589"/>
            <a:chOff x="6978103" y="1833917"/>
            <a:chExt cx="1838845" cy="2799589"/>
          </a:xfrm>
        </xdr:grpSpPr>
        <xdr:sp macro="[0]!MoveToOperMgt" textlink="">
          <xdr:nvSpPr>
            <xdr:cNvPr id="15" name="ShapeOper">
              <a:extLst>
                <a:ext uri="{FF2B5EF4-FFF2-40B4-BE49-F238E27FC236}">
                  <a16:creationId xmlns:a16="http://schemas.microsoft.com/office/drawing/2014/main" id="{00000000-0008-0000-0300-00000F000000}"/>
                </a:ext>
              </a:extLst>
            </xdr:cNvPr>
            <xdr:cNvSpPr/>
          </xdr:nvSpPr>
          <xdr:spPr bwMode="auto">
            <a:xfrm>
              <a:off x="6987732" y="298301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a:extLst>
                <a:ext uri="{FF2B5EF4-FFF2-40B4-BE49-F238E27FC236}">
                  <a16:creationId xmlns:a16="http://schemas.microsoft.com/office/drawing/2014/main" id="{00000000-0008-0000-0300-000010000000}"/>
                </a:ext>
              </a:extLst>
            </xdr:cNvPr>
            <xdr:cNvSpPr/>
          </xdr:nvSpPr>
          <xdr:spPr bwMode="auto">
            <a:xfrm>
              <a:off x="6988148" y="4176306"/>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a:extLst>
                <a:ext uri="{FF2B5EF4-FFF2-40B4-BE49-F238E27FC236}">
                  <a16:creationId xmlns:a16="http://schemas.microsoft.com/office/drawing/2014/main" id="{00000000-0008-0000-0300-000011000000}"/>
                </a:ext>
              </a:extLst>
            </xdr:cNvPr>
            <xdr:cNvSpPr/>
          </xdr:nvSpPr>
          <xdr:spPr bwMode="auto">
            <a:xfrm>
              <a:off x="6978624" y="2412519"/>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a:extLst>
                <a:ext uri="{FF2B5EF4-FFF2-40B4-BE49-F238E27FC236}">
                  <a16:creationId xmlns:a16="http://schemas.microsoft.com/office/drawing/2014/main" id="{00000000-0008-0000-0300-000012000000}"/>
                </a:ext>
              </a:extLst>
            </xdr:cNvPr>
            <xdr:cNvSpPr/>
          </xdr:nvSpPr>
          <xdr:spPr bwMode="auto">
            <a:xfrm>
              <a:off x="6988148" y="355947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a:extLst>
                <a:ext uri="{FF2B5EF4-FFF2-40B4-BE49-F238E27FC236}">
                  <a16:creationId xmlns:a16="http://schemas.microsoft.com/office/drawing/2014/main" id="{00000000-0008-0000-0300-000013000000}"/>
                </a:ext>
              </a:extLst>
            </xdr:cNvPr>
            <xdr:cNvSpPr/>
          </xdr:nvSpPr>
          <xdr:spPr bwMode="auto">
            <a:xfrm>
              <a:off x="6978103" y="1833917"/>
              <a:ext cx="1828800" cy="453437"/>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a:extLst>
            <a:ext uri="{FF2B5EF4-FFF2-40B4-BE49-F238E27FC236}">
              <a16:creationId xmlns:a16="http://schemas.microsoft.com/office/drawing/2014/main" id="{00000000-0008-0000-0300-000016000000}"/>
            </a:ext>
          </a:extLst>
        </xdr:cNvPr>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401237" y="4026897"/>
          <a:ext cx="1195071" cy="896469"/>
          <a:chOff x="6107208" y="5793442"/>
          <a:chExt cx="1188721" cy="915519"/>
        </a:xfrm>
      </xdr:grpSpPr>
      <xdr:grpSp>
        <xdr:nvGrpSpPr>
          <xdr:cNvPr id="24" name="Group 23">
            <a:extLst>
              <a:ext uri="{FF2B5EF4-FFF2-40B4-BE49-F238E27FC236}">
                <a16:creationId xmlns:a16="http://schemas.microsoft.com/office/drawing/2014/main" id="{00000000-0008-0000-0300-000018000000}"/>
              </a:ext>
            </a:extLst>
          </xdr:cNvPr>
          <xdr:cNvGrpSpPr/>
        </xdr:nvGrpSpPr>
        <xdr:grpSpPr>
          <a:xfrm>
            <a:off x="6107208" y="5793442"/>
            <a:ext cx="1188721" cy="915519"/>
            <a:chOff x="6129617" y="5390030"/>
            <a:chExt cx="2450898" cy="915519"/>
          </a:xfrm>
        </xdr:grpSpPr>
        <xdr:sp macro="" textlink="">
          <xdr:nvSpPr>
            <xdr:cNvPr id="26" name="Rectangle 25">
              <a:extLst>
                <a:ext uri="{FF2B5EF4-FFF2-40B4-BE49-F238E27FC236}">
                  <a16:creationId xmlns:a16="http://schemas.microsoft.com/office/drawing/2014/main" id="{00000000-0008-0000-0300-00001A000000}"/>
                </a:ext>
              </a:extLst>
            </xdr:cNvPr>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300-00001B000000}"/>
                </a:ext>
              </a:extLst>
            </xdr:cNvPr>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a:extLst>
              <a:ext uri="{FF2B5EF4-FFF2-40B4-BE49-F238E27FC236}">
                <a16:creationId xmlns:a16="http://schemas.microsoft.com/office/drawing/2014/main" id="{00000000-0008-0000-0300-000019000000}"/>
              </a:ext>
            </a:extLst>
          </xdr:cNvPr>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3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a:extLst>
            <a:ext uri="{FF2B5EF4-FFF2-40B4-BE49-F238E27FC236}">
              <a16:creationId xmlns:a16="http://schemas.microsoft.com/office/drawing/2014/main" id="{00000000-0008-0000-0300-00001D000000}"/>
            </a:ext>
          </a:extLst>
        </xdr:cNvPr>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a:extLst>
            <a:ext uri="{FF2B5EF4-FFF2-40B4-BE49-F238E27FC236}">
              <a16:creationId xmlns:a16="http://schemas.microsoft.com/office/drawing/2014/main" id="{00000000-0008-0000-0300-00001E000000}"/>
            </a:ext>
          </a:extLst>
        </xdr:cNvPr>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a:extLst>
            <a:ext uri="{FF2B5EF4-FFF2-40B4-BE49-F238E27FC236}">
              <a16:creationId xmlns:a16="http://schemas.microsoft.com/office/drawing/2014/main" id="{00000000-0008-0000-0300-00001F000000}"/>
            </a:ext>
          </a:extLst>
        </xdr:cNvPr>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a:extLst>
            <a:ext uri="{FF2B5EF4-FFF2-40B4-BE49-F238E27FC236}">
              <a16:creationId xmlns:a16="http://schemas.microsoft.com/office/drawing/2014/main" id="{00000000-0008-0000-0300-000020000000}"/>
            </a:ext>
          </a:extLst>
        </xdr:cNvPr>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4350247" y="4057339"/>
          <a:ext cx="1305485" cy="898525"/>
          <a:chOff x="4933389" y="5604622"/>
          <a:chExt cx="1286435" cy="914400"/>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4933389" y="5604622"/>
            <a:ext cx="1286435" cy="914400"/>
            <a:chOff x="6129615" y="5390030"/>
            <a:chExt cx="2666196" cy="914400"/>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a:extLst>
              <a:ext uri="{FF2B5EF4-FFF2-40B4-BE49-F238E27FC236}">
                <a16:creationId xmlns:a16="http://schemas.microsoft.com/office/drawing/2014/main" id="{00000000-0008-0000-0300-000023000000}"/>
              </a:ext>
            </a:extLst>
          </xdr:cNvPr>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a:extLst>
            <a:ext uri="{FF2B5EF4-FFF2-40B4-BE49-F238E27FC236}">
              <a16:creationId xmlns:a16="http://schemas.microsoft.com/office/drawing/2014/main" id="{00000000-0008-0000-0300-000026000000}"/>
            </a:ext>
          </a:extLst>
        </xdr:cNvPr>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4398433" y="5482168"/>
          <a:ext cx="1207771" cy="952500"/>
          <a:chOff x="7277100" y="6391276"/>
          <a:chExt cx="1188721" cy="971550"/>
        </a:xfrm>
      </xdr:grpSpPr>
      <xdr:grpSp>
        <xdr:nvGrpSpPr>
          <xdr:cNvPr id="40" name="Group 39">
            <a:extLst>
              <a:ext uri="{FF2B5EF4-FFF2-40B4-BE49-F238E27FC236}">
                <a16:creationId xmlns:a16="http://schemas.microsoft.com/office/drawing/2014/main" id="{00000000-0008-0000-0300-000028000000}"/>
              </a:ext>
            </a:extLst>
          </xdr:cNvPr>
          <xdr:cNvGrpSpPr/>
        </xdr:nvGrpSpPr>
        <xdr:grpSpPr>
          <a:xfrm>
            <a:off x="7277100" y="6391276"/>
            <a:ext cx="1188721" cy="971550"/>
            <a:chOff x="6129617" y="5390030"/>
            <a:chExt cx="2129466" cy="1142999"/>
          </a:xfrm>
        </xdr:grpSpPr>
        <xdr:sp macro="" textlink="">
          <xdr:nvSpPr>
            <xdr:cNvPr id="42" name="Rectangle 41">
              <a:extLst>
                <a:ext uri="{FF2B5EF4-FFF2-40B4-BE49-F238E27FC236}">
                  <a16:creationId xmlns:a16="http://schemas.microsoft.com/office/drawing/2014/main" id="{00000000-0008-0000-0300-00002A000000}"/>
                </a:ext>
              </a:extLst>
            </xdr:cNvPr>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300-00002B000000}"/>
                </a:ext>
              </a:extLst>
            </xdr:cNvPr>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a:extLst>
              <a:ext uri="{FF2B5EF4-FFF2-40B4-BE49-F238E27FC236}">
                <a16:creationId xmlns:a16="http://schemas.microsoft.com/office/drawing/2014/main" id="{00000000-0008-0000-0300-000029000000}"/>
              </a:ext>
            </a:extLst>
          </xdr:cNvPr>
          <xdr:cNvSpPr/>
        </xdr:nvSpPr>
        <xdr:spPr bwMode="auto">
          <a:xfrm>
            <a:off x="7431656" y="6844087"/>
            <a:ext cx="914400" cy="439175"/>
          </a:xfrm>
          <a:prstGeom prst="roundRect">
            <a:avLst/>
          </a:prstGeom>
          <a:ln>
            <a:solidFill>
              <a:srgbClr val="FF0000"/>
            </a:solidFill>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a:extLst>
            <a:ext uri="{FF2B5EF4-FFF2-40B4-BE49-F238E27FC236}">
              <a16:creationId xmlns:a16="http://schemas.microsoft.com/office/drawing/2014/main" id="{00000000-0008-0000-0300-00002C000000}"/>
            </a:ext>
          </a:extLst>
        </xdr:cNvPr>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a:extLst>
            <a:ext uri="{FF2B5EF4-FFF2-40B4-BE49-F238E27FC236}">
              <a16:creationId xmlns:a16="http://schemas.microsoft.com/office/drawing/2014/main" id="{00000000-0008-0000-0300-00002D000000}"/>
            </a:ext>
          </a:extLst>
        </xdr:cNvPr>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a:extLst>
            <a:ext uri="{FF2B5EF4-FFF2-40B4-BE49-F238E27FC236}">
              <a16:creationId xmlns:a16="http://schemas.microsoft.com/office/drawing/2014/main" id="{00000000-0008-0000-0300-000030000000}"/>
            </a:ext>
          </a:extLst>
        </xdr:cNvPr>
        <xdr:cNvGrpSpPr/>
      </xdr:nvGrpSpPr>
      <xdr:grpSpPr>
        <a:xfrm>
          <a:off x="209550" y="19045"/>
          <a:ext cx="9955742" cy="388378"/>
          <a:chOff x="666750" y="28570"/>
          <a:chExt cx="9469521" cy="386261"/>
        </a:xfrm>
      </xdr:grpSpPr>
      <xdr:sp macro="" textlink="">
        <xdr:nvSpPr>
          <xdr:cNvPr id="49" name="Round Single Corner Rectangle 48">
            <a:extLst>
              <a:ext uri="{FF2B5EF4-FFF2-40B4-BE49-F238E27FC236}">
                <a16:creationId xmlns:a16="http://schemas.microsoft.com/office/drawing/2014/main" id="{00000000-0008-0000-0300-000031000000}"/>
              </a:ext>
            </a:extLst>
          </xdr:cNvPr>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a:extLst>
            <a:ext uri="{FF2B5EF4-FFF2-40B4-BE49-F238E27FC236}">
              <a16:creationId xmlns:a16="http://schemas.microsoft.com/office/drawing/2014/main" id="{00000000-0008-0000-0300-000033000000}"/>
            </a:ext>
          </a:extLst>
        </xdr:cNvPr>
        <xdr:cNvGrpSpPr/>
      </xdr:nvGrpSpPr>
      <xdr:grpSpPr>
        <a:xfrm>
          <a:off x="209550" y="608542"/>
          <a:ext cx="2621681" cy="2727324"/>
          <a:chOff x="7476705" y="3552825"/>
          <a:chExt cx="2242900" cy="2781299"/>
        </a:xfrm>
      </xdr:grpSpPr>
      <xdr:sp macro="" textlink="">
        <xdr:nvSpPr>
          <xdr:cNvPr id="52" name="Rectangle 51">
            <a:extLst>
              <a:ext uri="{FF2B5EF4-FFF2-40B4-BE49-F238E27FC236}">
                <a16:creationId xmlns:a16="http://schemas.microsoft.com/office/drawing/2014/main" id="{00000000-0008-0000-0300-000034000000}"/>
              </a:ext>
            </a:extLst>
          </xdr:cNvPr>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a:extLst>
              <a:ext uri="{FF2B5EF4-FFF2-40B4-BE49-F238E27FC236}">
                <a16:creationId xmlns:a16="http://schemas.microsoft.com/office/drawing/2014/main" id="{00000000-0008-0000-0300-000035000000}"/>
              </a:ext>
            </a:extLst>
          </xdr:cNvPr>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a:extLst>
            <a:ext uri="{FF2B5EF4-FFF2-40B4-BE49-F238E27FC236}">
              <a16:creationId xmlns:a16="http://schemas.microsoft.com/office/drawing/2014/main" id="{00000000-0008-0000-0300-000037000000}"/>
            </a:ext>
          </a:extLst>
        </xdr:cNvPr>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a:extLst>
            <a:ext uri="{FF2B5EF4-FFF2-40B4-BE49-F238E27FC236}">
              <a16:creationId xmlns:a16="http://schemas.microsoft.com/office/drawing/2014/main" id="{00000000-0008-0000-0300-000038000000}"/>
            </a:ext>
          </a:extLst>
        </xdr:cNvPr>
        <xdr:cNvGrpSpPr/>
      </xdr:nvGrpSpPr>
      <xdr:grpSpPr>
        <a:xfrm>
          <a:off x="5508625" y="1942945"/>
          <a:ext cx="1948391" cy="1084948"/>
          <a:chOff x="5353051" y="1613055"/>
          <a:chExt cx="1933574" cy="1453996"/>
        </a:xfrm>
      </xdr:grpSpPr>
      <xdr:sp macro="" textlink="">
        <xdr:nvSpPr>
          <xdr:cNvPr id="57" name="Rectangle 56">
            <a:extLst>
              <a:ext uri="{FF2B5EF4-FFF2-40B4-BE49-F238E27FC236}">
                <a16:creationId xmlns:a16="http://schemas.microsoft.com/office/drawing/2014/main" id="{00000000-0008-0000-0300-000039000000}"/>
              </a:ext>
            </a:extLst>
          </xdr:cNvPr>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a:extLst>
              <a:ext uri="{FF2B5EF4-FFF2-40B4-BE49-F238E27FC236}">
                <a16:creationId xmlns:a16="http://schemas.microsoft.com/office/drawing/2014/main" id="{00000000-0008-0000-0300-00003A000000}"/>
              </a:ext>
            </a:extLst>
          </xdr:cNvPr>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a:extLst>
            <a:ext uri="{FF2B5EF4-FFF2-40B4-BE49-F238E27FC236}">
              <a16:creationId xmlns:a16="http://schemas.microsoft.com/office/drawing/2014/main" id="{00000000-0008-0000-0300-00003B000000}"/>
            </a:ext>
          </a:extLst>
        </xdr:cNvPr>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a:extLst>
            <a:ext uri="{FF2B5EF4-FFF2-40B4-BE49-F238E27FC236}">
              <a16:creationId xmlns:a16="http://schemas.microsoft.com/office/drawing/2014/main" id="{00000000-0008-0000-0300-00003C000000}"/>
            </a:ext>
          </a:extLst>
        </xdr:cNvPr>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a:extLst>
            <a:ext uri="{FF2B5EF4-FFF2-40B4-BE49-F238E27FC236}">
              <a16:creationId xmlns:a16="http://schemas.microsoft.com/office/drawing/2014/main" id="{00000000-0008-0000-0300-00003D000000}"/>
            </a:ext>
          </a:extLst>
        </xdr:cNvPr>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457200</xdr:colOff>
          <xdr:row>17</xdr:row>
          <xdr:rowOff>95250</xdr:rowOff>
        </xdr:to>
        <xdr:sp macro="" textlink="">
          <xdr:nvSpPr>
            <xdr:cNvPr id="53250" name="projectstart" hidden="1">
              <a:extLst>
                <a:ext uri="{63B3BB69-23CF-44E3-9099-C40C66FF867C}">
                  <a14:compatExt spid="_x0000_s53250"/>
                </a:ext>
                <a:ext uri="{FF2B5EF4-FFF2-40B4-BE49-F238E27FC236}">
                  <a16:creationId xmlns:a16="http://schemas.microsoft.com/office/drawing/2014/main" id="{00000000-0008-0000-0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457200</xdr:colOff>
          <xdr:row>15</xdr:row>
          <xdr:rowOff>57150</xdr:rowOff>
        </xdr:to>
        <xdr:sp macro="" textlink="">
          <xdr:nvSpPr>
            <xdr:cNvPr id="53251" name="ShapeIP" hidden="1">
              <a:extLst>
                <a:ext uri="{63B3BB69-23CF-44E3-9099-C40C66FF867C}">
                  <a14:compatExt spid="_x0000_s53251"/>
                </a:ext>
                <a:ext uri="{FF2B5EF4-FFF2-40B4-BE49-F238E27FC236}">
                  <a16:creationId xmlns:a16="http://schemas.microsoft.com/office/drawing/2014/main" id="{00000000-0008-0000-0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a:extLst>
            <a:ext uri="{FF2B5EF4-FFF2-40B4-BE49-F238E27FC236}">
              <a16:creationId xmlns:a16="http://schemas.microsoft.com/office/drawing/2014/main" id="{00000000-0008-0000-0400-000008010000}"/>
            </a:ext>
          </a:extLst>
        </xdr:cNvPr>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38100" y="0"/>
          <a:ext cx="7723046" cy="407293"/>
          <a:chOff x="38100" y="0"/>
          <a:chExt cx="7541708" cy="514349"/>
        </a:xfrm>
      </xdr:grpSpPr>
      <xdr:sp macro="" textlink="">
        <xdr:nvSpPr>
          <xdr:cNvPr id="129" name="Rectangle 128">
            <a:extLst>
              <a:ext uri="{FF2B5EF4-FFF2-40B4-BE49-F238E27FC236}">
                <a16:creationId xmlns:a16="http://schemas.microsoft.com/office/drawing/2014/main" id="{00000000-0008-0000-0400-000081000000}"/>
              </a:ext>
            </a:extLst>
          </xdr:cNvPr>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a:extLst>
              <a:ext uri="{FF2B5EF4-FFF2-40B4-BE49-F238E27FC236}">
                <a16:creationId xmlns:a16="http://schemas.microsoft.com/office/drawing/2014/main" id="{00000000-0008-0000-0400-00007C000000}"/>
              </a:ext>
            </a:extLst>
          </xdr:cNvPr>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a:extLst>
              <a:ext uri="{FF2B5EF4-FFF2-40B4-BE49-F238E27FC236}">
                <a16:creationId xmlns:a16="http://schemas.microsoft.com/office/drawing/2014/main" id="{00000000-0008-0000-0400-00007D000000}"/>
              </a:ext>
            </a:extLst>
          </xdr:cNvPr>
          <xdr:cNvGrpSpPr/>
        </xdr:nvGrpSpPr>
        <xdr:grpSpPr>
          <a:xfrm>
            <a:off x="1485903" y="74851"/>
            <a:ext cx="3776329" cy="387967"/>
            <a:chOff x="1552574" y="-201386"/>
            <a:chExt cx="3776329" cy="387967"/>
          </a:xfrm>
        </xdr:grpSpPr>
        <xdr:sp macro="" textlink="">
          <xdr:nvSpPr>
            <xdr:cNvPr id="139" name="TextBox 138">
              <a:extLst>
                <a:ext uri="{FF2B5EF4-FFF2-40B4-BE49-F238E27FC236}">
                  <a16:creationId xmlns:a16="http://schemas.microsoft.com/office/drawing/2014/main" id="{00000000-0008-0000-0400-00008B000000}"/>
                </a:ext>
              </a:extLst>
            </xdr:cNvPr>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 uri="{FF2B5EF4-FFF2-40B4-BE49-F238E27FC236}">
                      <a16:creationId xmlns:a16="http://schemas.microsoft.com/office/drawing/2014/main" id="{00000000-0008-0000-0400-0000251C0000}"/>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a:extLst>
              <a:ext uri="{FF2B5EF4-FFF2-40B4-BE49-F238E27FC236}">
                <a16:creationId xmlns:a16="http://schemas.microsoft.com/office/drawing/2014/main" id="{00000000-0008-0000-0400-000084000000}"/>
              </a:ext>
            </a:extLst>
          </xdr:cNvPr>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a:extLst>
              <a:ext uri="{FF2B5EF4-FFF2-40B4-BE49-F238E27FC236}">
                <a16:creationId xmlns:a16="http://schemas.microsoft.com/office/drawing/2014/main" id="{00000000-0008-0000-0400-000088000000}"/>
              </a:ext>
            </a:extLst>
          </xdr:cNvPr>
          <xdr:cNvSpPr/>
        </xdr:nvSpPr>
        <xdr:spPr bwMode="auto">
          <a:xfrm>
            <a:off x="5363912" y="43554"/>
            <a:ext cx="719301" cy="411480"/>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a:extLst>
            <a:ext uri="{FF2B5EF4-FFF2-40B4-BE49-F238E27FC236}">
              <a16:creationId xmlns:a16="http://schemas.microsoft.com/office/drawing/2014/main" id="{00000000-0008-0000-0400-00008C000000}"/>
            </a:ext>
          </a:extLst>
        </xdr:cNvPr>
        <xdr:cNvGrpSpPr/>
      </xdr:nvGrpSpPr>
      <xdr:grpSpPr>
        <a:xfrm>
          <a:off x="171450" y="371486"/>
          <a:ext cx="7604351" cy="687405"/>
          <a:chOff x="161923" y="495311"/>
          <a:chExt cx="7603566" cy="685788"/>
        </a:xfrm>
      </xdr:grpSpPr>
      <xdr:sp macro="" textlink="">
        <xdr:nvSpPr>
          <xdr:cNvPr id="141" name="Round Single Corner Rectangle 140">
            <a:extLst>
              <a:ext uri="{FF2B5EF4-FFF2-40B4-BE49-F238E27FC236}">
                <a16:creationId xmlns:a16="http://schemas.microsoft.com/office/drawing/2014/main" id="{00000000-0008-0000-0400-00008D000000}"/>
              </a:ext>
            </a:extLst>
          </xdr:cNvPr>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a:extLst>
              <a:ext uri="{FF2B5EF4-FFF2-40B4-BE49-F238E27FC236}">
                <a16:creationId xmlns:a16="http://schemas.microsoft.com/office/drawing/2014/main" id="{00000000-0008-0000-0400-00008E000000}"/>
              </a:ext>
            </a:extLst>
          </xdr:cNvPr>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a:extLst>
              <a:ext uri="{FF2B5EF4-FFF2-40B4-BE49-F238E27FC236}">
                <a16:creationId xmlns:a16="http://schemas.microsoft.com/office/drawing/2014/main" id="{00000000-0008-0000-0400-00008F000000}"/>
              </a:ext>
            </a:extLst>
          </xdr:cNvPr>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a:extLst>
              <a:ext uri="{FF2B5EF4-FFF2-40B4-BE49-F238E27FC236}">
                <a16:creationId xmlns:a16="http://schemas.microsoft.com/office/drawing/2014/main" id="{00000000-0008-0000-0400-000091000000}"/>
              </a:ext>
            </a:extLst>
          </xdr:cNvPr>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a:extLst>
                <a:ext uri="{FF2B5EF4-FFF2-40B4-BE49-F238E27FC236}">
                  <a16:creationId xmlns:a16="http://schemas.microsoft.com/office/drawing/2014/main" id="{00000000-0008-0000-0400-0000011C0000}"/>
                </a:ext>
              </a:extLst>
            </xdr:cNvPr>
            <xdr:cNvGrpSpPr/>
          </xdr:nvGrpSpPr>
          <xdr:grpSpPr>
            <a:xfrm>
              <a:off x="1203205" y="404363"/>
              <a:ext cx="304800" cy="578329"/>
              <a:chOff x="1133475" y="571486"/>
              <a:chExt cx="304800" cy="581021"/>
            </a:xfrm>
          </xdr:grpSpPr>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400-0000261C0000}"/>
                  </a:ext>
                </a:extLst>
              </xdr:cNvPr>
              <xdr:cNvSpPr/>
            </xdr:nvSpPr>
            <xdr:spPr bwMode="auto">
              <a:xfrm>
                <a:off x="1133475" y="571486"/>
                <a:ext cx="304800" cy="21907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400-000027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400-0000281C0000}"/>
                  </a:ext>
                </a:extLst>
              </xdr:cNvPr>
              <xdr:cNvSpPr/>
            </xdr:nvSpPr>
            <xdr:spPr bwMode="auto">
              <a:xfrm>
                <a:off x="1133475" y="933436"/>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a:extLst>
            <a:ext uri="{FF2B5EF4-FFF2-40B4-BE49-F238E27FC236}">
              <a16:creationId xmlns:a16="http://schemas.microsoft.com/office/drawing/2014/main" id="{00000000-0008-0000-0400-0000FE000000}"/>
            </a:ext>
          </a:extLst>
        </xdr:cNvPr>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a:extLst>
            <a:ext uri="{FF2B5EF4-FFF2-40B4-BE49-F238E27FC236}">
              <a16:creationId xmlns:a16="http://schemas.microsoft.com/office/drawing/2014/main" id="{00000000-0008-0000-0400-0000FF000000}"/>
            </a:ext>
          </a:extLst>
        </xdr:cNvPr>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a:extLst>
            <a:ext uri="{FF2B5EF4-FFF2-40B4-BE49-F238E27FC236}">
              <a16:creationId xmlns:a16="http://schemas.microsoft.com/office/drawing/2014/main" id="{00000000-0008-0000-0400-000000010000}"/>
            </a:ext>
          </a:extLst>
        </xdr:cNvPr>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a:extLst>
            <a:ext uri="{FF2B5EF4-FFF2-40B4-BE49-F238E27FC236}">
              <a16:creationId xmlns:a16="http://schemas.microsoft.com/office/drawing/2014/main" id="{00000000-0008-0000-0400-000001010000}"/>
            </a:ext>
          </a:extLst>
        </xdr:cNvPr>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a:extLst>
            <a:ext uri="{FF2B5EF4-FFF2-40B4-BE49-F238E27FC236}">
              <a16:creationId xmlns:a16="http://schemas.microsoft.com/office/drawing/2014/main" id="{00000000-0008-0000-0400-000002010000}"/>
            </a:ext>
          </a:extLst>
        </xdr:cNvPr>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a:extLst>
            <a:ext uri="{FF2B5EF4-FFF2-40B4-BE49-F238E27FC236}">
              <a16:creationId xmlns:a16="http://schemas.microsoft.com/office/drawing/2014/main" id="{00000000-0008-0000-0400-000003010000}"/>
            </a:ext>
          </a:extLst>
        </xdr:cNvPr>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a:extLst>
            <a:ext uri="{FF2B5EF4-FFF2-40B4-BE49-F238E27FC236}">
              <a16:creationId xmlns:a16="http://schemas.microsoft.com/office/drawing/2014/main" id="{00000000-0008-0000-0400-000004010000}"/>
            </a:ext>
          </a:extLst>
        </xdr:cNvPr>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a:extLst>
            <a:ext uri="{FF2B5EF4-FFF2-40B4-BE49-F238E27FC236}">
              <a16:creationId xmlns:a16="http://schemas.microsoft.com/office/drawing/2014/main" id="{00000000-0008-0000-0400-000006010000}"/>
            </a:ext>
          </a:extLst>
        </xdr:cNvPr>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a:extLst>
                <a:ext uri="{FF2B5EF4-FFF2-40B4-BE49-F238E27FC236}">
                  <a16:creationId xmlns:a16="http://schemas.microsoft.com/office/drawing/2014/main" id="{00000000-0008-0000-0400-000007010000}"/>
                </a:ext>
              </a:extLst>
            </xdr:cNvPr>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400-0000291C0000}"/>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400-00002A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a:extLst>
            <a:ext uri="{FF2B5EF4-FFF2-40B4-BE49-F238E27FC236}">
              <a16:creationId xmlns:a16="http://schemas.microsoft.com/office/drawing/2014/main" id="{00000000-0008-0000-0400-000021000000}"/>
            </a:ext>
          </a:extLst>
        </xdr:cNvPr>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a:extLst>
            <a:ext uri="{FF2B5EF4-FFF2-40B4-BE49-F238E27FC236}">
              <a16:creationId xmlns:a16="http://schemas.microsoft.com/office/drawing/2014/main" id="{00000000-0008-0000-0400-000028000000}"/>
            </a:ext>
          </a:extLst>
        </xdr:cNvPr>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a:extLst>
            <a:ext uri="{FF2B5EF4-FFF2-40B4-BE49-F238E27FC236}">
              <a16:creationId xmlns:a16="http://schemas.microsoft.com/office/drawing/2014/main" id="{00000000-0008-0000-0400-00002A000000}"/>
            </a:ext>
          </a:extLst>
        </xdr:cNvPr>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a:extLst>
            <a:ext uri="{FF2B5EF4-FFF2-40B4-BE49-F238E27FC236}">
              <a16:creationId xmlns:a16="http://schemas.microsoft.com/office/drawing/2014/main" id="{00000000-0008-0000-0400-00002B000000}"/>
            </a:ext>
          </a:extLst>
        </xdr:cNvPr>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a:extLst>
            <a:ext uri="{FF2B5EF4-FFF2-40B4-BE49-F238E27FC236}">
              <a16:creationId xmlns:a16="http://schemas.microsoft.com/office/drawing/2014/main" id="{00000000-0008-0000-0400-00002C000000}"/>
            </a:ext>
          </a:extLst>
        </xdr:cNvPr>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a:extLst>
            <a:ext uri="{FF2B5EF4-FFF2-40B4-BE49-F238E27FC236}">
              <a16:creationId xmlns:a16="http://schemas.microsoft.com/office/drawing/2014/main" id="{00000000-0008-0000-0400-00002E000000}"/>
            </a:ext>
          </a:extLst>
        </xdr:cNvPr>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a:extLst>
            <a:ext uri="{FF2B5EF4-FFF2-40B4-BE49-F238E27FC236}">
              <a16:creationId xmlns:a16="http://schemas.microsoft.com/office/drawing/2014/main" id="{00000000-0008-0000-0400-00002F000000}"/>
            </a:ext>
          </a:extLst>
        </xdr:cNvPr>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a:extLst>
              <a:ext uri="{FF2B5EF4-FFF2-40B4-BE49-F238E27FC236}">
                <a16:creationId xmlns:a16="http://schemas.microsoft.com/office/drawing/2014/main" id="{00000000-0008-0000-0500-000003000000}"/>
              </a:ext>
            </a:extLst>
          </xdr:cNvPr>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38096" y="0"/>
          <a:ext cx="10229853" cy="400050"/>
          <a:chOff x="38096" y="0"/>
          <a:chExt cx="10258328" cy="514350"/>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a:extLst>
              <a:ext uri="{FF2B5EF4-FFF2-40B4-BE49-F238E27FC236}">
                <a16:creationId xmlns:a16="http://schemas.microsoft.com/office/drawing/2014/main" id="{00000000-0008-0000-0500-00000A000000}"/>
              </a:ext>
            </a:extLst>
          </xdr:cNvPr>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a:extLst>
              <a:ext uri="{FF2B5EF4-FFF2-40B4-BE49-F238E27FC236}">
                <a16:creationId xmlns:a16="http://schemas.microsoft.com/office/drawing/2014/main" id="{00000000-0008-0000-0500-00000B000000}"/>
              </a:ext>
            </a:extLst>
          </xdr:cNvPr>
          <xdr:cNvGrpSpPr/>
        </xdr:nvGrpSpPr>
        <xdr:grpSpPr>
          <a:xfrm>
            <a:off x="1475948" y="62605"/>
            <a:ext cx="4014019" cy="387967"/>
            <a:chOff x="1542619" y="-213632"/>
            <a:chExt cx="4014019" cy="387967"/>
          </a:xfrm>
        </xdr:grpSpPr>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a:extLst>
              <a:ext uri="{FF2B5EF4-FFF2-40B4-BE49-F238E27FC236}">
                <a16:creationId xmlns:a16="http://schemas.microsoft.com/office/drawing/2014/main" id="{00000000-0008-0000-0500-00000C000000}"/>
              </a:ext>
            </a:extLst>
          </xdr:cNvPr>
          <xdr:cNvSpPr/>
        </xdr:nvSpPr>
        <xdr:spPr bwMode="auto">
          <a:xfrm>
            <a:off x="7239604" y="58521"/>
            <a:ext cx="764575"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a:extLst>
              <a:ext uri="{FF2B5EF4-FFF2-40B4-BE49-F238E27FC236}">
                <a16:creationId xmlns:a16="http://schemas.microsoft.com/office/drawing/2014/main" id="{00000000-0008-0000-0500-00000E000000}"/>
              </a:ext>
            </a:extLst>
          </xdr:cNvPr>
          <xdr:cNvSpPr/>
        </xdr:nvSpPr>
        <xdr:spPr bwMode="auto">
          <a:xfrm>
            <a:off x="5644056" y="47636"/>
            <a:ext cx="764575" cy="423237"/>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a:off x="1095375" y="381000"/>
              <a:ext cx="304800" cy="581025"/>
              <a:chOff x="1133475" y="571396"/>
              <a:chExt cx="304800" cy="581010"/>
            </a:xfrm>
          </xdr:grpSpPr>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1133475" y="571396"/>
                <a:ext cx="304800" cy="2189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500-000003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1133475" y="933451"/>
                <a:ext cx="304800" cy="21895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3438524" y="381011"/>
              <a:ext cx="304800" cy="581025"/>
              <a:chOff x="1133475" y="571396"/>
              <a:chExt cx="304800" cy="581010"/>
            </a:xfrm>
          </xdr:grpSpPr>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500-000005A00000}"/>
                  </a:ext>
                </a:extLst>
              </xdr:cNvPr>
              <xdr:cNvSpPr/>
            </xdr:nvSpPr>
            <xdr:spPr bwMode="auto">
              <a:xfrm>
                <a:off x="1133475" y="571396"/>
                <a:ext cx="304800" cy="2189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500-000006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500-000007A00000}"/>
                  </a:ext>
                </a:extLst>
              </xdr:cNvPr>
              <xdr:cNvSpPr/>
            </xdr:nvSpPr>
            <xdr:spPr bwMode="auto">
              <a:xfrm>
                <a:off x="1133475" y="933451"/>
                <a:ext cx="304800" cy="21895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5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a:extLst>
            <a:ext uri="{FF2B5EF4-FFF2-40B4-BE49-F238E27FC236}">
              <a16:creationId xmlns:a16="http://schemas.microsoft.com/office/drawing/2014/main" id="{00000000-0008-0000-0500-00001B000000}"/>
            </a:ext>
          </a:extLst>
        </xdr:cNvPr>
        <xdr:cNvSpPr/>
      </xdr:nvSpPr>
      <xdr:spPr bwMode="auto">
        <a:xfrm>
          <a:off x="6448425" y="38100"/>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a:extLst>
            <a:ext uri="{FF2B5EF4-FFF2-40B4-BE49-F238E27FC236}">
              <a16:creationId xmlns:a16="http://schemas.microsoft.com/office/drawing/2014/main" id="{00000000-0008-0000-0600-000004000000}"/>
            </a:ext>
          </a:extLst>
        </xdr:cNvPr>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a:extLst>
            <a:ext uri="{FF2B5EF4-FFF2-40B4-BE49-F238E27FC236}">
              <a16:creationId xmlns:a16="http://schemas.microsoft.com/office/drawing/2014/main" id="{00000000-0008-0000-0600-00000A000000}"/>
            </a:ext>
          </a:extLst>
        </xdr:cNvPr>
        <xdr:cNvSpPr/>
      </xdr:nvSpPr>
      <xdr:spPr bwMode="auto">
        <a:xfrm>
          <a:off x="7179948" y="42906884"/>
          <a:ext cx="1411602" cy="20326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71448" y="361961"/>
          <a:ext cx="12623427" cy="691951"/>
          <a:chOff x="161921" y="485786"/>
          <a:chExt cx="10404452" cy="685788"/>
        </a:xfrm>
        <a:solidFill>
          <a:schemeClr val="accent5">
            <a:lumMod val="20000"/>
            <a:lumOff val="80000"/>
          </a:schemeClr>
        </a:solidFill>
      </xdr:grpSpPr>
      <xdr:sp macro="" textlink="">
        <xdr:nvSpPr>
          <xdr:cNvPr id="12" name="Round Single Corner Rectangle 11">
            <a:extLst>
              <a:ext uri="{FF2B5EF4-FFF2-40B4-BE49-F238E27FC236}">
                <a16:creationId xmlns:a16="http://schemas.microsoft.com/office/drawing/2014/main" id="{00000000-0008-0000-0600-00000C000000}"/>
              </a:ext>
            </a:extLst>
          </xdr:cNvPr>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1385219" y="68981"/>
          <a:ext cx="4191949" cy="272169"/>
          <a:chOff x="1699868" y="-214402"/>
          <a:chExt cx="3042073" cy="295275"/>
        </a:xfrm>
      </xdr:grpSpPr>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a:extLst>
            <a:ext uri="{FF2B5EF4-FFF2-40B4-BE49-F238E27FC236}">
              <a16:creationId xmlns:a16="http://schemas.microsoft.com/office/drawing/2014/main" id="{00000000-0008-0000-0600-000013000000}"/>
            </a:ext>
          </a:extLst>
        </xdr:cNvPr>
        <xdr:cNvSpPr/>
      </xdr:nvSpPr>
      <xdr:spPr bwMode="auto">
        <a:xfrm>
          <a:off x="9411649" y="41109"/>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a:extLst>
            <a:ext uri="{FF2B5EF4-FFF2-40B4-BE49-F238E27FC236}">
              <a16:creationId xmlns:a16="http://schemas.microsoft.com/office/drawing/2014/main" id="{00000000-0008-0000-0600-000014000000}"/>
            </a:ext>
          </a:extLst>
        </xdr:cNvPr>
        <xdr:cNvSpPr/>
      </xdr:nvSpPr>
      <xdr:spPr bwMode="auto">
        <a:xfrm>
          <a:off x="5696007" y="38101"/>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a:extLst>
                <a:ext uri="{FF2B5EF4-FFF2-40B4-BE49-F238E27FC236}">
                  <a16:creationId xmlns:a16="http://schemas.microsoft.com/office/drawing/2014/main" id="{00000000-0008-0000-0600-000015000000}"/>
                </a:ext>
              </a:extLst>
            </xdr:cNvPr>
            <xdr:cNvGrpSpPr/>
          </xdr:nvGrpSpPr>
          <xdr:grpSpPr>
            <a:xfrm>
              <a:off x="672353" y="422462"/>
              <a:ext cx="0" cy="583826"/>
              <a:chOff x="0" y="397641"/>
              <a:chExt cx="672353" cy="754873"/>
            </a:xfrm>
          </xdr:grpSpPr>
          <xdr:sp macro="" textlink="">
            <xdr:nvSpPr>
              <xdr:cNvPr id="67586" name="Check Box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672353" y="397641"/>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 uri="{FF2B5EF4-FFF2-40B4-BE49-F238E27FC236}">
                    <a16:creationId xmlns:a16="http://schemas.microsoft.com/office/drawing/2014/main" id="{00000000-0008-0000-0600-000003080100}"/>
                  </a:ext>
                </a:extLst>
              </xdr:cNvPr>
              <xdr:cNvSpPr/>
            </xdr:nvSpPr>
            <xdr:spPr bwMode="auto">
              <a:xfrm>
                <a:off x="672353" y="397645"/>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 uri="{FF2B5EF4-FFF2-40B4-BE49-F238E27FC236}">
                    <a16:creationId xmlns:a16="http://schemas.microsoft.com/office/drawing/2014/main" id="{00000000-0008-0000-0600-000004080100}"/>
                  </a:ext>
                </a:extLst>
              </xdr:cNvPr>
              <xdr:cNvSpPr/>
            </xdr:nvSpPr>
            <xdr:spPr bwMode="auto">
              <a:xfrm>
                <a:off x="0" y="933440"/>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a:extLst>
                <a:ext uri="{FF2B5EF4-FFF2-40B4-BE49-F238E27FC236}">
                  <a16:creationId xmlns:a16="http://schemas.microsoft.com/office/drawing/2014/main" id="{00000000-0008-0000-0600-000019000000}"/>
                </a:ext>
              </a:extLst>
            </xdr:cNvPr>
            <xdr:cNvGrpSpPr/>
          </xdr:nvGrpSpPr>
          <xdr:grpSpPr>
            <a:xfrm>
              <a:off x="1348628" y="390525"/>
              <a:ext cx="304800" cy="587188"/>
              <a:chOff x="1133475" y="571482"/>
              <a:chExt cx="304800" cy="581032"/>
            </a:xfrm>
          </xdr:grpSpPr>
          <xdr:sp macro="" textlink="">
            <xdr:nvSpPr>
              <xdr:cNvPr id="67589" name="Check Box 5" hidden="1">
                <a:extLst>
                  <a:ext uri="{63B3BB69-23CF-44E3-9099-C40C66FF867C}">
                    <a14:compatExt spid="_x0000_s67589"/>
                  </a:ext>
                  <a:ext uri="{FF2B5EF4-FFF2-40B4-BE49-F238E27FC236}">
                    <a16:creationId xmlns:a16="http://schemas.microsoft.com/office/drawing/2014/main" id="{00000000-0008-0000-0600-000005080100}"/>
                  </a:ext>
                </a:extLst>
              </xdr:cNvPr>
              <xdr:cNvSpPr/>
            </xdr:nvSpPr>
            <xdr:spPr bwMode="auto">
              <a:xfrm>
                <a:off x="1133475" y="571482"/>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 uri="{FF2B5EF4-FFF2-40B4-BE49-F238E27FC236}">
                    <a16:creationId xmlns:a16="http://schemas.microsoft.com/office/drawing/2014/main" id="{00000000-0008-0000-0600-0000060801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 uri="{FF2B5EF4-FFF2-40B4-BE49-F238E27FC236}">
                    <a16:creationId xmlns:a16="http://schemas.microsoft.com/office/drawing/2014/main" id="{00000000-0008-0000-0600-000007080100}"/>
                  </a:ext>
                </a:extLst>
              </xdr:cNvPr>
              <xdr:cNvSpPr/>
            </xdr:nvSpPr>
            <xdr:spPr bwMode="auto">
              <a:xfrm>
                <a:off x="1133475" y="933561"/>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a:extLst>
            <a:ext uri="{FF2B5EF4-FFF2-40B4-BE49-F238E27FC236}">
              <a16:creationId xmlns:a16="http://schemas.microsoft.com/office/drawing/2014/main" id="{00000000-0008-0000-0600-00001D000000}"/>
            </a:ext>
          </a:extLst>
        </xdr:cNvPr>
        <xdr:cNvSpPr/>
      </xdr:nvSpPr>
      <xdr:spPr bwMode="auto">
        <a:xfrm>
          <a:off x="4664341" y="42274856"/>
          <a:ext cx="1818895" cy="199384"/>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a:extLst>
            <a:ext uri="{FF2B5EF4-FFF2-40B4-BE49-F238E27FC236}">
              <a16:creationId xmlns:a16="http://schemas.microsoft.com/office/drawing/2014/main" id="{00000000-0008-0000-0600-00001E000000}"/>
            </a:ext>
          </a:extLst>
        </xdr:cNvPr>
        <xdr:cNvSpPr/>
      </xdr:nvSpPr>
      <xdr:spPr bwMode="auto">
        <a:xfrm>
          <a:off x="6550084" y="43148255"/>
          <a:ext cx="575676" cy="201078"/>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5613027" y="420781"/>
              <a:ext cx="303119" cy="409575"/>
              <a:chOff x="5191125" y="428625"/>
              <a:chExt cx="304800" cy="409575"/>
            </a:xfrm>
          </xdr:grpSpPr>
          <xdr:sp macro="" textlink="">
            <xdr:nvSpPr>
              <xdr:cNvPr id="67592" name="Check Box 8" hidden="1">
                <a:extLst>
                  <a:ext uri="{63B3BB69-23CF-44E3-9099-C40C66FF867C}">
                    <a14:compatExt spid="_x0000_s67592"/>
                  </a:ext>
                  <a:ext uri="{FF2B5EF4-FFF2-40B4-BE49-F238E27FC236}">
                    <a16:creationId xmlns:a16="http://schemas.microsoft.com/office/drawing/2014/main" id="{00000000-0008-0000-0600-000008080100}"/>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 uri="{FF2B5EF4-FFF2-40B4-BE49-F238E27FC236}">
                    <a16:creationId xmlns:a16="http://schemas.microsoft.com/office/drawing/2014/main" id="{00000000-0008-0000-0600-000009080100}"/>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a:extLst>
            <a:ext uri="{FF2B5EF4-FFF2-40B4-BE49-F238E27FC236}">
              <a16:creationId xmlns:a16="http://schemas.microsoft.com/office/drawing/2014/main" id="{00000000-0008-0000-0600-000027000000}"/>
            </a:ext>
          </a:extLst>
        </xdr:cNvPr>
        <xdr:cNvSpPr/>
      </xdr:nvSpPr>
      <xdr:spPr bwMode="auto">
        <a:xfrm>
          <a:off x="8636875" y="42859085"/>
          <a:ext cx="886713" cy="201412"/>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a:extLst>
            <a:ext uri="{FF2B5EF4-FFF2-40B4-BE49-F238E27FC236}">
              <a16:creationId xmlns:a16="http://schemas.microsoft.com/office/drawing/2014/main" id="{00000000-0008-0000-0600-000024000000}"/>
            </a:ext>
          </a:extLst>
        </xdr:cNvPr>
        <xdr:cNvSpPr/>
      </xdr:nvSpPr>
      <xdr:spPr bwMode="auto">
        <a:xfrm>
          <a:off x="10530074" y="42859086"/>
          <a:ext cx="1068780" cy="200059"/>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a:extLst>
            <a:ext uri="{FF2B5EF4-FFF2-40B4-BE49-F238E27FC236}">
              <a16:creationId xmlns:a16="http://schemas.microsoft.com/office/drawing/2014/main" id="{00000000-0008-0000-0600-000025000000}"/>
            </a:ext>
          </a:extLst>
        </xdr:cNvPr>
        <xdr:cNvSpPr/>
      </xdr:nvSpPr>
      <xdr:spPr bwMode="auto">
        <a:xfrm>
          <a:off x="9581353" y="42860250"/>
          <a:ext cx="889443" cy="19889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a:extLst>
            <a:ext uri="{FF2B5EF4-FFF2-40B4-BE49-F238E27FC236}">
              <a16:creationId xmlns:a16="http://schemas.microsoft.com/office/drawing/2014/main" id="{00000000-0008-0000-0600-000035000000}"/>
            </a:ext>
          </a:extLst>
        </xdr:cNvPr>
        <xdr:cNvSpPr/>
      </xdr:nvSpPr>
      <xdr:spPr bwMode="auto">
        <a:xfrm>
          <a:off x="3762375" y="35966400"/>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a:extLst>
            <a:ext uri="{FF2B5EF4-FFF2-40B4-BE49-F238E27FC236}">
              <a16:creationId xmlns:a16="http://schemas.microsoft.com/office/drawing/2014/main" id="{00000000-0008-0000-0600-000036000000}"/>
            </a:ext>
          </a:extLst>
        </xdr:cNvPr>
        <xdr:cNvSpPr/>
      </xdr:nvSpPr>
      <xdr:spPr bwMode="auto">
        <a:xfrm>
          <a:off x="4581525" y="35966400"/>
          <a:ext cx="73016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38100</xdr:colOff>
      <xdr:row>19</xdr:row>
      <xdr:rowOff>0</xdr:rowOff>
    </xdr:from>
    <xdr:to>
      <xdr:col>8</xdr:col>
      <xdr:colOff>514350</xdr:colOff>
      <xdr:row>41</xdr:row>
      <xdr:rowOff>76200</xdr:rowOff>
    </xdr:to>
    <xdr:graphicFrame macro="">
      <xdr:nvGraphicFramePr>
        <xdr:cNvPr id="2" name="Chart 1">
          <a:extLst>
            <a:ext uri="{FF2B5EF4-FFF2-40B4-BE49-F238E27FC236}">
              <a16:creationId xmlns:a16="http://schemas.microsoft.com/office/drawing/2014/main" id="{8760CD8B-698C-473B-9EC8-8C4302D6AD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38100</xdr:colOff>
      <xdr:row>19</xdr:row>
      <xdr:rowOff>38100</xdr:rowOff>
    </xdr:from>
    <xdr:to>
      <xdr:col>10</xdr:col>
      <xdr:colOff>581025</xdr:colOff>
      <xdr:row>49</xdr:row>
      <xdr:rowOff>161925</xdr:rowOff>
    </xdr:to>
    <xdr:graphicFrame macro="">
      <xdr:nvGraphicFramePr>
        <xdr:cNvPr id="2" name="Chart 1">
          <a:extLst>
            <a:ext uri="{FF2B5EF4-FFF2-40B4-BE49-F238E27FC236}">
              <a16:creationId xmlns:a16="http://schemas.microsoft.com/office/drawing/2014/main" id="{2CEF2531-6D29-4C7D-A076-93C0579A8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38100</xdr:colOff>
      <xdr:row>39</xdr:row>
      <xdr:rowOff>0</xdr:rowOff>
    </xdr:from>
    <xdr:to>
      <xdr:col>7</xdr:col>
      <xdr:colOff>581025</xdr:colOff>
      <xdr:row>101</xdr:row>
      <xdr:rowOff>76200</xdr:rowOff>
    </xdr:to>
    <xdr:graphicFrame macro="">
      <xdr:nvGraphicFramePr>
        <xdr:cNvPr id="2" name="Chart 1">
          <a:extLst>
            <a:ext uri="{FF2B5EF4-FFF2-40B4-BE49-F238E27FC236}">
              <a16:creationId xmlns:a16="http://schemas.microsoft.com/office/drawing/2014/main" id="{01480312-18E0-4FE0-A07F-61D245AF28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38100</xdr:colOff>
      <xdr:row>19</xdr:row>
      <xdr:rowOff>0</xdr:rowOff>
    </xdr:from>
    <xdr:to>
      <xdr:col>8</xdr:col>
      <xdr:colOff>514350</xdr:colOff>
      <xdr:row>41</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19</xdr:row>
      <xdr:rowOff>38100</xdr:rowOff>
    </xdr:from>
    <xdr:to>
      <xdr:col>10</xdr:col>
      <xdr:colOff>581025</xdr:colOff>
      <xdr:row>49</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38100</xdr:colOff>
      <xdr:row>39</xdr:row>
      <xdr:rowOff>0</xdr:rowOff>
    </xdr:from>
    <xdr:to>
      <xdr:col>7</xdr:col>
      <xdr:colOff>581025</xdr:colOff>
      <xdr:row>101</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885824" y="37347525"/>
          <a:ext cx="9686924" cy="7553331"/>
          <a:chOff x="1962150" y="38671500"/>
          <a:chExt cx="9734550" cy="7572375"/>
        </a:xfrm>
      </xdr:grpSpPr>
      <xdr:sp macro="" textlink="">
        <xdr:nvSpPr>
          <xdr:cNvPr id="124" name="Rectangle 123">
            <a:extLst>
              <a:ext uri="{FF2B5EF4-FFF2-40B4-BE49-F238E27FC236}">
                <a16:creationId xmlns:a16="http://schemas.microsoft.com/office/drawing/2014/main" id="{00000000-0008-0000-0A00-00007C000000}"/>
              </a:ext>
            </a:extLst>
          </xdr:cNvPr>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a:extLst>
              <a:ext uri="{FF2B5EF4-FFF2-40B4-BE49-F238E27FC236}">
                <a16:creationId xmlns:a16="http://schemas.microsoft.com/office/drawing/2014/main" id="{00000000-0008-0000-0A00-00007B000000}"/>
              </a:ext>
            </a:extLst>
          </xdr:cNvPr>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a:extLst>
              <a:ext uri="{FF2B5EF4-FFF2-40B4-BE49-F238E27FC236}">
                <a16:creationId xmlns:a16="http://schemas.microsoft.com/office/drawing/2014/main" id="{00000000-0008-0000-0A00-00007A000000}"/>
              </a:ext>
            </a:extLst>
          </xdr:cNvPr>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a:extLst>
              <a:ext uri="{FF2B5EF4-FFF2-40B4-BE49-F238E27FC236}">
                <a16:creationId xmlns:a16="http://schemas.microsoft.com/office/drawing/2014/main" id="{00000000-0008-0000-0A00-00000B000000}"/>
              </a:ext>
            </a:extLst>
          </xdr:cNvPr>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a:extLst>
            <a:ext uri="{FF2B5EF4-FFF2-40B4-BE49-F238E27FC236}">
              <a16:creationId xmlns:a16="http://schemas.microsoft.com/office/drawing/2014/main" id="{00000000-0008-0000-0A00-000007000000}"/>
            </a:ext>
          </a:extLst>
        </xdr:cNvPr>
        <xdr:cNvGrpSpPr/>
      </xdr:nvGrpSpPr>
      <xdr:grpSpPr>
        <a:xfrm>
          <a:off x="1240971" y="34617932"/>
          <a:ext cx="6056132" cy="1375819"/>
          <a:chOff x="1289957" y="35115954"/>
          <a:chExt cx="6135054" cy="1386704"/>
        </a:xfrm>
      </xdr:grpSpPr>
      <xdr:graphicFrame macro="">
        <xdr:nvGraphicFramePr>
          <xdr:cNvPr id="117" name="Chart 116">
            <a:extLst>
              <a:ext uri="{FF2B5EF4-FFF2-40B4-BE49-F238E27FC236}">
                <a16:creationId xmlns:a16="http://schemas.microsoft.com/office/drawing/2014/main" id="{00000000-0008-0000-0A00-000075000000}"/>
              </a:ext>
            </a:extLst>
          </xdr:cNvPr>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a:extLst>
              <a:ext uri="{FF2B5EF4-FFF2-40B4-BE49-F238E27FC236}">
                <a16:creationId xmlns:a16="http://schemas.microsoft.com/office/drawing/2014/main" id="{00000000-0008-0000-0A00-000076000000}"/>
              </a:ext>
            </a:extLst>
          </xdr:cNvPr>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a:extLst>
              <a:ext uri="{FF2B5EF4-FFF2-40B4-BE49-F238E27FC236}">
                <a16:creationId xmlns:a16="http://schemas.microsoft.com/office/drawing/2014/main" id="{00000000-0008-0000-0A00-000077000000}"/>
              </a:ext>
            </a:extLst>
          </xdr:cNvPr>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a:extLst>
            <a:ext uri="{FF2B5EF4-FFF2-40B4-BE49-F238E27FC236}">
              <a16:creationId xmlns:a16="http://schemas.microsoft.com/office/drawing/2014/main" id="{00000000-0008-0000-0A00-000006000000}"/>
            </a:ext>
          </a:extLst>
        </xdr:cNvPr>
        <xdr:cNvGrpSpPr/>
      </xdr:nvGrpSpPr>
      <xdr:grpSpPr>
        <a:xfrm>
          <a:off x="1290636" y="32861249"/>
          <a:ext cx="5906454" cy="1855260"/>
          <a:chOff x="1285193" y="33262660"/>
          <a:chExt cx="5985376" cy="1870228"/>
        </a:xfrm>
      </xdr:grpSpPr>
      <xdr:graphicFrame macro="">
        <xdr:nvGraphicFramePr>
          <xdr:cNvPr id="113" name="Chart 112">
            <a:extLst>
              <a:ext uri="{FF2B5EF4-FFF2-40B4-BE49-F238E27FC236}">
                <a16:creationId xmlns:a16="http://schemas.microsoft.com/office/drawing/2014/main" id="{00000000-0008-0000-0A00-000071000000}"/>
              </a:ext>
            </a:extLst>
          </xdr:cNvPr>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a:extLst>
              <a:ext uri="{FF2B5EF4-FFF2-40B4-BE49-F238E27FC236}">
                <a16:creationId xmlns:a16="http://schemas.microsoft.com/office/drawing/2014/main" id="{00000000-0008-0000-0A00-000070000000}"/>
              </a:ext>
            </a:extLst>
          </xdr:cNvPr>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a:extLst>
              <a:ext uri="{FF2B5EF4-FFF2-40B4-BE49-F238E27FC236}">
                <a16:creationId xmlns:a16="http://schemas.microsoft.com/office/drawing/2014/main" id="{00000000-0008-0000-0A00-000072000000}"/>
              </a:ext>
            </a:extLst>
          </xdr:cNvPr>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5" name="Up Arrow 114">
            <a:extLst>
              <a:ext uri="{FF2B5EF4-FFF2-40B4-BE49-F238E27FC236}">
                <a16:creationId xmlns:a16="http://schemas.microsoft.com/office/drawing/2014/main" id="{00000000-0008-0000-0A00-000073000000}"/>
              </a:ext>
            </a:extLst>
          </xdr:cNvPr>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6" name="Up Arrow 115">
            <a:extLst>
              <a:ext uri="{FF2B5EF4-FFF2-40B4-BE49-F238E27FC236}">
                <a16:creationId xmlns:a16="http://schemas.microsoft.com/office/drawing/2014/main" id="{00000000-0008-0000-0A00-000074000000}"/>
              </a:ext>
            </a:extLst>
          </xdr:cNvPr>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a:extLst>
            <a:ext uri="{FF2B5EF4-FFF2-40B4-BE49-F238E27FC236}">
              <a16:creationId xmlns:a16="http://schemas.microsoft.com/office/drawing/2014/main" id="{00000000-0008-0000-0A00-000008000000}"/>
            </a:ext>
          </a:extLst>
        </xdr:cNvPr>
        <xdr:cNvGrpSpPr/>
      </xdr:nvGrpSpPr>
      <xdr:grpSpPr>
        <a:xfrm>
          <a:off x="3436938" y="37621264"/>
          <a:ext cx="2271712" cy="7192618"/>
          <a:chOff x="4494213" y="38964289"/>
          <a:chExt cx="2300287" cy="7192618"/>
        </a:xfrm>
      </xdr:grpSpPr>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a:extLst>
              <a:ext uri="{FF2B5EF4-FFF2-40B4-BE49-F238E27FC236}">
                <a16:creationId xmlns:a16="http://schemas.microsoft.com/office/drawing/2014/main" id="{00000000-0008-0000-0A00-000028000000}"/>
              </a:ext>
            </a:extLst>
          </xdr:cNvPr>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5791200" y="37633275"/>
          <a:ext cx="2282826" cy="7188891"/>
          <a:chOff x="6924675" y="38976300"/>
          <a:chExt cx="2311401" cy="7188891"/>
        </a:xfrm>
      </xdr:grpSpPr>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a:extLst>
              <a:ext uri="{FF2B5EF4-FFF2-40B4-BE49-F238E27FC236}">
                <a16:creationId xmlns:a16="http://schemas.microsoft.com/office/drawing/2014/main" id="{00000000-0008-0000-0A00-000026000000}"/>
              </a:ext>
            </a:extLst>
          </xdr:cNvPr>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a:extLst>
              <a:ext uri="{FF2B5EF4-FFF2-40B4-BE49-F238E27FC236}">
                <a16:creationId xmlns:a16="http://schemas.microsoft.com/office/drawing/2014/main" id="{00000000-0008-0000-0A00-000029000000}"/>
              </a:ext>
            </a:extLst>
          </xdr:cNvPr>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60784" y="37624993"/>
          <a:ext cx="2314575" cy="7193859"/>
          <a:chOff x="2046634" y="38968018"/>
          <a:chExt cx="2295525" cy="7193859"/>
        </a:xfrm>
      </xdr:grpSpPr>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a:extLst>
              <a:ext uri="{FF2B5EF4-FFF2-40B4-BE49-F238E27FC236}">
                <a16:creationId xmlns:a16="http://schemas.microsoft.com/office/drawing/2014/main" id="{00000000-0008-0000-0A00-00002A000000}"/>
              </a:ext>
            </a:extLst>
          </xdr:cNvPr>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a:extLst>
              <a:ext uri="{FF2B5EF4-FFF2-40B4-BE49-F238E27FC236}">
                <a16:creationId xmlns:a16="http://schemas.microsoft.com/office/drawing/2014/main" id="{00000000-0008-0000-0A00-00002B000000}"/>
              </a:ext>
            </a:extLst>
          </xdr:cNvPr>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a:extLst>
            <a:ext uri="{FF2B5EF4-FFF2-40B4-BE49-F238E27FC236}">
              <a16:creationId xmlns:a16="http://schemas.microsoft.com/office/drawing/2014/main" id="{00000000-0008-0000-0A00-00002D000000}"/>
            </a:ext>
          </a:extLst>
        </xdr:cNvPr>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a:extLst>
              <a:ext uri="{FF2B5EF4-FFF2-40B4-BE49-F238E27FC236}">
                <a16:creationId xmlns:a16="http://schemas.microsoft.com/office/drawing/2014/main" id="{00000000-0008-0000-0A00-00002E000000}"/>
              </a:ext>
            </a:extLst>
          </xdr:cNvPr>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00000000-0008-0000-0A00-00002F000000}"/>
              </a:ext>
            </a:extLst>
          </xdr:cNvPr>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a:extLst>
              <a:ext uri="{FF2B5EF4-FFF2-40B4-BE49-F238E27FC236}">
                <a16:creationId xmlns:a16="http://schemas.microsoft.com/office/drawing/2014/main" id="{00000000-0008-0000-0A00-000030000000}"/>
              </a:ext>
            </a:extLst>
          </xdr:cNvPr>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a:extLst>
              <a:ext uri="{FF2B5EF4-FFF2-40B4-BE49-F238E27FC236}">
                <a16:creationId xmlns:a16="http://schemas.microsoft.com/office/drawing/2014/main" id="{00000000-0008-0000-0A00-000031000000}"/>
              </a:ext>
            </a:extLst>
          </xdr:cNvPr>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a:extLst>
            <a:ext uri="{FF2B5EF4-FFF2-40B4-BE49-F238E27FC236}">
              <a16:creationId xmlns:a16="http://schemas.microsoft.com/office/drawing/2014/main" id="{00000000-0008-0000-0A00-000032000000}"/>
            </a:ext>
          </a:extLst>
        </xdr:cNvPr>
        <xdr:cNvGrpSpPr/>
      </xdr:nvGrpSpPr>
      <xdr:grpSpPr>
        <a:xfrm>
          <a:off x="38099" y="0"/>
          <a:ext cx="10005393" cy="402533"/>
          <a:chOff x="38099" y="0"/>
          <a:chExt cx="9104979" cy="514348"/>
        </a:xfrm>
      </xdr:grpSpPr>
      <xdr:sp macro="" textlink="">
        <xdr:nvSpPr>
          <xdr:cNvPr id="51" name="Rectangle 50">
            <a:extLst>
              <a:ext uri="{FF2B5EF4-FFF2-40B4-BE49-F238E27FC236}">
                <a16:creationId xmlns:a16="http://schemas.microsoft.com/office/drawing/2014/main" id="{00000000-0008-0000-0A00-000033000000}"/>
              </a:ext>
            </a:extLst>
          </xdr:cNvPr>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a:extLst>
              <a:ext uri="{FF2B5EF4-FFF2-40B4-BE49-F238E27FC236}">
                <a16:creationId xmlns:a16="http://schemas.microsoft.com/office/drawing/2014/main" id="{00000000-0008-0000-0A00-000034000000}"/>
              </a:ext>
            </a:extLst>
          </xdr:cNvPr>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a:extLst>
              <a:ext uri="{FF2B5EF4-FFF2-40B4-BE49-F238E27FC236}">
                <a16:creationId xmlns:a16="http://schemas.microsoft.com/office/drawing/2014/main" id="{00000000-0008-0000-0A00-000035000000}"/>
              </a:ext>
            </a:extLst>
          </xdr:cNvPr>
          <xdr:cNvGrpSpPr/>
        </xdr:nvGrpSpPr>
        <xdr:grpSpPr>
          <a:xfrm>
            <a:off x="1419103" y="59942"/>
            <a:ext cx="3871787" cy="387967"/>
            <a:chOff x="1485774" y="-216295"/>
            <a:chExt cx="3871787" cy="387967"/>
          </a:xfrm>
        </xdr:grpSpPr>
        <xdr:sp macro="" textlink="">
          <xdr:nvSpPr>
            <xdr:cNvPr id="56" name="TextBox 55">
              <a:extLst>
                <a:ext uri="{FF2B5EF4-FFF2-40B4-BE49-F238E27FC236}">
                  <a16:creationId xmlns:a16="http://schemas.microsoft.com/office/drawing/2014/main" id="{00000000-0008-0000-0A00-000038000000}"/>
                </a:ext>
              </a:extLst>
            </xdr:cNvPr>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 uri="{FF2B5EF4-FFF2-40B4-BE49-F238E27FC236}">
                      <a16:creationId xmlns:a16="http://schemas.microsoft.com/office/drawing/2014/main" id="{00000000-0008-0000-0A00-000002040100}"/>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a:extLst>
              <a:ext uri="{FF2B5EF4-FFF2-40B4-BE49-F238E27FC236}">
                <a16:creationId xmlns:a16="http://schemas.microsoft.com/office/drawing/2014/main" id="{00000000-0008-0000-0A00-000036000000}"/>
              </a:ext>
            </a:extLst>
          </xdr:cNvPr>
          <xdr:cNvSpPr/>
        </xdr:nvSpPr>
        <xdr:spPr bwMode="auto">
          <a:xfrm>
            <a:off x="6223944" y="55444"/>
            <a:ext cx="737483"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a:extLst>
              <a:ext uri="{FF2B5EF4-FFF2-40B4-BE49-F238E27FC236}">
                <a16:creationId xmlns:a16="http://schemas.microsoft.com/office/drawing/2014/main" id="{00000000-0008-0000-0A00-000037000000}"/>
              </a:ext>
            </a:extLst>
          </xdr:cNvPr>
          <xdr:cNvSpPr/>
        </xdr:nvSpPr>
        <xdr:spPr bwMode="auto">
          <a:xfrm>
            <a:off x="5374263" y="49671"/>
            <a:ext cx="737483" cy="411480"/>
          </a:xfrm>
          <a:prstGeom prst="roundRect">
            <a:avLst/>
          </a:prstGeom>
          <a:solidFill>
            <a:schemeClr val="accent5"/>
          </a:solid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a:extLst>
                <a:ext uri="{FF2B5EF4-FFF2-40B4-BE49-F238E27FC236}">
                  <a16:creationId xmlns:a16="http://schemas.microsoft.com/office/drawing/2014/main" id="{00000000-0008-0000-0A00-00003A000000}"/>
                </a:ext>
              </a:extLst>
            </xdr:cNvPr>
            <xdr:cNvGrpSpPr/>
          </xdr:nvGrpSpPr>
          <xdr:grpSpPr>
            <a:xfrm>
              <a:off x="971550" y="419100"/>
              <a:ext cx="0" cy="581025"/>
              <a:chOff x="0" y="393408"/>
              <a:chExt cx="971550" cy="759092"/>
            </a:xfrm>
          </xdr:grpSpPr>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A00-000003040100}"/>
                  </a:ext>
                </a:extLst>
              </xdr:cNvPr>
              <xdr:cNvSpPr/>
            </xdr:nvSpPr>
            <xdr:spPr bwMode="auto">
              <a:xfrm>
                <a:off x="971550" y="393408"/>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 uri="{FF2B5EF4-FFF2-40B4-BE49-F238E27FC236}">
                    <a16:creationId xmlns:a16="http://schemas.microsoft.com/office/drawing/2014/main" id="{00000000-0008-0000-0A00-000004040100}"/>
                  </a:ext>
                </a:extLst>
              </xdr:cNvPr>
              <xdr:cNvSpPr/>
            </xdr:nvSpPr>
            <xdr:spPr bwMode="auto">
              <a:xfrm>
                <a:off x="971550" y="393411"/>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 uri="{FF2B5EF4-FFF2-40B4-BE49-F238E27FC236}">
                    <a16:creationId xmlns:a16="http://schemas.microsoft.com/office/drawing/2014/main" id="{00000000-0008-0000-0A00-000005040100}"/>
                  </a:ext>
                </a:extLst>
              </xdr:cNvPr>
              <xdr:cNvSpPr/>
            </xdr:nvSpPr>
            <xdr:spPr bwMode="auto">
              <a:xfrm>
                <a:off x="0" y="933421"/>
                <a:ext cx="0" cy="2190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a:extLst>
                <a:ext uri="{FF2B5EF4-FFF2-40B4-BE49-F238E27FC236}">
                  <a16:creationId xmlns:a16="http://schemas.microsoft.com/office/drawing/2014/main" id="{00000000-0008-0000-0A00-00003E000000}"/>
                </a:ext>
              </a:extLst>
            </xdr:cNvPr>
            <xdr:cNvGrpSpPr/>
          </xdr:nvGrpSpPr>
          <xdr:grpSpPr>
            <a:xfrm>
              <a:off x="1143000" y="403776"/>
              <a:ext cx="304800" cy="581025"/>
              <a:chOff x="1133475" y="571775"/>
              <a:chExt cx="304800" cy="581029"/>
            </a:xfrm>
          </xdr:grpSpPr>
          <xdr:sp macro="" textlink="">
            <xdr:nvSpPr>
              <xdr:cNvPr id="66566" name="Check Box 6" hidden="1">
                <a:extLst>
                  <a:ext uri="{63B3BB69-23CF-44E3-9099-C40C66FF867C}">
                    <a14:compatExt spid="_x0000_s66566"/>
                  </a:ext>
                  <a:ext uri="{FF2B5EF4-FFF2-40B4-BE49-F238E27FC236}">
                    <a16:creationId xmlns:a16="http://schemas.microsoft.com/office/drawing/2014/main" id="{00000000-0008-0000-0A00-000006040100}"/>
                  </a:ext>
                </a:extLst>
              </xdr:cNvPr>
              <xdr:cNvSpPr/>
            </xdr:nvSpPr>
            <xdr:spPr bwMode="auto">
              <a:xfrm>
                <a:off x="1133475" y="571775"/>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 uri="{FF2B5EF4-FFF2-40B4-BE49-F238E27FC236}">
                    <a16:creationId xmlns:a16="http://schemas.microsoft.com/office/drawing/2014/main" id="{00000000-0008-0000-0A00-000007040100}"/>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1133475" y="933682"/>
                <a:ext cx="304800" cy="2191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a:extLst>
            <a:ext uri="{FF2B5EF4-FFF2-40B4-BE49-F238E27FC236}">
              <a16:creationId xmlns:a16="http://schemas.microsoft.com/office/drawing/2014/main" id="{00000000-0008-0000-0A00-000043000000}"/>
            </a:ext>
          </a:extLst>
        </xdr:cNvPr>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a:extLst>
            <a:ext uri="{FF2B5EF4-FFF2-40B4-BE49-F238E27FC236}">
              <a16:creationId xmlns:a16="http://schemas.microsoft.com/office/drawing/2014/main" id="{00000000-0008-0000-0A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a:extLst>
            <a:ext uri="{FF2B5EF4-FFF2-40B4-BE49-F238E27FC236}">
              <a16:creationId xmlns:a16="http://schemas.microsoft.com/office/drawing/2014/main" id="{00000000-0008-0000-0A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a:extLst>
            <a:ext uri="{FF2B5EF4-FFF2-40B4-BE49-F238E27FC236}">
              <a16:creationId xmlns:a16="http://schemas.microsoft.com/office/drawing/2014/main" id="{00000000-0008-0000-0A00-000047000000}"/>
            </a:ext>
          </a:extLst>
        </xdr:cNvPr>
        <xdr:cNvGrpSpPr/>
      </xdr:nvGrpSpPr>
      <xdr:grpSpPr>
        <a:xfrm>
          <a:off x="8905875" y="6877050"/>
          <a:ext cx="3418523" cy="4955857"/>
          <a:chOff x="8715374" y="4448175"/>
          <a:chExt cx="2913698" cy="4651057"/>
        </a:xfrm>
      </xdr:grpSpPr>
      <xdr:grpSp>
        <xdr:nvGrpSpPr>
          <xdr:cNvPr id="72" name="Group 71">
            <a:extLst>
              <a:ext uri="{FF2B5EF4-FFF2-40B4-BE49-F238E27FC236}">
                <a16:creationId xmlns:a16="http://schemas.microsoft.com/office/drawing/2014/main" id="{00000000-0008-0000-0A00-000048000000}"/>
              </a:ext>
            </a:extLst>
          </xdr:cNvPr>
          <xdr:cNvGrpSpPr/>
        </xdr:nvGrpSpPr>
        <xdr:grpSpPr>
          <a:xfrm>
            <a:off x="8715374" y="4919662"/>
            <a:ext cx="2913698" cy="4179570"/>
            <a:chOff x="9344024" y="4567237"/>
            <a:chExt cx="2913698" cy="4179570"/>
          </a:xfrm>
        </xdr:grpSpPr>
        <xdr:sp macro="" textlink="">
          <xdr:nvSpPr>
            <xdr:cNvPr id="74" name="Rectangle 73">
              <a:extLst>
                <a:ext uri="{FF2B5EF4-FFF2-40B4-BE49-F238E27FC236}">
                  <a16:creationId xmlns:a16="http://schemas.microsoft.com/office/drawing/2014/main" id="{00000000-0008-0000-0A00-00004A000000}"/>
                </a:ext>
              </a:extLst>
            </xdr:cNvPr>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a:extLst>
                <a:ext uri="{FF2B5EF4-FFF2-40B4-BE49-F238E27FC236}">
                  <a16:creationId xmlns:a16="http://schemas.microsoft.com/office/drawing/2014/main" id="{00000000-0008-0000-0A00-00004B000000}"/>
                </a:ext>
              </a:extLst>
            </xdr:cNvPr>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a:extLst>
                <a:ext uri="{FF2B5EF4-FFF2-40B4-BE49-F238E27FC236}">
                  <a16:creationId xmlns:a16="http://schemas.microsoft.com/office/drawing/2014/main" id="{00000000-0008-0000-0A00-00004C000000}"/>
                </a:ext>
              </a:extLst>
            </xdr:cNvPr>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a:extLst>
                <a:ext uri="{FF2B5EF4-FFF2-40B4-BE49-F238E27FC236}">
                  <a16:creationId xmlns:a16="http://schemas.microsoft.com/office/drawing/2014/main" id="{00000000-0008-0000-0A00-00004D000000}"/>
                </a:ext>
              </a:extLst>
            </xdr:cNvPr>
            <xdr:cNvGrpSpPr/>
          </xdr:nvGrpSpPr>
          <xdr:grpSpPr>
            <a:xfrm>
              <a:off x="9434511" y="4567237"/>
              <a:ext cx="2823211" cy="1645920"/>
              <a:chOff x="9520236" y="5186362"/>
              <a:chExt cx="2823211" cy="1645920"/>
            </a:xfrm>
          </xdr:grpSpPr>
          <xdr:graphicFrame macro="">
            <xdr:nvGraphicFramePr>
              <xdr:cNvPr id="87" name="Chart 86">
                <a:extLst>
                  <a:ext uri="{FF2B5EF4-FFF2-40B4-BE49-F238E27FC236}">
                    <a16:creationId xmlns:a16="http://schemas.microsoft.com/office/drawing/2014/main" id="{00000000-0008-0000-0A00-000057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a:extLst>
                  <a:ext uri="{FF2B5EF4-FFF2-40B4-BE49-F238E27FC236}">
                    <a16:creationId xmlns:a16="http://schemas.microsoft.com/office/drawing/2014/main" id="{00000000-0008-0000-0A00-000058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a:extLst>
                <a:ext uri="{FF2B5EF4-FFF2-40B4-BE49-F238E27FC236}">
                  <a16:creationId xmlns:a16="http://schemas.microsoft.com/office/drawing/2014/main" id="{00000000-0008-0000-0A00-00004E000000}"/>
                </a:ext>
              </a:extLst>
            </xdr:cNvPr>
            <xdr:cNvGrpSpPr/>
          </xdr:nvGrpSpPr>
          <xdr:grpSpPr>
            <a:xfrm>
              <a:off x="9434511" y="5834062"/>
              <a:ext cx="2823211" cy="1645920"/>
              <a:chOff x="9520236" y="5186362"/>
              <a:chExt cx="2823211" cy="1645920"/>
            </a:xfrm>
          </xdr:grpSpPr>
          <xdr:graphicFrame macro="">
            <xdr:nvGraphicFramePr>
              <xdr:cNvPr id="85" name="Chart 84">
                <a:extLst>
                  <a:ext uri="{FF2B5EF4-FFF2-40B4-BE49-F238E27FC236}">
                    <a16:creationId xmlns:a16="http://schemas.microsoft.com/office/drawing/2014/main" id="{00000000-0008-0000-0A00-000055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a:extLst>
                  <a:ext uri="{FF2B5EF4-FFF2-40B4-BE49-F238E27FC236}">
                    <a16:creationId xmlns:a16="http://schemas.microsoft.com/office/drawing/2014/main" id="{00000000-0008-0000-0A00-000056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a:extLst>
                <a:ext uri="{FF2B5EF4-FFF2-40B4-BE49-F238E27FC236}">
                  <a16:creationId xmlns:a16="http://schemas.microsoft.com/office/drawing/2014/main" id="{00000000-0008-0000-0A00-00004F000000}"/>
                </a:ext>
              </a:extLst>
            </xdr:cNvPr>
            <xdr:cNvGrpSpPr/>
          </xdr:nvGrpSpPr>
          <xdr:grpSpPr>
            <a:xfrm>
              <a:off x="9434511" y="7100887"/>
              <a:ext cx="2823211" cy="1645920"/>
              <a:chOff x="9520236" y="5186362"/>
              <a:chExt cx="2823211" cy="1645920"/>
            </a:xfrm>
          </xdr:grpSpPr>
          <xdr:graphicFrame macro="">
            <xdr:nvGraphicFramePr>
              <xdr:cNvPr id="83" name="Chart 82">
                <a:extLst>
                  <a:ext uri="{FF2B5EF4-FFF2-40B4-BE49-F238E27FC236}">
                    <a16:creationId xmlns:a16="http://schemas.microsoft.com/office/drawing/2014/main" id="{00000000-0008-0000-0A00-000053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a:extLst>
                  <a:ext uri="{FF2B5EF4-FFF2-40B4-BE49-F238E27FC236}">
                    <a16:creationId xmlns:a16="http://schemas.microsoft.com/office/drawing/2014/main" id="{00000000-0008-0000-0A00-000054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a:extLst>
                <a:ext uri="{FF2B5EF4-FFF2-40B4-BE49-F238E27FC236}">
                  <a16:creationId xmlns:a16="http://schemas.microsoft.com/office/drawing/2014/main" id="{00000000-0008-0000-0A00-000050000000}"/>
                </a:ext>
              </a:extLst>
            </xdr:cNvPr>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a:extLst>
                <a:ext uri="{FF2B5EF4-FFF2-40B4-BE49-F238E27FC236}">
                  <a16:creationId xmlns:a16="http://schemas.microsoft.com/office/drawing/2014/main" id="{00000000-0008-0000-0A00-000051000000}"/>
                </a:ext>
              </a:extLst>
            </xdr:cNvPr>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a:extLst>
                <a:ext uri="{FF2B5EF4-FFF2-40B4-BE49-F238E27FC236}">
                  <a16:creationId xmlns:a16="http://schemas.microsoft.com/office/drawing/2014/main" id="{00000000-0008-0000-0A00-000052000000}"/>
                </a:ext>
              </a:extLst>
            </xdr:cNvPr>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a:extLst>
              <a:ext uri="{FF2B5EF4-FFF2-40B4-BE49-F238E27FC236}">
                <a16:creationId xmlns:a16="http://schemas.microsoft.com/office/drawing/2014/main" id="{00000000-0008-0000-0A00-000049000000}"/>
              </a:ext>
            </a:extLst>
          </xdr:cNvPr>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a:extLst>
            <a:ext uri="{FF2B5EF4-FFF2-40B4-BE49-F238E27FC236}">
              <a16:creationId xmlns:a16="http://schemas.microsoft.com/office/drawing/2014/main" id="{00000000-0008-0000-0A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a:extLst>
            <a:ext uri="{FF2B5EF4-FFF2-40B4-BE49-F238E27FC236}">
              <a16:creationId xmlns:a16="http://schemas.microsoft.com/office/drawing/2014/main" id="{00000000-0008-0000-0A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a:extLst>
            <a:ext uri="{FF2B5EF4-FFF2-40B4-BE49-F238E27FC236}">
              <a16:creationId xmlns:a16="http://schemas.microsoft.com/office/drawing/2014/main" id="{00000000-0008-0000-0A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a:extLst>
            <a:ext uri="{FF2B5EF4-FFF2-40B4-BE49-F238E27FC236}">
              <a16:creationId xmlns:a16="http://schemas.microsoft.com/office/drawing/2014/main" id="{00000000-0008-0000-0A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a:extLst>
            <a:ext uri="{FF2B5EF4-FFF2-40B4-BE49-F238E27FC236}">
              <a16:creationId xmlns:a16="http://schemas.microsoft.com/office/drawing/2014/main" id="{00000000-0008-0000-0A00-00005F000000}"/>
            </a:ext>
          </a:extLst>
        </xdr:cNvPr>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a:extLst>
            <a:ext uri="{FF2B5EF4-FFF2-40B4-BE49-F238E27FC236}">
              <a16:creationId xmlns:a16="http://schemas.microsoft.com/office/drawing/2014/main" id="{00000000-0008-0000-0A00-000060000000}"/>
            </a:ext>
          </a:extLst>
        </xdr:cNvPr>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a:extLst>
            <a:ext uri="{FF2B5EF4-FFF2-40B4-BE49-F238E27FC236}">
              <a16:creationId xmlns:a16="http://schemas.microsoft.com/office/drawing/2014/main" id="{00000000-0008-0000-0A00-000061000000}"/>
            </a:ext>
          </a:extLst>
        </xdr:cNvPr>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a:extLst>
            <a:ext uri="{FF2B5EF4-FFF2-40B4-BE49-F238E27FC236}">
              <a16:creationId xmlns:a16="http://schemas.microsoft.com/office/drawing/2014/main" id="{00000000-0008-0000-0A00-000062000000}"/>
            </a:ext>
          </a:extLst>
        </xdr:cNvPr>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a:extLst>
            <a:ext uri="{FF2B5EF4-FFF2-40B4-BE49-F238E27FC236}">
              <a16:creationId xmlns:a16="http://schemas.microsoft.com/office/drawing/2014/main" id="{00000000-0008-0000-0A00-000063000000}"/>
            </a:ext>
          </a:extLst>
        </xdr:cNvPr>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a:extLst>
            <a:ext uri="{FF2B5EF4-FFF2-40B4-BE49-F238E27FC236}">
              <a16:creationId xmlns:a16="http://schemas.microsoft.com/office/drawing/2014/main" id="{00000000-0008-0000-0A00-000064000000}"/>
            </a:ext>
          </a:extLst>
        </xdr:cNvPr>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a:extLst>
            <a:ext uri="{FF2B5EF4-FFF2-40B4-BE49-F238E27FC236}">
              <a16:creationId xmlns:a16="http://schemas.microsoft.com/office/drawing/2014/main" id="{00000000-0008-0000-0A00-000065000000}"/>
            </a:ext>
          </a:extLst>
        </xdr:cNvPr>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a:extLst>
            <a:ext uri="{FF2B5EF4-FFF2-40B4-BE49-F238E27FC236}">
              <a16:creationId xmlns:a16="http://schemas.microsoft.com/office/drawing/2014/main" id="{00000000-0008-0000-0A00-000066000000}"/>
            </a:ext>
          </a:extLst>
        </xdr:cNvPr>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a:extLst>
            <a:ext uri="{FF2B5EF4-FFF2-40B4-BE49-F238E27FC236}">
              <a16:creationId xmlns:a16="http://schemas.microsoft.com/office/drawing/2014/main" id="{00000000-0008-0000-0A00-000068000000}"/>
            </a:ext>
          </a:extLst>
        </xdr:cNvPr>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a:extLst>
            <a:ext uri="{FF2B5EF4-FFF2-40B4-BE49-F238E27FC236}">
              <a16:creationId xmlns:a16="http://schemas.microsoft.com/office/drawing/2014/main" id="{00000000-0008-0000-0A00-000069000000}"/>
            </a:ext>
          </a:extLst>
        </xdr:cNvPr>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1276351" y="30689550"/>
          <a:ext cx="5943599" cy="2270099"/>
          <a:chOff x="1270908" y="31071911"/>
          <a:chExt cx="6022521" cy="2289149"/>
        </a:xfrm>
      </xdr:grpSpPr>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a:extLst>
              <a:ext uri="{FF2B5EF4-FFF2-40B4-BE49-F238E27FC236}">
                <a16:creationId xmlns:a16="http://schemas.microsoft.com/office/drawing/2014/main" id="{00000000-0008-0000-0A00-00005C000000}"/>
              </a:ext>
            </a:extLst>
          </xdr:cNvPr>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a:extLst>
              <a:ext uri="{FF2B5EF4-FFF2-40B4-BE49-F238E27FC236}">
                <a16:creationId xmlns:a16="http://schemas.microsoft.com/office/drawing/2014/main" id="{00000000-0008-0000-0A00-000067000000}"/>
              </a:ext>
            </a:extLst>
          </xdr:cNvPr>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a:extLst>
              <a:ext uri="{FF2B5EF4-FFF2-40B4-BE49-F238E27FC236}">
                <a16:creationId xmlns:a16="http://schemas.microsoft.com/office/drawing/2014/main" id="{00000000-0008-0000-0A00-00006B000000}"/>
              </a:ext>
            </a:extLst>
          </xdr:cNvPr>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8" name="Up Arrow 107">
            <a:extLst>
              <a:ext uri="{FF2B5EF4-FFF2-40B4-BE49-F238E27FC236}">
                <a16:creationId xmlns:a16="http://schemas.microsoft.com/office/drawing/2014/main" id="{00000000-0008-0000-0A00-00006C000000}"/>
              </a:ext>
            </a:extLst>
          </xdr:cNvPr>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9" name="Up Arrow 108">
            <a:extLst>
              <a:ext uri="{FF2B5EF4-FFF2-40B4-BE49-F238E27FC236}">
                <a16:creationId xmlns:a16="http://schemas.microsoft.com/office/drawing/2014/main" id="{00000000-0008-0000-0A00-00006D000000}"/>
              </a:ext>
            </a:extLst>
          </xdr:cNvPr>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8172450" y="37633275"/>
          <a:ext cx="2311401" cy="7188891"/>
          <a:chOff x="9296400" y="38976300"/>
          <a:chExt cx="2311401" cy="7188891"/>
        </a:xfrm>
      </xdr:grpSpPr>
      <xdr:graphicFrame macro="">
        <xdr:nvGraphicFramePr>
          <xdr:cNvPr id="106" name="Chart 105">
            <a:extLst>
              <a:ext uri="{FF2B5EF4-FFF2-40B4-BE49-F238E27FC236}">
                <a16:creationId xmlns:a16="http://schemas.microsoft.com/office/drawing/2014/main" id="{00000000-0008-0000-0A00-00006A000000}"/>
              </a:ext>
            </a:extLst>
          </xdr:cNvPr>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a:extLst>
              <a:ext uri="{FF2B5EF4-FFF2-40B4-BE49-F238E27FC236}">
                <a16:creationId xmlns:a16="http://schemas.microsoft.com/office/drawing/2014/main" id="{00000000-0008-0000-0A00-00006E000000}"/>
              </a:ext>
            </a:extLst>
          </xdr:cNvPr>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a:extLst>
              <a:ext uri="{FF2B5EF4-FFF2-40B4-BE49-F238E27FC236}">
                <a16:creationId xmlns:a16="http://schemas.microsoft.com/office/drawing/2014/main" id="{00000000-0008-0000-0A00-00006F000000}"/>
              </a:ext>
            </a:extLst>
          </xdr:cNvPr>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a:extLst>
              <a:ext uri="{FF2B5EF4-FFF2-40B4-BE49-F238E27FC236}">
                <a16:creationId xmlns:a16="http://schemas.microsoft.com/office/drawing/2014/main" id="{00000000-0008-0000-0A00-000078000000}"/>
              </a:ext>
            </a:extLst>
          </xdr:cNvPr>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a:extLst>
              <a:ext uri="{FF2B5EF4-FFF2-40B4-BE49-F238E27FC236}">
                <a16:creationId xmlns:a16="http://schemas.microsoft.com/office/drawing/2014/main" id="{00000000-0008-0000-0A00-000079000000}"/>
              </a:ext>
            </a:extLst>
          </xdr:cNvPr>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a:extLst>
            <a:ext uri="{FF2B5EF4-FFF2-40B4-BE49-F238E27FC236}">
              <a16:creationId xmlns:a16="http://schemas.microsoft.com/office/drawing/2014/main" id="{00000000-0008-0000-0B00-000003000000}"/>
            </a:ext>
          </a:extLst>
        </xdr:cNvPr>
        <xdr:cNvSpPr/>
      </xdr:nvSpPr>
      <xdr:spPr bwMode="auto">
        <a:xfrm>
          <a:off x="371475" y="9525"/>
          <a:ext cx="1390650" cy="22479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4953000</xdr:colOff>
          <xdr:row>1</xdr:row>
          <xdr:rowOff>104775</xdr:rowOff>
        </xdr:to>
        <xdr:sp macro="" textlink="">
          <xdr:nvSpPr>
            <xdr:cNvPr id="55297" name="ComboBox1" hidden="1">
              <a:extLst>
                <a:ext uri="{63B3BB69-23CF-44E3-9099-C40C66FF867C}">
                  <a14:compatExt spid="_x0000_s55297"/>
                </a:ext>
                <a:ext uri="{FF2B5EF4-FFF2-40B4-BE49-F238E27FC236}">
                  <a16:creationId xmlns:a16="http://schemas.microsoft.com/office/drawing/2014/main" id="{00000000-0008-0000-0B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a:extLst>
            <a:ext uri="{FF2B5EF4-FFF2-40B4-BE49-F238E27FC236}">
              <a16:creationId xmlns:a16="http://schemas.microsoft.com/office/drawing/2014/main" id="{00000000-0008-0000-0C00-000004000000}"/>
            </a:ext>
          </a:extLst>
        </xdr:cNvPr>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a:extLst>
            <a:ext uri="{FF2B5EF4-FFF2-40B4-BE49-F238E27FC236}">
              <a16:creationId xmlns:a16="http://schemas.microsoft.com/office/drawing/2014/main" id="{00000000-0008-0000-0C00-000005000000}"/>
            </a:ext>
          </a:extLst>
        </xdr:cNvPr>
        <xdr:cNvSpPr/>
      </xdr:nvSpPr>
      <xdr:spPr bwMode="auto">
        <a:xfrm>
          <a:off x="8486775" y="38100"/>
          <a:ext cx="810415" cy="322028"/>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a:extLst>
            <a:ext uri="{FF2B5EF4-FFF2-40B4-BE49-F238E27FC236}">
              <a16:creationId xmlns:a16="http://schemas.microsoft.com/office/drawing/2014/main" id="{00000000-0008-0000-0C00-000007000000}"/>
            </a:ext>
          </a:extLst>
        </xdr:cNvPr>
        <xdr:cNvSpPr/>
      </xdr:nvSpPr>
      <xdr:spPr bwMode="auto">
        <a:xfrm>
          <a:off x="609599" y="0"/>
          <a:ext cx="1905001"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a:extLst>
            <a:ext uri="{FF2B5EF4-FFF2-40B4-BE49-F238E27FC236}">
              <a16:creationId xmlns:a16="http://schemas.microsoft.com/office/drawing/2014/main" id="{00000000-0008-0000-0C00-000008000000}"/>
            </a:ext>
          </a:extLst>
        </xdr:cNvPr>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a:extLst>
            <a:ext uri="{FF2B5EF4-FFF2-40B4-BE49-F238E27FC236}">
              <a16:creationId xmlns:a16="http://schemas.microsoft.com/office/drawing/2014/main" id="{00000000-0008-0000-0C00-000009000000}"/>
            </a:ext>
          </a:extLst>
        </xdr:cNvPr>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21.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a:extLst>
            <a:ext uri="{FF2B5EF4-FFF2-40B4-BE49-F238E27FC236}">
              <a16:creationId xmlns:a16="http://schemas.microsoft.com/office/drawing/2014/main" id="{00000000-0008-0000-0D00-000003000000}"/>
            </a:ext>
          </a:extLst>
        </xdr:cNvPr>
        <xdr:cNvSpPr/>
      </xdr:nvSpPr>
      <xdr:spPr bwMode="auto">
        <a:xfrm>
          <a:off x="5953124" y="41412"/>
          <a:ext cx="703773"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a:extLst>
            <a:ext uri="{FF2B5EF4-FFF2-40B4-BE49-F238E27FC236}">
              <a16:creationId xmlns:a16="http://schemas.microsoft.com/office/drawing/2014/main" id="{00000000-0008-0000-0D00-000026000000}"/>
            </a:ext>
          </a:extLst>
        </xdr:cNvPr>
        <xdr:cNvGrpSpPr/>
      </xdr:nvGrpSpPr>
      <xdr:grpSpPr>
        <a:xfrm>
          <a:off x="38099" y="0"/>
          <a:ext cx="8724901" cy="401316"/>
          <a:chOff x="38099" y="0"/>
          <a:chExt cx="7341383" cy="514349"/>
        </a:xfrm>
      </xdr:grpSpPr>
      <xdr:sp macro="" textlink="">
        <xdr:nvSpPr>
          <xdr:cNvPr id="41" name="Rectangle 40">
            <a:extLst>
              <a:ext uri="{FF2B5EF4-FFF2-40B4-BE49-F238E27FC236}">
                <a16:creationId xmlns:a16="http://schemas.microsoft.com/office/drawing/2014/main" id="{00000000-0008-0000-0D00-000029000000}"/>
              </a:ext>
            </a:extLst>
          </xdr:cNvPr>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a:extLst>
              <a:ext uri="{FF2B5EF4-FFF2-40B4-BE49-F238E27FC236}">
                <a16:creationId xmlns:a16="http://schemas.microsoft.com/office/drawing/2014/main" id="{00000000-0008-0000-0D00-000027000000}"/>
              </a:ext>
            </a:extLst>
          </xdr:cNvPr>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a:extLst>
              <a:ext uri="{FF2B5EF4-FFF2-40B4-BE49-F238E27FC236}">
                <a16:creationId xmlns:a16="http://schemas.microsoft.com/office/drawing/2014/main" id="{00000000-0008-0000-0D00-000028000000}"/>
              </a:ext>
            </a:extLst>
          </xdr:cNvPr>
          <xdr:cNvGrpSpPr/>
        </xdr:nvGrpSpPr>
        <xdr:grpSpPr>
          <a:xfrm>
            <a:off x="1318259" y="70259"/>
            <a:ext cx="3071771" cy="390391"/>
            <a:chOff x="1384930" y="-205978"/>
            <a:chExt cx="3071771" cy="390391"/>
          </a:xfrm>
        </xdr:grpSpPr>
        <xdr:sp macro="" textlink="">
          <xdr:nvSpPr>
            <xdr:cNvPr id="48" name="TextBox 47">
              <a:extLst>
                <a:ext uri="{FF2B5EF4-FFF2-40B4-BE49-F238E27FC236}">
                  <a16:creationId xmlns:a16="http://schemas.microsoft.com/office/drawing/2014/main" id="{00000000-0008-0000-0D00-000030000000}"/>
                </a:ext>
              </a:extLst>
            </xdr:cNvPr>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a:extLst>
            <a:ext uri="{FF2B5EF4-FFF2-40B4-BE49-F238E27FC236}">
              <a16:creationId xmlns:a16="http://schemas.microsoft.com/office/drawing/2014/main" id="{00000000-0008-0000-0D00-000056000000}"/>
            </a:ext>
          </a:extLst>
        </xdr:cNvPr>
        <xdr:cNvGrpSpPr/>
      </xdr:nvGrpSpPr>
      <xdr:grpSpPr>
        <a:xfrm>
          <a:off x="171450" y="390524"/>
          <a:ext cx="7486650" cy="616226"/>
          <a:chOff x="161923" y="514405"/>
          <a:chExt cx="7215424" cy="612644"/>
        </a:xfrm>
      </xdr:grpSpPr>
      <xdr:sp macro="" textlink="">
        <xdr:nvSpPr>
          <xdr:cNvPr id="87" name="Round Single Corner Rectangle 86">
            <a:extLst>
              <a:ext uri="{FF2B5EF4-FFF2-40B4-BE49-F238E27FC236}">
                <a16:creationId xmlns:a16="http://schemas.microsoft.com/office/drawing/2014/main" id="{00000000-0008-0000-0D00-000057000000}"/>
              </a:ext>
            </a:extLst>
          </xdr:cNvPr>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a:extLst>
              <a:ext uri="{FF2B5EF4-FFF2-40B4-BE49-F238E27FC236}">
                <a16:creationId xmlns:a16="http://schemas.microsoft.com/office/drawing/2014/main" id="{00000000-0008-0000-0D00-000058000000}"/>
              </a:ext>
            </a:extLst>
          </xdr:cNvPr>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a:extLst>
              <a:ext uri="{FF2B5EF4-FFF2-40B4-BE49-F238E27FC236}">
                <a16:creationId xmlns:a16="http://schemas.microsoft.com/office/drawing/2014/main" id="{00000000-0008-0000-0D00-000059000000}"/>
              </a:ext>
            </a:extLst>
          </xdr:cNvPr>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a:extLst>
              <a:ext uri="{FF2B5EF4-FFF2-40B4-BE49-F238E27FC236}">
                <a16:creationId xmlns:a16="http://schemas.microsoft.com/office/drawing/2014/main" id="{00000000-0008-0000-0D00-00005A000000}"/>
              </a:ext>
            </a:extLst>
          </xdr:cNvPr>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a:extLst>
                <a:ext uri="{FF2B5EF4-FFF2-40B4-BE49-F238E27FC236}">
                  <a16:creationId xmlns:a16="http://schemas.microsoft.com/office/drawing/2014/main" id="{00000000-0008-0000-0D00-00005B000000}"/>
                </a:ext>
              </a:extLst>
            </xdr:cNvPr>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D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a:extLst>
            <a:ext uri="{FF2B5EF4-FFF2-40B4-BE49-F238E27FC236}">
              <a16:creationId xmlns:a16="http://schemas.microsoft.com/office/drawing/2014/main" id="{00000000-0008-0000-0D00-00001C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a:extLst>
                <a:ext uri="{FF2B5EF4-FFF2-40B4-BE49-F238E27FC236}">
                  <a16:creationId xmlns:a16="http://schemas.microsoft.com/office/drawing/2014/main" id="{00000000-0008-0000-0D00-000020300000}"/>
                </a:ext>
              </a:extLst>
            </xdr:cNvPr>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a:extLst>
            <a:ext uri="{FF2B5EF4-FFF2-40B4-BE49-F238E27FC236}">
              <a16:creationId xmlns:a16="http://schemas.microsoft.com/office/drawing/2014/main" id="{00000000-0008-0000-0D00-000032000000}"/>
            </a:ext>
          </a:extLst>
        </xdr:cNvPr>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a:extLst>
            <a:ext uri="{FF2B5EF4-FFF2-40B4-BE49-F238E27FC236}">
              <a16:creationId xmlns:a16="http://schemas.microsoft.com/office/drawing/2014/main" id="{00000000-0008-0000-0D00-000033000000}"/>
            </a:ext>
          </a:extLst>
        </xdr:cNvPr>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a:extLst>
            <a:ext uri="{FF2B5EF4-FFF2-40B4-BE49-F238E27FC236}">
              <a16:creationId xmlns:a16="http://schemas.microsoft.com/office/drawing/2014/main" id="{00000000-0008-0000-0D00-000036000000}"/>
            </a:ext>
          </a:extLst>
        </xdr:cNvPr>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a:extLst>
            <a:ext uri="{FF2B5EF4-FFF2-40B4-BE49-F238E27FC236}">
              <a16:creationId xmlns:a16="http://schemas.microsoft.com/office/drawing/2014/main" id="{00000000-0008-0000-0D00-00001B000000}"/>
            </a:ext>
          </a:extLst>
        </xdr:cNvPr>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a:extLst>
            <a:ext uri="{FF2B5EF4-FFF2-40B4-BE49-F238E27FC236}">
              <a16:creationId xmlns:a16="http://schemas.microsoft.com/office/drawing/2014/main" id="{00000000-0008-0000-0D00-000020000000}"/>
            </a:ext>
          </a:extLst>
        </xdr:cNvPr>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a:extLst>
            <a:ext uri="{FF2B5EF4-FFF2-40B4-BE49-F238E27FC236}">
              <a16:creationId xmlns:a16="http://schemas.microsoft.com/office/drawing/2014/main" id="{00000000-0008-0000-0D00-00001D000000}"/>
            </a:ext>
          </a:extLst>
        </xdr:cNvPr>
        <xdr:cNvSpPr/>
      </xdr:nvSpPr>
      <xdr:spPr bwMode="auto">
        <a:xfrm>
          <a:off x="6696075" y="38100"/>
          <a:ext cx="876300" cy="32306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a:extLst>
            <a:ext uri="{FF2B5EF4-FFF2-40B4-BE49-F238E27FC236}">
              <a16:creationId xmlns:a16="http://schemas.microsoft.com/office/drawing/2014/main" id="{00000000-0008-0000-0D00-00001A000000}"/>
            </a:ext>
          </a:extLst>
        </xdr:cNvPr>
        <xdr:cNvSpPr/>
      </xdr:nvSpPr>
      <xdr:spPr bwMode="auto">
        <a:xfrm>
          <a:off x="5267326" y="38100"/>
          <a:ext cx="6477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a:extLst>
                <a:ext uri="{FF2B5EF4-FFF2-40B4-BE49-F238E27FC236}">
                  <a16:creationId xmlns:a16="http://schemas.microsoft.com/office/drawing/2014/main" id="{00000000-0008-0000-0D00-00001C000000}"/>
                </a:ext>
              </a:extLst>
            </xdr:cNvPr>
            <xdr:cNvGrpSpPr/>
          </xdr:nvGrpSpPr>
          <xdr:grpSpPr>
            <a:xfrm>
              <a:off x="1219200" y="419100"/>
              <a:ext cx="295275" cy="581025"/>
              <a:chOff x="1133475" y="571402"/>
              <a:chExt cx="304800" cy="581031"/>
            </a:xfrm>
          </xdr:grpSpPr>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D00-000017300000}"/>
                  </a:ext>
                </a:extLst>
              </xdr:cNvPr>
              <xdr:cNvSpPr/>
            </xdr:nvSpPr>
            <xdr:spPr bwMode="auto">
              <a:xfrm>
                <a:off x="1133475" y="571402"/>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D00-0000183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D00-000019300000}"/>
                  </a:ext>
                </a:extLst>
              </xdr:cNvPr>
              <xdr:cNvSpPr/>
            </xdr:nvSpPr>
            <xdr:spPr bwMode="auto">
              <a:xfrm>
                <a:off x="1133475" y="933511"/>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a:extLst>
            <a:ext uri="{FF2B5EF4-FFF2-40B4-BE49-F238E27FC236}">
              <a16:creationId xmlns:a16="http://schemas.microsoft.com/office/drawing/2014/main" id="{00000000-0008-0000-0D00-00001F000000}"/>
            </a:ext>
          </a:extLst>
        </xdr:cNvPr>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22.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a:extLst>
            <a:ext uri="{FF2B5EF4-FFF2-40B4-BE49-F238E27FC236}">
              <a16:creationId xmlns:a16="http://schemas.microsoft.com/office/drawing/2014/main" id="{00000000-0008-0000-0E00-00001C000000}"/>
            </a:ext>
          </a:extLst>
        </xdr:cNvPr>
        <xdr:cNvSpPr/>
      </xdr:nvSpPr>
      <xdr:spPr bwMode="auto">
        <a:xfrm>
          <a:off x="5621819" y="50937"/>
          <a:ext cx="73152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39480" y="7239"/>
          <a:ext cx="8961645" cy="402336"/>
          <a:chOff x="39808" y="23353"/>
          <a:chExt cx="9226547" cy="1297933"/>
        </a:xfrm>
      </xdr:grpSpPr>
      <xdr:sp macro="" textlink="">
        <xdr:nvSpPr>
          <xdr:cNvPr id="30" name="Rectangle 29">
            <a:extLst>
              <a:ext uri="{FF2B5EF4-FFF2-40B4-BE49-F238E27FC236}">
                <a16:creationId xmlns:a16="http://schemas.microsoft.com/office/drawing/2014/main" id="{00000000-0008-0000-0E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a:extLst>
              <a:ext uri="{FF2B5EF4-FFF2-40B4-BE49-F238E27FC236}">
                <a16:creationId xmlns:a16="http://schemas.microsoft.com/office/drawing/2014/main" id="{00000000-0008-0000-0E00-00001F000000}"/>
              </a:ext>
            </a:extLst>
          </xdr:cNvPr>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1665280" y="162441"/>
            <a:ext cx="4021683" cy="973452"/>
            <a:chOff x="1731951" y="-113796"/>
            <a:chExt cx="4021683" cy="973452"/>
          </a:xfrm>
        </xdr:grpSpPr>
        <xdr:sp macro="" textlink="">
          <xdr:nvSpPr>
            <xdr:cNvPr id="35" name="TextBox 34">
              <a:extLst>
                <a:ext uri="{FF2B5EF4-FFF2-40B4-BE49-F238E27FC236}">
                  <a16:creationId xmlns:a16="http://schemas.microsoft.com/office/drawing/2014/main" id="{00000000-0008-0000-0E00-000023000000}"/>
                </a:ext>
              </a:extLst>
            </xdr:cNvPr>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E00-000025000000}"/>
            </a:ext>
          </a:extLst>
        </xdr:cNvPr>
        <xdr:cNvGrpSpPr/>
      </xdr:nvGrpSpPr>
      <xdr:grpSpPr>
        <a:xfrm>
          <a:off x="171447" y="419100"/>
          <a:ext cx="7496177" cy="606701"/>
          <a:chOff x="161920" y="523875"/>
          <a:chExt cx="9089516" cy="603174"/>
        </a:xfrm>
      </xdr:grpSpPr>
      <xdr:sp macro="" textlink="">
        <xdr:nvSpPr>
          <xdr:cNvPr id="38" name="Round Single Corner Rectangle 37">
            <a:extLst>
              <a:ext uri="{FF2B5EF4-FFF2-40B4-BE49-F238E27FC236}">
                <a16:creationId xmlns:a16="http://schemas.microsoft.com/office/drawing/2014/main" id="{00000000-0008-0000-0E00-000026000000}"/>
              </a:ext>
            </a:extLst>
          </xdr:cNvPr>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E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a:extLst>
              <a:ext uri="{FF2B5EF4-FFF2-40B4-BE49-F238E27FC236}">
                <a16:creationId xmlns:a16="http://schemas.microsoft.com/office/drawing/2014/main" id="{00000000-0008-0000-0E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a:extLst>
            <a:ext uri="{FF2B5EF4-FFF2-40B4-BE49-F238E27FC236}">
              <a16:creationId xmlns:a16="http://schemas.microsoft.com/office/drawing/2014/main" id="{00000000-0008-0000-0E00-00002C000000}"/>
            </a:ext>
          </a:extLst>
        </xdr:cNvPr>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a:extLst>
            <a:ext uri="{FF2B5EF4-FFF2-40B4-BE49-F238E27FC236}">
              <a16:creationId xmlns:a16="http://schemas.microsoft.com/office/drawing/2014/main" id="{00000000-0008-0000-0E00-00002D000000}"/>
            </a:ext>
          </a:extLst>
        </xdr:cNvPr>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a:extLst>
            <a:ext uri="{FF2B5EF4-FFF2-40B4-BE49-F238E27FC236}">
              <a16:creationId xmlns:a16="http://schemas.microsoft.com/office/drawing/2014/main" id="{00000000-0008-0000-0E00-00002F000000}"/>
            </a:ext>
          </a:extLst>
        </xdr:cNvPr>
        <xdr:cNvSpPr/>
      </xdr:nvSpPr>
      <xdr:spPr bwMode="auto">
        <a:xfrm>
          <a:off x="6506954" y="54864"/>
          <a:ext cx="105589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a:extLst>
            <a:ext uri="{FF2B5EF4-FFF2-40B4-BE49-F238E27FC236}">
              <a16:creationId xmlns:a16="http://schemas.microsoft.com/office/drawing/2014/main" id="{00000000-0008-0000-0F00-000003000000}"/>
            </a:ext>
          </a:extLst>
        </xdr:cNvPr>
        <xdr:cNvSpPr/>
      </xdr:nvSpPr>
      <xdr:spPr bwMode="auto">
        <a:xfrm>
          <a:off x="5781675" y="50937"/>
          <a:ext cx="695489"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a:extLst>
            <a:ext uri="{FF2B5EF4-FFF2-40B4-BE49-F238E27FC236}">
              <a16:creationId xmlns:a16="http://schemas.microsoft.com/office/drawing/2014/main" id="{00000000-0008-0000-0F00-000004000000}"/>
            </a:ext>
          </a:extLst>
        </xdr:cNvPr>
        <xdr:cNvGrpSpPr/>
      </xdr:nvGrpSpPr>
      <xdr:grpSpPr>
        <a:xfrm>
          <a:off x="39480" y="7239"/>
          <a:ext cx="8609220" cy="402336"/>
          <a:chOff x="39808" y="23353"/>
          <a:chExt cx="10182779" cy="1297933"/>
        </a:xfrm>
      </xdr:grpSpPr>
      <xdr:sp macro="" textlink="">
        <xdr:nvSpPr>
          <xdr:cNvPr id="5" name="Rectangle 4">
            <a:extLst>
              <a:ext uri="{FF2B5EF4-FFF2-40B4-BE49-F238E27FC236}">
                <a16:creationId xmlns:a16="http://schemas.microsoft.com/office/drawing/2014/main" id="{00000000-0008-0000-0F00-000005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a:extLst>
              <a:ext uri="{FF2B5EF4-FFF2-40B4-BE49-F238E27FC236}">
                <a16:creationId xmlns:a16="http://schemas.microsoft.com/office/drawing/2014/main" id="{00000000-0008-0000-0F00-000006000000}"/>
              </a:ext>
            </a:extLst>
          </xdr:cNvPr>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a:extLst>
              <a:ext uri="{FF2B5EF4-FFF2-40B4-BE49-F238E27FC236}">
                <a16:creationId xmlns:a16="http://schemas.microsoft.com/office/drawing/2014/main" id="{00000000-0008-0000-0F00-000007000000}"/>
              </a:ext>
            </a:extLst>
          </xdr:cNvPr>
          <xdr:cNvGrpSpPr/>
        </xdr:nvGrpSpPr>
        <xdr:grpSpPr>
          <a:xfrm>
            <a:off x="1708149" y="162441"/>
            <a:ext cx="4267178" cy="973452"/>
            <a:chOff x="1774820" y="-113796"/>
            <a:chExt cx="4267178" cy="973452"/>
          </a:xfrm>
        </xdr:grpSpPr>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 uri="{FF2B5EF4-FFF2-40B4-BE49-F238E27FC236}">
                      <a16:creationId xmlns:a16="http://schemas.microsoft.com/office/drawing/2014/main" id="{00000000-0008-0000-0F00-000001300100}"/>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a:extLst>
              <a:ext uri="{FF2B5EF4-FFF2-40B4-BE49-F238E27FC236}">
                <a16:creationId xmlns:a16="http://schemas.microsoft.com/office/drawing/2014/main" id="{00000000-0008-0000-0F00-000009000000}"/>
              </a:ext>
            </a:extLst>
          </xdr:cNvPr>
          <xdr:cNvSpPr/>
        </xdr:nvSpPr>
        <xdr:spPr bwMode="auto">
          <a:xfrm>
            <a:off x="7699016" y="173433"/>
            <a:ext cx="1126594" cy="1032447"/>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71448" y="419100"/>
          <a:ext cx="8458201" cy="606701"/>
          <a:chOff x="161921" y="523875"/>
          <a:chExt cx="10048129" cy="603174"/>
        </a:xfrm>
      </xdr:grpSpPr>
      <xdr:sp macro="" textlink="">
        <xdr:nvSpPr>
          <xdr:cNvPr id="13" name="Round Single Corner Rectangle 12">
            <a:extLst>
              <a:ext uri="{FF2B5EF4-FFF2-40B4-BE49-F238E27FC236}">
                <a16:creationId xmlns:a16="http://schemas.microsoft.com/office/drawing/2014/main" id="{00000000-0008-0000-0F00-00000D000000}"/>
              </a:ext>
            </a:extLst>
          </xdr:cNvPr>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0000000-0008-0000-0F00-00000F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a:extLst>
              <a:ext uri="{FF2B5EF4-FFF2-40B4-BE49-F238E27FC236}">
                <a16:creationId xmlns:a16="http://schemas.microsoft.com/office/drawing/2014/main" id="{00000000-0008-0000-0F00-000010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a:extLst>
                <a:ext uri="{FF2B5EF4-FFF2-40B4-BE49-F238E27FC236}">
                  <a16:creationId xmlns:a16="http://schemas.microsoft.com/office/drawing/2014/main" id="{00000000-0008-0000-0F00-000011000000}"/>
                </a:ext>
              </a:extLst>
            </xdr:cNvPr>
            <xdr:cNvGrpSpPr/>
          </xdr:nvGrpSpPr>
          <xdr:grpSpPr>
            <a:xfrm>
              <a:off x="950844" y="432352"/>
              <a:ext cx="168965" cy="581025"/>
              <a:chOff x="1133475" y="571407"/>
              <a:chExt cx="304800" cy="581025"/>
            </a:xfrm>
          </xdr:grpSpPr>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0F00-000002300100}"/>
                  </a:ext>
                </a:extLst>
              </xdr:cNvPr>
              <xdr:cNvSpPr/>
            </xdr:nvSpPr>
            <xdr:spPr bwMode="auto">
              <a:xfrm>
                <a:off x="1133475" y="571407"/>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0F00-000003300100}"/>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0F00-000004300100}"/>
                  </a:ext>
                </a:extLst>
              </xdr:cNvPr>
              <xdr:cNvSpPr/>
            </xdr:nvSpPr>
            <xdr:spPr bwMode="auto">
              <a:xfrm>
                <a:off x="1133475" y="933373"/>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a:extLst>
            <a:ext uri="{FF2B5EF4-FFF2-40B4-BE49-F238E27FC236}">
              <a16:creationId xmlns:a16="http://schemas.microsoft.com/office/drawing/2014/main" id="{00000000-0008-0000-0F00-000019000000}"/>
            </a:ext>
          </a:extLst>
        </xdr:cNvPr>
        <xdr:cNvSpPr/>
      </xdr:nvSpPr>
      <xdr:spPr bwMode="auto">
        <a:xfrm>
          <a:off x="5124450" y="47625"/>
          <a:ext cx="6096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a:extLst>
            <a:ext uri="{FF2B5EF4-FFF2-40B4-BE49-F238E27FC236}">
              <a16:creationId xmlns:a16="http://schemas.microsoft.com/office/drawing/2014/main" id="{00000000-0008-0000-1000-00001B000000}"/>
            </a:ext>
          </a:extLst>
        </xdr:cNvPr>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a:extLst>
            <a:ext uri="{FF2B5EF4-FFF2-40B4-BE49-F238E27FC236}">
              <a16:creationId xmlns:a16="http://schemas.microsoft.com/office/drawing/2014/main" id="{00000000-0008-0000-1000-00001C000000}"/>
            </a:ext>
          </a:extLst>
        </xdr:cNvPr>
        <xdr:cNvSpPr/>
      </xdr:nvSpPr>
      <xdr:spPr bwMode="auto">
        <a:xfrm>
          <a:off x="6257925" y="50937"/>
          <a:ext cx="734822"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a:extLst>
            <a:ext uri="{FF2B5EF4-FFF2-40B4-BE49-F238E27FC236}">
              <a16:creationId xmlns:a16="http://schemas.microsoft.com/office/drawing/2014/main" id="{00000000-0008-0000-1000-00001D000000}"/>
            </a:ext>
          </a:extLst>
        </xdr:cNvPr>
        <xdr:cNvGrpSpPr/>
      </xdr:nvGrpSpPr>
      <xdr:grpSpPr>
        <a:xfrm>
          <a:off x="39479" y="7239"/>
          <a:ext cx="9171195" cy="402336"/>
          <a:chOff x="39807" y="23353"/>
          <a:chExt cx="9985731" cy="1297933"/>
        </a:xfrm>
      </xdr:grpSpPr>
      <xdr:sp macro="" textlink="">
        <xdr:nvSpPr>
          <xdr:cNvPr id="30" name="Rectangle 29">
            <a:extLst>
              <a:ext uri="{FF2B5EF4-FFF2-40B4-BE49-F238E27FC236}">
                <a16:creationId xmlns:a16="http://schemas.microsoft.com/office/drawing/2014/main" id="{00000000-0008-0000-10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a:extLst>
              <a:ext uri="{FF2B5EF4-FFF2-40B4-BE49-F238E27FC236}">
                <a16:creationId xmlns:a16="http://schemas.microsoft.com/office/drawing/2014/main" id="{00000000-0008-0000-1000-00001F000000}"/>
              </a:ext>
            </a:extLst>
          </xdr:cNvPr>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1000-000020000000}"/>
              </a:ext>
            </a:extLst>
          </xdr:cNvPr>
          <xdr:cNvGrpSpPr/>
        </xdr:nvGrpSpPr>
        <xdr:grpSpPr>
          <a:xfrm>
            <a:off x="1697252" y="162441"/>
            <a:ext cx="4231759" cy="973452"/>
            <a:chOff x="1763923" y="-113796"/>
            <a:chExt cx="4231759" cy="973452"/>
          </a:xfrm>
        </xdr:grpSpPr>
        <xdr:sp macro="" textlink="">
          <xdr:nvSpPr>
            <xdr:cNvPr id="35" name="TextBox 34">
              <a:extLst>
                <a:ext uri="{FF2B5EF4-FFF2-40B4-BE49-F238E27FC236}">
                  <a16:creationId xmlns:a16="http://schemas.microsoft.com/office/drawing/2014/main" id="{00000000-0008-0000-1000-000023000000}"/>
                </a:ext>
              </a:extLst>
            </xdr:cNvPr>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1000-000025000000}"/>
            </a:ext>
          </a:extLst>
        </xdr:cNvPr>
        <xdr:cNvGrpSpPr/>
      </xdr:nvGrpSpPr>
      <xdr:grpSpPr>
        <a:xfrm>
          <a:off x="171447" y="419100"/>
          <a:ext cx="8305802" cy="606701"/>
          <a:chOff x="161920" y="523875"/>
          <a:chExt cx="9062002" cy="603174"/>
        </a:xfrm>
      </xdr:grpSpPr>
      <xdr:sp macro="" textlink="">
        <xdr:nvSpPr>
          <xdr:cNvPr id="38" name="Round Single Corner Rectangle 37">
            <a:extLst>
              <a:ext uri="{FF2B5EF4-FFF2-40B4-BE49-F238E27FC236}">
                <a16:creationId xmlns:a16="http://schemas.microsoft.com/office/drawing/2014/main" id="{00000000-0008-0000-1000-000026000000}"/>
              </a:ext>
            </a:extLst>
          </xdr:cNvPr>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1000-000027000000}"/>
              </a:ext>
            </a:extLst>
          </xdr:cNvPr>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a:extLst>
              <a:ext uri="{FF2B5EF4-FFF2-40B4-BE49-F238E27FC236}">
                <a16:creationId xmlns:a16="http://schemas.microsoft.com/office/drawing/2014/main" id="{00000000-0008-0000-1000-000028000000}"/>
              </a:ext>
            </a:extLst>
          </xdr:cNvPr>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a:extLst>
              <a:ext uri="{FF2B5EF4-FFF2-40B4-BE49-F238E27FC236}">
                <a16:creationId xmlns:a16="http://schemas.microsoft.com/office/drawing/2014/main" id="{00000000-0008-0000-10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a:extLst>
              <a:ext uri="{FF2B5EF4-FFF2-40B4-BE49-F238E27FC236}">
                <a16:creationId xmlns:a16="http://schemas.microsoft.com/office/drawing/2014/main" id="{00000000-0008-0000-1000-00001A000000}"/>
              </a:ext>
            </a:extLst>
          </xdr:cNvPr>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a:extLst>
                <a:ext uri="{FF2B5EF4-FFF2-40B4-BE49-F238E27FC236}">
                  <a16:creationId xmlns:a16="http://schemas.microsoft.com/office/drawing/2014/main" id="{00000000-0008-0000-1000-00002A000000}"/>
                </a:ext>
              </a:extLst>
            </xdr:cNvPr>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1000-000004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a:extLst>
            <a:ext uri="{FF2B5EF4-FFF2-40B4-BE49-F238E27FC236}">
              <a16:creationId xmlns:a16="http://schemas.microsoft.com/office/drawing/2014/main" id="{00000000-0008-0000-1000-000018000000}"/>
            </a:ext>
          </a:extLst>
        </xdr:cNvPr>
        <xdr:cNvSpPr/>
      </xdr:nvSpPr>
      <xdr:spPr bwMode="auto">
        <a:xfrm>
          <a:off x="7029450" y="54864"/>
          <a:ext cx="942974"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a:extLst>
            <a:ext uri="{FF2B5EF4-FFF2-40B4-BE49-F238E27FC236}">
              <a16:creationId xmlns:a16="http://schemas.microsoft.com/office/drawing/2014/main" id="{00000000-0008-0000-1000-000019000000}"/>
            </a:ext>
          </a:extLst>
        </xdr:cNvPr>
        <xdr:cNvSpPr/>
      </xdr:nvSpPr>
      <xdr:spPr bwMode="auto">
        <a:xfrm>
          <a:off x="5486400" y="47625"/>
          <a:ext cx="734822"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a:extLst>
                <a:ext uri="{FF2B5EF4-FFF2-40B4-BE49-F238E27FC236}">
                  <a16:creationId xmlns:a16="http://schemas.microsoft.com/office/drawing/2014/main" id="{00000000-0008-0000-1000-000022000000}"/>
                </a:ext>
              </a:extLst>
            </xdr:cNvPr>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a:extLst>
            <a:ext uri="{FF2B5EF4-FFF2-40B4-BE49-F238E27FC236}">
              <a16:creationId xmlns:a16="http://schemas.microsoft.com/office/drawing/2014/main" id="{00000000-0008-0000-1000-000021000000}"/>
            </a:ext>
          </a:extLst>
        </xdr:cNvPr>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25.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a:extLst>
            <a:ext uri="{FF2B5EF4-FFF2-40B4-BE49-F238E27FC236}">
              <a16:creationId xmlns:a16="http://schemas.microsoft.com/office/drawing/2014/main" id="{00000000-0008-0000-1100-00001B000000}"/>
            </a:ext>
          </a:extLst>
        </xdr:cNvPr>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a:extLst>
            <a:ext uri="{FF2B5EF4-FFF2-40B4-BE49-F238E27FC236}">
              <a16:creationId xmlns:a16="http://schemas.microsoft.com/office/drawing/2014/main" id="{00000000-0008-0000-1100-00001C000000}"/>
            </a:ext>
          </a:extLst>
        </xdr:cNvPr>
        <xdr:cNvSpPr/>
      </xdr:nvSpPr>
      <xdr:spPr bwMode="auto">
        <a:xfrm>
          <a:off x="6953250" y="50937"/>
          <a:ext cx="800264"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a:extLst>
            <a:ext uri="{FF2B5EF4-FFF2-40B4-BE49-F238E27FC236}">
              <a16:creationId xmlns:a16="http://schemas.microsoft.com/office/drawing/2014/main" id="{00000000-0008-0000-1100-00001D000000}"/>
            </a:ext>
          </a:extLst>
        </xdr:cNvPr>
        <xdr:cNvGrpSpPr/>
      </xdr:nvGrpSpPr>
      <xdr:grpSpPr>
        <a:xfrm>
          <a:off x="39480" y="7239"/>
          <a:ext cx="10504695" cy="402336"/>
          <a:chOff x="39807" y="23353"/>
          <a:chExt cx="9375353" cy="1297933"/>
        </a:xfrm>
      </xdr:grpSpPr>
      <xdr:sp macro="" textlink="">
        <xdr:nvSpPr>
          <xdr:cNvPr id="30" name="Rectangle 29">
            <a:extLst>
              <a:ext uri="{FF2B5EF4-FFF2-40B4-BE49-F238E27FC236}">
                <a16:creationId xmlns:a16="http://schemas.microsoft.com/office/drawing/2014/main" id="{00000000-0008-0000-11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a:extLst>
              <a:ext uri="{FF2B5EF4-FFF2-40B4-BE49-F238E27FC236}">
                <a16:creationId xmlns:a16="http://schemas.microsoft.com/office/drawing/2014/main" id="{00000000-0008-0000-1100-00001F000000}"/>
              </a:ext>
            </a:extLst>
          </xdr:cNvPr>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1100-000020000000}"/>
              </a:ext>
            </a:extLst>
          </xdr:cNvPr>
          <xdr:cNvGrpSpPr/>
        </xdr:nvGrpSpPr>
        <xdr:grpSpPr>
          <a:xfrm>
            <a:off x="1832075" y="162441"/>
            <a:ext cx="3704011" cy="973452"/>
            <a:chOff x="1898746" y="-113796"/>
            <a:chExt cx="3704011" cy="973452"/>
          </a:xfrm>
        </xdr:grpSpPr>
        <xdr:sp macro="" textlink="">
          <xdr:nvSpPr>
            <xdr:cNvPr id="35" name="TextBox 34">
              <a:extLst>
                <a:ext uri="{FF2B5EF4-FFF2-40B4-BE49-F238E27FC236}">
                  <a16:creationId xmlns:a16="http://schemas.microsoft.com/office/drawing/2014/main" id="{00000000-0008-0000-1100-000023000000}"/>
                </a:ext>
              </a:extLst>
            </xdr:cNvPr>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a:extLst>
            <a:ext uri="{FF2B5EF4-FFF2-40B4-BE49-F238E27FC236}">
              <a16:creationId xmlns:a16="http://schemas.microsoft.com/office/drawing/2014/main" id="{00000000-0008-0000-1100-000025000000}"/>
            </a:ext>
          </a:extLst>
        </xdr:cNvPr>
        <xdr:cNvGrpSpPr/>
      </xdr:nvGrpSpPr>
      <xdr:grpSpPr>
        <a:xfrm>
          <a:off x="171447" y="419100"/>
          <a:ext cx="10325102" cy="606701"/>
          <a:chOff x="161920" y="523875"/>
          <a:chExt cx="9950955" cy="603174"/>
        </a:xfrm>
      </xdr:grpSpPr>
      <xdr:sp macro="" textlink="">
        <xdr:nvSpPr>
          <xdr:cNvPr id="38" name="Round Single Corner Rectangle 37">
            <a:extLst>
              <a:ext uri="{FF2B5EF4-FFF2-40B4-BE49-F238E27FC236}">
                <a16:creationId xmlns:a16="http://schemas.microsoft.com/office/drawing/2014/main" id="{00000000-0008-0000-1100-000026000000}"/>
              </a:ext>
            </a:extLst>
          </xdr:cNvPr>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11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a:extLst>
              <a:ext uri="{FF2B5EF4-FFF2-40B4-BE49-F238E27FC236}">
                <a16:creationId xmlns:a16="http://schemas.microsoft.com/office/drawing/2014/main" id="{00000000-0008-0000-11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a:extLst>
                <a:ext uri="{FF2B5EF4-FFF2-40B4-BE49-F238E27FC236}">
                  <a16:creationId xmlns:a16="http://schemas.microsoft.com/office/drawing/2014/main" id="{00000000-0008-0000-1100-00002A000000}"/>
                </a:ext>
              </a:extLst>
            </xdr:cNvPr>
            <xdr:cNvGrpSpPr/>
          </xdr:nvGrpSpPr>
          <xdr:grpSpPr>
            <a:xfrm>
              <a:off x="1112769" y="527602"/>
              <a:ext cx="168965" cy="400073"/>
              <a:chOff x="1133475" y="571296"/>
              <a:chExt cx="304800" cy="400093"/>
            </a:xfrm>
          </xdr:grpSpPr>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1133475" y="57129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1133475" y="752314"/>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a:extLst>
            <a:ext uri="{FF2B5EF4-FFF2-40B4-BE49-F238E27FC236}">
              <a16:creationId xmlns:a16="http://schemas.microsoft.com/office/drawing/2014/main" id="{00000000-0008-0000-1100-00002C000000}"/>
            </a:ext>
          </a:extLst>
        </xdr:cNvPr>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a:extLst>
            <a:ext uri="{FF2B5EF4-FFF2-40B4-BE49-F238E27FC236}">
              <a16:creationId xmlns:a16="http://schemas.microsoft.com/office/drawing/2014/main" id="{00000000-0008-0000-1100-000017000000}"/>
            </a:ext>
          </a:extLst>
        </xdr:cNvPr>
        <xdr:cNvSpPr/>
      </xdr:nvSpPr>
      <xdr:spPr bwMode="auto">
        <a:xfrm>
          <a:off x="7810499" y="47625"/>
          <a:ext cx="107632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a:extLst>
            <a:ext uri="{FF2B5EF4-FFF2-40B4-BE49-F238E27FC236}">
              <a16:creationId xmlns:a16="http://schemas.microsoft.com/office/drawing/2014/main" id="{00000000-0008-0000-1100-000018000000}"/>
            </a:ext>
          </a:extLst>
        </xdr:cNvPr>
        <xdr:cNvSpPr/>
      </xdr:nvSpPr>
      <xdr:spPr bwMode="auto">
        <a:xfrm>
          <a:off x="6105525" y="47625"/>
          <a:ext cx="800264"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a:extLst>
            <a:ext uri="{FF2B5EF4-FFF2-40B4-BE49-F238E27FC236}">
              <a16:creationId xmlns:a16="http://schemas.microsoft.com/office/drawing/2014/main" id="{00000000-0008-0000-1200-000030000000}"/>
            </a:ext>
          </a:extLst>
        </xdr:cNvPr>
        <xdr:cNvGrpSpPr/>
      </xdr:nvGrpSpPr>
      <xdr:grpSpPr>
        <a:xfrm>
          <a:off x="38099" y="0"/>
          <a:ext cx="8967356" cy="519544"/>
          <a:chOff x="38099" y="0"/>
          <a:chExt cx="6978784" cy="514348"/>
        </a:xfrm>
      </xdr:grpSpPr>
      <xdr:sp macro="" textlink="">
        <xdr:nvSpPr>
          <xdr:cNvPr id="49" name="Round Single Corner Rectangle 48">
            <a:extLst>
              <a:ext uri="{FF2B5EF4-FFF2-40B4-BE49-F238E27FC236}">
                <a16:creationId xmlns:a16="http://schemas.microsoft.com/office/drawing/2014/main" id="{00000000-0008-0000-1200-000031000000}"/>
              </a:ext>
            </a:extLst>
          </xdr:cNvPr>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a:extLst>
              <a:ext uri="{FF2B5EF4-FFF2-40B4-BE49-F238E27FC236}">
                <a16:creationId xmlns:a16="http://schemas.microsoft.com/office/drawing/2014/main" id="{00000000-0008-0000-1200-000032000000}"/>
              </a:ext>
            </a:extLst>
          </xdr:cNvPr>
          <xdr:cNvGrpSpPr/>
        </xdr:nvGrpSpPr>
        <xdr:grpSpPr>
          <a:xfrm>
            <a:off x="1638319" y="123837"/>
            <a:ext cx="3882974" cy="295275"/>
            <a:chOff x="1704990" y="-152400"/>
            <a:chExt cx="3882974" cy="295275"/>
          </a:xfrm>
        </xdr:grpSpPr>
        <xdr:sp macro="" textlink="">
          <xdr:nvSpPr>
            <xdr:cNvPr id="57" name="TextBox 56">
              <a:extLst>
                <a:ext uri="{FF2B5EF4-FFF2-40B4-BE49-F238E27FC236}">
                  <a16:creationId xmlns:a16="http://schemas.microsoft.com/office/drawing/2014/main" id="{00000000-0008-0000-1200-000039000000}"/>
                </a:ext>
              </a:extLst>
            </xdr:cNvPr>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 uri="{FF2B5EF4-FFF2-40B4-BE49-F238E27FC236}">
                      <a16:creationId xmlns:a16="http://schemas.microsoft.com/office/drawing/2014/main" id="{00000000-0008-0000-1200-000006440000}"/>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a:extLst>
              <a:ext uri="{FF2B5EF4-FFF2-40B4-BE49-F238E27FC236}">
                <a16:creationId xmlns:a16="http://schemas.microsoft.com/office/drawing/2014/main" id="{00000000-0008-0000-1200-000033000000}"/>
              </a:ext>
            </a:extLst>
          </xdr:cNvPr>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a:extLst>
              <a:ext uri="{FF2B5EF4-FFF2-40B4-BE49-F238E27FC236}">
                <a16:creationId xmlns:a16="http://schemas.microsoft.com/office/drawing/2014/main" id="{00000000-0008-0000-1200-000034000000}"/>
              </a:ext>
            </a:extLst>
          </xdr:cNvPr>
          <xdr:cNvSpPr/>
        </xdr:nvSpPr>
        <xdr:spPr bwMode="auto">
          <a:xfrm>
            <a:off x="5676945" y="68580"/>
            <a:ext cx="977948" cy="381964"/>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15.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21.xml"/><Relationship Id="rId1" Type="http://schemas.openxmlformats.org/officeDocument/2006/relationships/printerSettings" Target="../printerSettings/printerSettings17.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2.xml"/><Relationship Id="rId1" Type="http://schemas.openxmlformats.org/officeDocument/2006/relationships/printerSettings" Target="../printerSettings/printerSettings18.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23.xml"/><Relationship Id="rId1" Type="http://schemas.openxmlformats.org/officeDocument/2006/relationships/printerSettings" Target="../printerSettings/printerSettings19.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24.xml"/><Relationship Id="rId1" Type="http://schemas.openxmlformats.org/officeDocument/2006/relationships/printerSettings" Target="../printerSettings/printerSettings20.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2.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1:S38"/>
  <sheetViews>
    <sheetView showGridLines="0" showRowColHeaders="0" zoomScaleNormal="100" workbookViewId="0">
      <selection activeCell="D7" sqref="D7"/>
    </sheetView>
  </sheetViews>
  <sheetFormatPr defaultColWidth="9.140625" defaultRowHeight="12.75"/>
  <cols>
    <col min="1" max="1" width="6.140625" style="4" customWidth="1"/>
    <col min="2" max="2" width="15.42578125" style="4" customWidth="1"/>
    <col min="3" max="3" width="24.85546875" style="4" customWidth="1"/>
    <col min="4" max="4" width="31.5703125" style="4" customWidth="1"/>
    <col min="5" max="5" width="24.140625" style="4" customWidth="1"/>
    <col min="6" max="6" width="13" style="4" customWidth="1"/>
    <col min="7" max="7" width="7.5703125" style="4" customWidth="1"/>
    <col min="8" max="16384" width="9.140625" style="4"/>
  </cols>
  <sheetData>
    <row r="1" spans="2:19" ht="32.1" customHeight="1">
      <c r="B1" s="176"/>
      <c r="C1" s="177"/>
      <c r="D1" s="11"/>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05"/>
      <c r="C4" s="49"/>
      <c r="D4" s="1"/>
    </row>
    <row r="5" spans="2:19" ht="12.75" customHeight="1">
      <c r="B5" s="1"/>
      <c r="C5" s="18" t="s">
        <v>30</v>
      </c>
      <c r="D5" s="1" t="str">
        <f ca="1">IF(MONTH(TODAY())&lt;6, "Spring", IF(MONTH(TODAY())&lt;9,"Summer","Fall"))&amp;" "&amp;YEAR(TODAY())</f>
        <v>Spring 2023</v>
      </c>
    </row>
    <row r="6" spans="2:19" ht="12.75" customHeight="1">
      <c r="B6" s="1"/>
    </row>
    <row r="7" spans="2:19" ht="12.75" customHeight="1">
      <c r="B7" s="1"/>
      <c r="C7" s="18" t="s">
        <v>29</v>
      </c>
      <c r="D7" s="1" t="s">
        <v>719</v>
      </c>
    </row>
    <row r="8" spans="2:19" ht="12.75" customHeight="1">
      <c r="D8" s="1"/>
    </row>
    <row r="9" spans="2:19" ht="12.75" customHeight="1">
      <c r="C9" s="18" t="s">
        <v>403</v>
      </c>
      <c r="D9" s="1" t="s">
        <v>717</v>
      </c>
    </row>
    <row r="10" spans="2:19" ht="12.75" customHeight="1">
      <c r="D10" s="1"/>
    </row>
    <row r="11" spans="2:19" ht="12.75" customHeight="1">
      <c r="B11" s="18"/>
      <c r="C11" s="18" t="s">
        <v>28</v>
      </c>
      <c r="D11" s="1" t="s">
        <v>718</v>
      </c>
    </row>
    <row r="12" spans="2:19" ht="12.75" customHeight="1"/>
    <row r="13" spans="2:19" ht="12.75" customHeight="1"/>
    <row r="14" spans="2:19" ht="12.75" customHeight="1">
      <c r="C14" s="18" t="s">
        <v>27</v>
      </c>
      <c r="D14" s="4" t="s">
        <v>26</v>
      </c>
    </row>
    <row r="15" spans="2:19" ht="12.75" customHeight="1">
      <c r="B15" s="170"/>
    </row>
    <row r="16" spans="2:19" ht="12.75" customHeight="1">
      <c r="B16" s="170"/>
      <c r="C16" s="18" t="s">
        <v>25</v>
      </c>
      <c r="D16" s="737">
        <v>45019</v>
      </c>
    </row>
    <row r="17" spans="2:4" ht="12.75" customHeight="1"/>
    <row r="18" spans="2:4" ht="12.75" customHeight="1"/>
    <row r="19" spans="2:4" ht="12.75" customHeight="1">
      <c r="B19" s="5"/>
      <c r="C19" s="5"/>
      <c r="D19" s="5"/>
    </row>
    <row r="20" spans="2:4" ht="12.75" customHeight="1">
      <c r="B20" s="5"/>
      <c r="C20" s="5"/>
      <c r="D20" s="5"/>
    </row>
    <row r="21" spans="2:4" ht="12.75" customHeight="1">
      <c r="B21" s="5"/>
      <c r="C21" s="5"/>
      <c r="D21" s="5"/>
    </row>
    <row r="22" spans="2:4" ht="12.75" customHeight="1">
      <c r="B22" s="5"/>
      <c r="C22" s="5"/>
      <c r="D22" s="5"/>
    </row>
    <row r="23" spans="2:4" ht="12.75" customHeight="1"/>
    <row r="24" spans="2:4" ht="12.75" customHeight="1"/>
    <row r="25" spans="2:4" ht="12.75" customHeight="1"/>
    <row r="26" spans="2:4" ht="12.75" customHeight="1">
      <c r="B26" s="5"/>
      <c r="C26" s="5"/>
      <c r="D26" s="5"/>
    </row>
    <row r="27" spans="2:4" ht="12.75" customHeight="1"/>
    <row r="28" spans="2:4" ht="12.75" customHeight="1"/>
    <row r="29" spans="2:4" ht="12.75" customHeight="1"/>
    <row r="30" spans="2:4" ht="12.75" customHeight="1"/>
    <row r="31" spans="2:4" ht="12.75" customHeight="1"/>
    <row r="32" spans="2:4" ht="12.75" customHeight="1"/>
    <row r="33" spans="2:4" ht="12.75" customHeight="1"/>
    <row r="34" spans="2:4" ht="12.75" customHeight="1">
      <c r="B34" s="5"/>
      <c r="C34" s="5"/>
      <c r="D34" s="5"/>
    </row>
    <row r="35" spans="2:4" ht="12.75" customHeight="1">
      <c r="B35" s="5"/>
      <c r="C35" s="5"/>
      <c r="D35" s="5"/>
    </row>
    <row r="36" spans="2:4">
      <c r="B36" s="5"/>
      <c r="C36" s="5"/>
      <c r="D36" s="5"/>
    </row>
    <row r="37" spans="2:4">
      <c r="B37" s="5"/>
      <c r="C37" s="5"/>
      <c r="D37" s="5"/>
    </row>
    <row r="38" spans="2:4">
      <c r="B38" s="7"/>
      <c r="C38" s="7"/>
      <c r="D38" s="7"/>
    </row>
  </sheetData>
  <sheetProtection algorithmName="SHA-512" hashValue="MCmimKOdmau5uIbLz5fD/njQWpkoP+3r+X7XsV7A8gd2qAbUrCgEeht8J/UJR/EFjjXgyOKXWfiYHIKm1GIjhA==" saltValue="PHTIfh/QSsY18sEJNt5DYQ==" spinCount="100000" sheet="1" objects="1" scenarios="1" selectLockedCells="1"/>
  <phoneticPr fontId="87" type="noConversion"/>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4" customWidth="1"/>
    <col min="2" max="2" width="21.5703125" style="4" customWidth="1"/>
    <col min="3" max="3" width="10.140625" style="4" bestFit="1" customWidth="1"/>
    <col min="4" max="7" width="9.140625" style="4"/>
    <col min="8" max="8" width="12.42578125" style="4" customWidth="1"/>
    <col min="9" max="16384" width="9.140625" style="4"/>
  </cols>
  <sheetData>
    <row r="1" spans="1:13">
      <c r="C1" s="31"/>
      <c r="D1" s="31"/>
      <c r="E1" s="31"/>
      <c r="F1" s="31"/>
      <c r="G1" s="31"/>
      <c r="H1" s="31"/>
      <c r="I1" s="31"/>
      <c r="J1" s="31"/>
      <c r="K1" s="31"/>
    </row>
    <row r="2" spans="1:13">
      <c r="C2" s="31"/>
      <c r="D2" s="31"/>
      <c r="E2" s="31"/>
      <c r="F2" s="31"/>
      <c r="G2" s="31"/>
      <c r="H2" s="31"/>
      <c r="I2" s="31"/>
      <c r="J2" s="31"/>
      <c r="K2" s="31"/>
    </row>
    <row r="3" spans="1:13">
      <c r="C3" s="31"/>
      <c r="D3" s="31"/>
      <c r="E3" s="31"/>
      <c r="F3" s="31"/>
      <c r="G3" s="31"/>
      <c r="H3" s="31"/>
      <c r="I3" s="31"/>
      <c r="J3" s="31"/>
      <c r="K3" s="31"/>
    </row>
    <row r="5" spans="1:13">
      <c r="A5" s="25"/>
      <c r="B5" s="24"/>
      <c r="C5" s="24"/>
      <c r="D5" s="24"/>
      <c r="E5" s="30"/>
      <c r="F5" s="24"/>
      <c r="G5" s="24"/>
      <c r="H5" s="24"/>
      <c r="I5" s="31"/>
      <c r="J5" s="31"/>
      <c r="K5" s="31"/>
      <c r="L5" s="31"/>
      <c r="M5" s="31"/>
    </row>
    <row r="6" spans="1:13">
      <c r="A6" s="24"/>
      <c r="B6" s="24"/>
      <c r="C6" s="24"/>
      <c r="D6" s="24"/>
      <c r="E6" s="24"/>
      <c r="F6" s="24"/>
      <c r="G6" s="24"/>
      <c r="H6" s="24"/>
    </row>
    <row r="7" spans="1:13">
      <c r="A7" s="24"/>
      <c r="B7" s="24"/>
      <c r="C7" s="24"/>
      <c r="D7" s="24"/>
      <c r="E7" s="24"/>
      <c r="F7" s="24"/>
      <c r="G7" s="24"/>
      <c r="H7" s="24"/>
    </row>
    <row r="8" spans="1:13">
      <c r="A8" s="24"/>
      <c r="B8" s="24"/>
      <c r="C8" s="24"/>
      <c r="D8" s="24"/>
      <c r="E8" s="24"/>
      <c r="F8" s="24"/>
      <c r="G8" s="24"/>
      <c r="H8" s="24"/>
    </row>
    <row r="9" spans="1:13" ht="15.75">
      <c r="A9" s="24"/>
      <c r="B9" s="25" t="s">
        <v>30</v>
      </c>
      <c r="C9" s="3" t="str">
        <f ca="1">Semester</f>
        <v>Spring 2023</v>
      </c>
      <c r="D9" s="24"/>
      <c r="E9" s="24"/>
      <c r="F9" s="24"/>
      <c r="G9" s="24"/>
      <c r="H9" s="24"/>
    </row>
    <row r="10" spans="1:13">
      <c r="A10" s="24"/>
      <c r="B10" s="24"/>
      <c r="C10" s="24"/>
      <c r="D10" s="24"/>
      <c r="E10" s="24"/>
      <c r="F10" s="24"/>
      <c r="G10" s="24"/>
      <c r="H10" s="24"/>
    </row>
    <row r="11" spans="1:13">
      <c r="A11" s="24"/>
      <c r="B11" s="24"/>
      <c r="C11" s="24"/>
      <c r="D11" s="24"/>
      <c r="E11" s="24"/>
      <c r="F11" s="30"/>
      <c r="G11" s="29"/>
      <c r="H11" s="29"/>
      <c r="I11" s="28"/>
      <c r="J11" s="28"/>
      <c r="M11" s="28"/>
    </row>
    <row r="12" spans="1:13">
      <c r="A12" s="24"/>
      <c r="B12" s="24"/>
      <c r="C12" s="24"/>
      <c r="D12" s="24"/>
      <c r="E12" s="24"/>
      <c r="F12" s="30"/>
      <c r="G12" s="24"/>
      <c r="H12" s="24"/>
    </row>
    <row r="13" spans="1:13">
      <c r="A13" s="24"/>
      <c r="B13" s="24"/>
      <c r="C13" s="24"/>
      <c r="D13" s="24"/>
      <c r="E13" s="24"/>
      <c r="F13" s="30"/>
      <c r="G13" s="29"/>
      <c r="H13" s="29"/>
      <c r="I13" s="28"/>
      <c r="J13" s="28"/>
      <c r="M13" s="28"/>
    </row>
    <row r="14" spans="1:13" ht="15.75">
      <c r="A14" s="24"/>
      <c r="B14" s="25" t="s">
        <v>29</v>
      </c>
      <c r="C14" s="1147" t="str">
        <f>IF(ProjectTitle="","",ProjectTitle)</f>
        <v>Main Street Brewery</v>
      </c>
      <c r="D14" s="1147"/>
      <c r="E14" s="1147"/>
      <c r="F14" s="1147"/>
      <c r="G14" s="1147"/>
      <c r="H14" s="24"/>
    </row>
    <row r="15" spans="1:13">
      <c r="A15" s="24"/>
      <c r="B15" s="24"/>
      <c r="C15" s="24"/>
      <c r="D15" s="24"/>
      <c r="E15" s="24"/>
      <c r="F15" s="30"/>
      <c r="G15" s="29"/>
      <c r="H15" s="29"/>
      <c r="I15" s="28"/>
      <c r="J15" s="28"/>
      <c r="M15" s="28"/>
    </row>
    <row r="16" spans="1:13">
      <c r="A16" s="24"/>
      <c r="B16" s="24"/>
      <c r="C16" s="24"/>
      <c r="D16" s="24"/>
      <c r="E16" s="24"/>
      <c r="F16" s="30"/>
      <c r="G16" s="24"/>
      <c r="H16" s="24"/>
    </row>
    <row r="17" spans="1:13" ht="15.75">
      <c r="A17" s="24"/>
      <c r="B17" s="25" t="s">
        <v>624</v>
      </c>
      <c r="C17" s="1148" t="str">
        <f>IF(projectlocation="","",projectlocation)</f>
        <v>New York</v>
      </c>
      <c r="D17" s="1148"/>
      <c r="E17" s="1148"/>
      <c r="F17" s="1148"/>
      <c r="G17" s="1148"/>
      <c r="H17" s="29"/>
      <c r="I17" s="28"/>
      <c r="J17" s="28"/>
      <c r="M17" s="28"/>
    </row>
    <row r="18" spans="1:13">
      <c r="A18" s="24"/>
      <c r="B18" s="24"/>
      <c r="C18" s="24"/>
      <c r="D18" s="24"/>
      <c r="E18" s="24"/>
      <c r="F18" s="24"/>
      <c r="G18" s="24"/>
      <c r="H18" s="24"/>
    </row>
    <row r="19" spans="1:13">
      <c r="A19" s="24"/>
      <c r="B19" s="24"/>
      <c r="C19" s="24"/>
      <c r="D19" s="24"/>
      <c r="E19" s="24"/>
      <c r="F19" s="30"/>
      <c r="G19" s="29"/>
      <c r="H19" s="29"/>
      <c r="I19" s="28"/>
      <c r="J19" s="28"/>
      <c r="M19" s="28"/>
    </row>
    <row r="20" spans="1:13">
      <c r="A20" s="24"/>
      <c r="B20" s="24"/>
      <c r="C20" s="24"/>
      <c r="D20" s="24"/>
      <c r="E20" s="24"/>
      <c r="F20" s="29"/>
      <c r="G20" s="29"/>
      <c r="H20" s="29"/>
      <c r="I20" s="28"/>
      <c r="J20" s="28"/>
    </row>
    <row r="21" spans="1:13">
      <c r="A21" s="24"/>
      <c r="B21" s="24"/>
      <c r="C21" s="24"/>
      <c r="D21" s="24"/>
      <c r="E21" s="24"/>
      <c r="F21" s="25"/>
      <c r="G21" s="24"/>
      <c r="H21" s="24"/>
      <c r="J21" s="28"/>
    </row>
    <row r="22" spans="1:13">
      <c r="A22" s="24"/>
      <c r="B22" s="24"/>
      <c r="C22" s="24"/>
      <c r="D22" s="24"/>
      <c r="E22" s="24"/>
      <c r="F22" s="24"/>
      <c r="G22" s="24"/>
      <c r="H22" s="24"/>
    </row>
    <row r="23" spans="1:13">
      <c r="A23" s="24"/>
      <c r="B23" s="24"/>
      <c r="C23" s="24"/>
      <c r="D23" s="24"/>
      <c r="E23" s="24"/>
      <c r="F23" s="25"/>
      <c r="G23" s="24"/>
      <c r="H23" s="24"/>
      <c r="J23" s="28"/>
    </row>
    <row r="24" spans="1:13" ht="14.1" customHeight="1">
      <c r="A24" s="24"/>
      <c r="B24" s="24"/>
      <c r="C24" s="27"/>
      <c r="D24" s="26"/>
      <c r="E24" s="24"/>
      <c r="F24" s="24"/>
      <c r="G24" s="24"/>
      <c r="H24" s="24"/>
    </row>
    <row r="25" spans="1:13">
      <c r="A25" s="24"/>
      <c r="B25" s="24"/>
      <c r="C25" s="24"/>
      <c r="D25" s="24"/>
      <c r="E25" s="24"/>
      <c r="F25" s="24"/>
      <c r="G25" s="24"/>
      <c r="H25" s="24"/>
    </row>
    <row r="26" spans="1:13" ht="15.75">
      <c r="A26" s="24"/>
      <c r="B26" s="25" t="s">
        <v>28</v>
      </c>
      <c r="C26" s="1147" t="str">
        <f>IF(StudentName="","",StudentName)</f>
        <v>Jiaxing Lin, Wenhao Zhou, Xiner Cai, Yinzhu Jiang, Zeyu Zhang</v>
      </c>
      <c r="D26" s="1147"/>
      <c r="E26" s="1147"/>
      <c r="F26" s="1147"/>
      <c r="G26" s="24"/>
      <c r="H26" s="24"/>
    </row>
    <row r="27" spans="1:13">
      <c r="A27" s="24"/>
      <c r="B27" s="24"/>
      <c r="C27" s="24"/>
      <c r="D27" s="24"/>
      <c r="E27" s="24"/>
      <c r="F27" s="24"/>
      <c r="G27" s="24"/>
      <c r="H27" s="24"/>
    </row>
    <row r="28" spans="1:13">
      <c r="A28" s="24"/>
      <c r="B28" s="24"/>
      <c r="C28" s="24"/>
      <c r="D28" s="24"/>
      <c r="E28" s="24"/>
      <c r="F28" s="24"/>
      <c r="G28" s="24"/>
      <c r="H28" s="24"/>
    </row>
    <row r="29" spans="1:13">
      <c r="A29" s="24"/>
      <c r="B29" s="24"/>
      <c r="C29" s="24"/>
      <c r="D29" s="24"/>
      <c r="E29" s="24"/>
      <c r="F29" s="24"/>
      <c r="G29" s="24"/>
      <c r="H29" s="24"/>
    </row>
    <row r="30" spans="1:13">
      <c r="A30" s="24"/>
      <c r="B30" s="24"/>
      <c r="C30" s="24"/>
      <c r="D30" s="24"/>
      <c r="E30" s="24"/>
      <c r="F30" s="24"/>
      <c r="G30" s="24"/>
      <c r="H30" s="24"/>
    </row>
    <row r="31" spans="1:13" ht="15.75">
      <c r="A31" s="24"/>
      <c r="B31" s="25" t="s">
        <v>27</v>
      </c>
      <c r="C31" s="1146" t="str">
        <f>Advisor</f>
        <v>Dr. Vladimir Zlatev</v>
      </c>
      <c r="D31" s="1146"/>
      <c r="E31" s="24"/>
      <c r="F31" s="24"/>
      <c r="G31" s="24"/>
      <c r="H31" s="24"/>
    </row>
    <row r="32" spans="1:13">
      <c r="A32" s="24"/>
      <c r="B32" s="24"/>
      <c r="C32" s="24"/>
      <c r="D32" s="24"/>
      <c r="E32" s="24"/>
      <c r="F32" s="24"/>
      <c r="G32" s="24"/>
      <c r="H32" s="24"/>
    </row>
    <row r="33" spans="1:8">
      <c r="A33" s="24"/>
      <c r="B33" s="24"/>
      <c r="C33" s="24"/>
      <c r="D33" s="24"/>
      <c r="E33" s="24"/>
      <c r="F33" s="24"/>
      <c r="G33" s="24"/>
      <c r="H33" s="24"/>
    </row>
    <row r="35" spans="1:8" ht="15.75">
      <c r="B35" s="18" t="s">
        <v>25</v>
      </c>
      <c r="C35" s="1145">
        <f>IF(Date="","",Date)</f>
        <v>45019</v>
      </c>
      <c r="D35" s="1145"/>
    </row>
    <row r="36" spans="1:8">
      <c r="B36" s="18"/>
    </row>
    <row r="37" spans="1:8">
      <c r="B37" s="18"/>
    </row>
    <row r="38" spans="1:8">
      <c r="B38" s="18"/>
    </row>
    <row r="39" spans="1:8">
      <c r="B39" s="18"/>
    </row>
    <row r="40" spans="1:8">
      <c r="B40" s="18"/>
    </row>
    <row r="42" spans="1:8" ht="6.6" customHeight="1"/>
    <row r="43" spans="1:8" ht="4.3499999999999996" hidden="1" customHeight="1"/>
    <row r="44" spans="1:8" hidden="1"/>
    <row r="45" spans="1:8" hidden="1"/>
    <row r="46" spans="1:8" ht="17.45" customHeight="1">
      <c r="A46" s="23"/>
      <c r="B46" s="1144"/>
      <c r="C46" s="1144"/>
      <c r="D46" s="1144"/>
      <c r="E46" s="1144"/>
      <c r="F46" s="1144"/>
      <c r="G46" s="1144"/>
      <c r="H46" s="1144"/>
    </row>
    <row r="47" spans="1:8">
      <c r="A47" s="22" t="s">
        <v>32</v>
      </c>
    </row>
    <row r="48" spans="1:8">
      <c r="B48" s="20"/>
      <c r="C48" s="20"/>
      <c r="D48" s="20"/>
      <c r="E48" s="20"/>
      <c r="F48" s="20"/>
      <c r="G48" s="20"/>
      <c r="H48" s="20"/>
    </row>
    <row r="49" spans="1:8">
      <c r="A49" s="21" t="s">
        <v>31</v>
      </c>
      <c r="B49" s="20"/>
      <c r="C49" s="20"/>
      <c r="D49" s="20"/>
      <c r="E49" s="20"/>
      <c r="F49" s="20"/>
      <c r="G49" s="20"/>
      <c r="H49" s="20"/>
    </row>
    <row r="50" spans="1:8">
      <c r="B50" s="20"/>
      <c r="C50" s="20"/>
      <c r="D50" s="20"/>
      <c r="E50" s="20"/>
      <c r="F50" s="20"/>
      <c r="G50" s="20"/>
      <c r="H50" s="20"/>
    </row>
    <row r="51" spans="1:8">
      <c r="A51" s="20"/>
      <c r="B51" s="20"/>
      <c r="C51" s="20"/>
      <c r="D51" s="20"/>
      <c r="E51" s="20"/>
      <c r="F51" s="20"/>
      <c r="G51" s="20"/>
      <c r="H51" s="20"/>
    </row>
    <row r="52" spans="1:8">
      <c r="A52" s="20"/>
      <c r="B52" s="20"/>
      <c r="C52" s="20"/>
      <c r="D52" s="20"/>
      <c r="E52" s="20"/>
      <c r="F52" s="20"/>
      <c r="G52" s="20"/>
      <c r="H52" s="20"/>
    </row>
    <row r="53" spans="1:8">
      <c r="A53" s="20"/>
      <c r="B53" s="20"/>
      <c r="C53" s="20"/>
      <c r="D53" s="20"/>
      <c r="E53" s="20"/>
      <c r="F53" s="20"/>
      <c r="G53" s="20"/>
      <c r="H53" s="20"/>
    </row>
    <row r="54" spans="1:8">
      <c r="A54" s="20"/>
      <c r="B54" s="20"/>
      <c r="C54" s="20"/>
      <c r="D54" s="20"/>
      <c r="E54" s="20"/>
      <c r="F54" s="20"/>
      <c r="G54" s="20"/>
      <c r="H54" s="20"/>
    </row>
    <row r="55" spans="1:8">
      <c r="H55" s="19"/>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honeticPr fontId="87" type="noConversion"/>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7"/>
  </sheetPr>
  <dimension ref="A1:U520"/>
  <sheetViews>
    <sheetView showGridLines="0" showRowColHeaders="0" zoomScaleNormal="100" workbookViewId="0"/>
  </sheetViews>
  <sheetFormatPr defaultColWidth="9.140625" defaultRowHeight="15"/>
  <cols>
    <col min="1" max="1" width="10" style="171" customWidth="1"/>
    <col min="2" max="5" width="9.140625" style="171"/>
    <col min="6" max="6" width="18.42578125" style="171" customWidth="1"/>
    <col min="7" max="7" width="3.42578125" style="171" customWidth="1"/>
    <col min="8" max="13" width="9.140625" style="171"/>
    <col min="14" max="14" width="3.42578125" style="171" customWidth="1"/>
    <col min="15" max="16384" width="9.140625" style="171"/>
  </cols>
  <sheetData>
    <row r="1" spans="1:21" ht="25.5" customHeight="1">
      <c r="B1" s="1158" t="s">
        <v>394</v>
      </c>
      <c r="C1" s="1158"/>
      <c r="D1" s="1158"/>
      <c r="E1" s="1158"/>
      <c r="F1" s="1158"/>
      <c r="G1" s="1158"/>
      <c r="H1" s="1158"/>
      <c r="I1" s="1158"/>
      <c r="J1" s="1158"/>
      <c r="K1" s="1158"/>
      <c r="L1" s="1158"/>
      <c r="M1" s="1158"/>
      <c r="N1" s="1158"/>
      <c r="O1" s="1158"/>
      <c r="P1" s="1158"/>
      <c r="Q1" s="1158"/>
      <c r="R1" s="1158"/>
      <c r="S1" s="1158"/>
      <c r="T1" s="1158"/>
    </row>
    <row r="2" spans="1:21" ht="15.75" thickBot="1">
      <c r="A2" s="172"/>
      <c r="B2" s="1159"/>
      <c r="C2" s="1159"/>
      <c r="D2" s="1159"/>
      <c r="E2" s="1159"/>
      <c r="F2" s="1159"/>
      <c r="G2" s="1159"/>
      <c r="H2" s="1159"/>
      <c r="I2" s="1159"/>
      <c r="J2" s="1159"/>
      <c r="K2" s="1159"/>
      <c r="L2" s="1159"/>
      <c r="M2" s="1159"/>
      <c r="N2" s="1159"/>
      <c r="O2" s="1159"/>
      <c r="P2" s="1159"/>
      <c r="Q2" s="1159"/>
      <c r="R2" s="1159"/>
      <c r="S2" s="1159"/>
      <c r="T2" s="1159"/>
    </row>
    <row r="3" spans="1:21" s="173" customFormat="1" ht="15.75">
      <c r="A3" s="1160" t="s">
        <v>395</v>
      </c>
      <c r="B3" s="1160"/>
      <c r="C3" s="1160"/>
      <c r="D3" s="1160"/>
      <c r="E3" s="1160"/>
      <c r="F3" s="1160"/>
      <c r="H3" s="1157" t="s">
        <v>646</v>
      </c>
      <c r="I3" s="1157"/>
      <c r="J3" s="1157"/>
      <c r="K3" s="1157"/>
      <c r="L3" s="1157"/>
      <c r="M3" s="1157"/>
      <c r="O3" s="1151" t="s">
        <v>649</v>
      </c>
      <c r="P3" s="1151"/>
      <c r="Q3" s="1151"/>
      <c r="R3" s="1151"/>
      <c r="S3" s="1151"/>
      <c r="T3" s="1151"/>
      <c r="U3" s="173" t="s">
        <v>396</v>
      </c>
    </row>
    <row r="4" spans="1:21" ht="55.5" customHeight="1"/>
    <row r="5" spans="1:21" ht="20.100000000000001" customHeight="1">
      <c r="B5" s="174"/>
    </row>
    <row r="6" spans="1:21" ht="15.75">
      <c r="O6" s="1151" t="s">
        <v>650</v>
      </c>
      <c r="P6" s="1151"/>
      <c r="Q6" s="1151"/>
      <c r="R6" s="1151"/>
      <c r="S6" s="1151"/>
      <c r="T6" s="1151"/>
    </row>
    <row r="7" spans="1:21" ht="19.5" customHeight="1">
      <c r="H7" s="1157" t="s">
        <v>647</v>
      </c>
      <c r="I7" s="1157"/>
      <c r="J7" s="1157"/>
      <c r="K7" s="1157"/>
      <c r="L7" s="1157"/>
      <c r="M7" s="1157"/>
    </row>
    <row r="8" spans="1:21" ht="28.5" customHeight="1"/>
    <row r="9" spans="1:21" ht="18" customHeight="1"/>
    <row r="10" spans="1:21" ht="15.75">
      <c r="A10" s="1160" t="s">
        <v>397</v>
      </c>
      <c r="B10" s="1160"/>
      <c r="C10" s="1160"/>
      <c r="D10" s="1160"/>
      <c r="E10" s="1160"/>
      <c r="F10" s="1160"/>
      <c r="O10" s="1151" t="s">
        <v>651</v>
      </c>
      <c r="P10" s="1151"/>
      <c r="Q10" s="1151"/>
      <c r="R10" s="1151"/>
      <c r="S10" s="1151"/>
      <c r="T10" s="1151"/>
    </row>
    <row r="11" spans="1:21" ht="18" customHeight="1">
      <c r="C11" s="1156" t="s">
        <v>643</v>
      </c>
      <c r="D11" s="1156"/>
      <c r="E11" s="1156"/>
      <c r="F11" s="1156"/>
    </row>
    <row r="12" spans="1:21" ht="19.5" customHeight="1">
      <c r="C12" s="1156"/>
      <c r="D12" s="1156"/>
      <c r="E12" s="1156"/>
      <c r="F12" s="1156"/>
      <c r="H12" s="1157" t="s">
        <v>648</v>
      </c>
      <c r="I12" s="1157"/>
      <c r="J12" s="1157"/>
      <c r="K12" s="1157"/>
      <c r="L12" s="1157"/>
      <c r="M12" s="1157"/>
    </row>
    <row r="13" spans="1:21">
      <c r="A13" s="754"/>
      <c r="B13" s="754"/>
      <c r="C13" s="754"/>
      <c r="D13" s="754"/>
      <c r="E13" s="754"/>
      <c r="F13" s="754"/>
    </row>
    <row r="14" spans="1:21" ht="15.75">
      <c r="A14" s="1152" t="s">
        <v>644</v>
      </c>
      <c r="B14" s="1153"/>
      <c r="C14" s="1153"/>
      <c r="D14" s="1153"/>
      <c r="E14" s="1153"/>
      <c r="F14" s="1154"/>
      <c r="O14" s="1151" t="s">
        <v>652</v>
      </c>
      <c r="P14" s="1151"/>
      <c r="Q14" s="1151"/>
      <c r="R14" s="1151"/>
      <c r="S14" s="1151"/>
      <c r="T14" s="1151"/>
    </row>
    <row r="15" spans="1:21" ht="39.950000000000003" customHeight="1">
      <c r="C15" s="753" t="s">
        <v>655</v>
      </c>
      <c r="D15" s="1155" t="s">
        <v>654</v>
      </c>
      <c r="E15" s="1155"/>
      <c r="F15" s="1155"/>
    </row>
    <row r="16" spans="1:21" ht="18" customHeight="1">
      <c r="C16" s="752"/>
      <c r="D16" s="751"/>
      <c r="E16" s="751"/>
      <c r="F16" s="751"/>
      <c r="O16" s="1151" t="s">
        <v>653</v>
      </c>
      <c r="P16" s="1151"/>
      <c r="Q16" s="1151"/>
      <c r="R16" s="1151"/>
      <c r="S16" s="1151"/>
      <c r="T16" s="1151"/>
    </row>
    <row r="17" spans="1:20" ht="15.75">
      <c r="A17" s="1149" t="s">
        <v>645</v>
      </c>
      <c r="B17" s="1149"/>
      <c r="C17" s="1149"/>
      <c r="D17" s="1149"/>
      <c r="E17" s="1149"/>
      <c r="F17" s="1149"/>
    </row>
    <row r="19" spans="1:20" ht="45" customHeight="1"/>
    <row r="21" spans="1:20" ht="15.75">
      <c r="O21" s="175"/>
      <c r="P21" s="175"/>
      <c r="Q21" s="175"/>
      <c r="R21" s="175"/>
      <c r="S21" s="175"/>
      <c r="T21" s="175"/>
    </row>
    <row r="22" spans="1:20" ht="45" customHeight="1"/>
    <row r="25" spans="1:20" ht="45" customHeight="1"/>
    <row r="35" spans="1:6" ht="15.75">
      <c r="A35" s="1150" t="s">
        <v>395</v>
      </c>
      <c r="B35" s="1150"/>
      <c r="C35" s="1150"/>
      <c r="D35" s="1150"/>
      <c r="E35" s="1150"/>
      <c r="F35" s="1150"/>
    </row>
    <row r="36" spans="1:6">
      <c r="A36" s="356" t="s">
        <v>483</v>
      </c>
      <c r="B36" s="357" t="s">
        <v>484</v>
      </c>
      <c r="C36" s="358"/>
      <c r="D36" s="358"/>
      <c r="E36" s="358"/>
      <c r="F36" s="358"/>
    </row>
    <row r="53" spans="1:6">
      <c r="A53" s="356" t="s">
        <v>485</v>
      </c>
      <c r="B53" s="357" t="s">
        <v>486</v>
      </c>
      <c r="C53" s="358"/>
      <c r="D53" s="358"/>
      <c r="E53" s="358"/>
      <c r="F53" s="358"/>
    </row>
    <row r="72" spans="1:6">
      <c r="A72" s="356" t="s">
        <v>487</v>
      </c>
      <c r="B72" s="357" t="s">
        <v>488</v>
      </c>
      <c r="C72" s="358"/>
      <c r="D72" s="358"/>
      <c r="E72" s="358"/>
      <c r="F72" s="358"/>
    </row>
    <row r="129" spans="1:6">
      <c r="A129" s="356" t="s">
        <v>489</v>
      </c>
      <c r="B129" s="357" t="s">
        <v>490</v>
      </c>
      <c r="C129" s="358"/>
      <c r="D129" s="358"/>
      <c r="E129" s="358"/>
      <c r="F129" s="358"/>
    </row>
    <row r="130" spans="1:6">
      <c r="A130" s="748"/>
      <c r="B130" s="749"/>
      <c r="C130" s="750"/>
      <c r="D130" s="750"/>
      <c r="E130" s="750"/>
      <c r="F130" s="750"/>
    </row>
    <row r="131" spans="1:6">
      <c r="A131" s="748"/>
      <c r="B131" s="749"/>
      <c r="C131" s="750"/>
      <c r="D131" s="750"/>
      <c r="E131" s="750"/>
      <c r="F131" s="750"/>
    </row>
    <row r="132" spans="1:6">
      <c r="A132" s="748"/>
      <c r="B132" s="749"/>
      <c r="C132" s="750"/>
      <c r="D132" s="750"/>
      <c r="E132" s="750"/>
      <c r="F132" s="750"/>
    </row>
    <row r="133" spans="1:6">
      <c r="A133" s="356" t="s">
        <v>491</v>
      </c>
      <c r="B133" s="357" t="s">
        <v>642</v>
      </c>
      <c r="C133" s="358"/>
      <c r="D133" s="358"/>
      <c r="E133" s="358"/>
      <c r="F133" s="358"/>
    </row>
    <row r="134" spans="1:6">
      <c r="A134" s="748"/>
      <c r="B134" s="749"/>
      <c r="C134" s="750"/>
      <c r="D134" s="750"/>
      <c r="E134" s="750"/>
      <c r="F134" s="750"/>
    </row>
    <row r="135" spans="1:6">
      <c r="A135" s="748"/>
      <c r="B135" s="749"/>
      <c r="C135" s="750"/>
      <c r="D135" s="750"/>
      <c r="E135" s="750"/>
      <c r="F135" s="750"/>
    </row>
    <row r="136" spans="1:6">
      <c r="A136" s="748"/>
      <c r="B136" s="749"/>
      <c r="C136" s="750"/>
      <c r="D136" s="750"/>
      <c r="E136" s="750"/>
      <c r="F136" s="750"/>
    </row>
    <row r="137" spans="1:6">
      <c r="A137" s="356" t="s">
        <v>493</v>
      </c>
      <c r="B137" s="357" t="s">
        <v>492</v>
      </c>
      <c r="C137" s="358"/>
      <c r="D137" s="358"/>
      <c r="E137" s="358"/>
      <c r="F137" s="358"/>
    </row>
    <row r="138" spans="1:6">
      <c r="A138" s="748"/>
      <c r="B138" s="749"/>
      <c r="C138" s="750"/>
      <c r="D138" s="750"/>
      <c r="E138" s="750"/>
      <c r="F138" s="750"/>
    </row>
    <row r="139" spans="1:6">
      <c r="A139" s="748"/>
      <c r="B139" s="749"/>
      <c r="C139" s="750"/>
      <c r="D139" s="750"/>
      <c r="E139" s="750"/>
      <c r="F139" s="750"/>
    </row>
    <row r="140" spans="1:6">
      <c r="A140" s="748"/>
      <c r="B140" s="749"/>
      <c r="C140" s="750"/>
      <c r="D140" s="750"/>
      <c r="E140" s="750"/>
      <c r="F140" s="750"/>
    </row>
    <row r="141" spans="1:6">
      <c r="A141" s="356" t="s">
        <v>495</v>
      </c>
      <c r="B141" s="357" t="s">
        <v>494</v>
      </c>
      <c r="C141" s="358"/>
      <c r="D141" s="358"/>
      <c r="E141" s="358"/>
      <c r="F141" s="358"/>
    </row>
    <row r="142" spans="1:6">
      <c r="A142" s="748"/>
      <c r="B142" s="749"/>
      <c r="C142" s="750"/>
      <c r="D142" s="750"/>
      <c r="E142" s="750"/>
      <c r="F142" s="750"/>
    </row>
    <row r="143" spans="1:6">
      <c r="A143" s="748"/>
      <c r="B143" s="749"/>
      <c r="C143" s="750"/>
      <c r="D143" s="750"/>
      <c r="E143" s="750"/>
      <c r="F143" s="750"/>
    </row>
    <row r="144" spans="1:6">
      <c r="A144" s="748"/>
      <c r="B144" s="749"/>
      <c r="C144" s="750"/>
      <c r="D144" s="750"/>
      <c r="E144" s="750"/>
      <c r="F144" s="750"/>
    </row>
    <row r="145" spans="1:6">
      <c r="A145" s="356" t="s">
        <v>497</v>
      </c>
      <c r="B145" s="357" t="s">
        <v>496</v>
      </c>
      <c r="C145" s="358"/>
      <c r="D145" s="358"/>
      <c r="E145" s="358"/>
      <c r="F145" s="358"/>
    </row>
    <row r="146" spans="1:6">
      <c r="A146" s="748"/>
      <c r="B146" s="749"/>
      <c r="C146" s="750"/>
      <c r="D146" s="750"/>
      <c r="E146" s="750"/>
      <c r="F146" s="750"/>
    </row>
    <row r="147" spans="1:6">
      <c r="A147" s="748"/>
      <c r="B147" s="749"/>
      <c r="C147" s="750"/>
      <c r="D147" s="750"/>
      <c r="E147" s="750"/>
      <c r="F147" s="750"/>
    </row>
    <row r="148" spans="1:6">
      <c r="A148" s="748"/>
      <c r="B148" s="749"/>
      <c r="C148" s="750"/>
      <c r="D148" s="750"/>
      <c r="E148" s="750"/>
      <c r="F148" s="750"/>
    </row>
    <row r="149" spans="1:6">
      <c r="A149" s="356" t="s">
        <v>499</v>
      </c>
      <c r="B149" s="357" t="s">
        <v>498</v>
      </c>
      <c r="C149" s="358"/>
      <c r="D149" s="358"/>
      <c r="E149" s="358"/>
      <c r="F149" s="358"/>
    </row>
    <row r="150" spans="1:6">
      <c r="A150" s="748"/>
      <c r="B150" s="749"/>
      <c r="C150" s="750"/>
      <c r="D150" s="750"/>
      <c r="E150" s="750"/>
      <c r="F150" s="750"/>
    </row>
    <row r="151" spans="1:6">
      <c r="A151" s="748"/>
      <c r="B151" s="749"/>
      <c r="C151" s="750"/>
      <c r="D151" s="750"/>
      <c r="E151" s="750"/>
      <c r="F151" s="750"/>
    </row>
    <row r="152" spans="1:6">
      <c r="A152" s="748"/>
      <c r="B152" s="749"/>
      <c r="C152" s="750"/>
      <c r="D152" s="750"/>
      <c r="E152" s="750"/>
      <c r="F152" s="750"/>
    </row>
    <row r="153" spans="1:6">
      <c r="A153" s="356" t="s">
        <v>501</v>
      </c>
      <c r="B153" s="357" t="s">
        <v>500</v>
      </c>
      <c r="C153" s="358"/>
      <c r="D153" s="358"/>
      <c r="E153" s="358"/>
      <c r="F153" s="358"/>
    </row>
    <row r="154" spans="1:6">
      <c r="A154" s="748"/>
      <c r="B154" s="749"/>
      <c r="C154" s="750"/>
      <c r="D154" s="750"/>
      <c r="E154" s="750"/>
      <c r="F154" s="750"/>
    </row>
    <row r="155" spans="1:6">
      <c r="A155" s="748"/>
      <c r="B155" s="749"/>
      <c r="C155" s="750"/>
      <c r="D155" s="750"/>
      <c r="E155" s="750"/>
      <c r="F155" s="750"/>
    </row>
    <row r="156" spans="1:6">
      <c r="A156" s="748"/>
      <c r="B156" s="749"/>
      <c r="C156" s="750"/>
      <c r="D156" s="750"/>
      <c r="E156" s="750"/>
      <c r="F156" s="750"/>
    </row>
    <row r="157" spans="1:6">
      <c r="A157" s="356" t="s">
        <v>503</v>
      </c>
      <c r="B157" s="357" t="s">
        <v>502</v>
      </c>
      <c r="C157" s="358"/>
      <c r="D157" s="358"/>
      <c r="E157" s="358"/>
      <c r="F157" s="358"/>
    </row>
    <row r="158" spans="1:6">
      <c r="A158" s="748"/>
      <c r="B158" s="749"/>
      <c r="C158" s="750"/>
      <c r="D158" s="750"/>
      <c r="E158" s="750"/>
      <c r="F158" s="750"/>
    </row>
    <row r="159" spans="1:6">
      <c r="A159" s="748"/>
      <c r="B159" s="749"/>
      <c r="C159" s="750"/>
      <c r="D159" s="750"/>
      <c r="E159" s="750"/>
      <c r="F159" s="750"/>
    </row>
    <row r="160" spans="1:6">
      <c r="A160" s="748"/>
      <c r="B160" s="749"/>
      <c r="C160" s="750"/>
      <c r="D160" s="750"/>
      <c r="E160" s="750"/>
      <c r="F160" s="750"/>
    </row>
    <row r="161" spans="1:6">
      <c r="A161" s="748"/>
      <c r="B161" s="749"/>
      <c r="C161" s="750"/>
      <c r="D161" s="750"/>
      <c r="E161" s="750"/>
      <c r="F161" s="750"/>
    </row>
    <row r="179" spans="1:6" ht="15.75">
      <c r="A179" s="1149" t="s">
        <v>645</v>
      </c>
      <c r="B179" s="1149"/>
      <c r="C179" s="1149"/>
      <c r="D179" s="1149"/>
      <c r="E179" s="1149"/>
      <c r="F179" s="1149"/>
    </row>
    <row r="180" spans="1:6">
      <c r="A180" s="755" t="s">
        <v>483</v>
      </c>
      <c r="B180" s="756" t="s">
        <v>656</v>
      </c>
      <c r="C180" s="757"/>
      <c r="D180" s="757"/>
      <c r="E180" s="757"/>
      <c r="F180" s="757"/>
    </row>
    <row r="189" spans="1:6">
      <c r="A189" s="755" t="s">
        <v>485</v>
      </c>
      <c r="B189" s="756" t="s">
        <v>657</v>
      </c>
      <c r="C189" s="757"/>
      <c r="D189" s="757"/>
      <c r="E189" s="757"/>
      <c r="F189" s="757"/>
    </row>
    <row r="237" spans="1:6" ht="15.75">
      <c r="A237" s="1157" t="s">
        <v>646</v>
      </c>
      <c r="B237" s="1157"/>
      <c r="C237" s="1157"/>
      <c r="D237" s="1157"/>
      <c r="E237" s="1157"/>
      <c r="F237" s="1157"/>
    </row>
    <row r="242" spans="1:6" ht="15.75" customHeight="1">
      <c r="A242" s="758" t="s">
        <v>483</v>
      </c>
      <c r="B242" s="1161" t="s">
        <v>661</v>
      </c>
      <c r="C242" s="1161"/>
      <c r="D242" s="1161"/>
      <c r="E242" s="1161"/>
      <c r="F242" s="1161"/>
    </row>
    <row r="245" spans="1:6" ht="15.75" customHeight="1">
      <c r="A245" s="758" t="s">
        <v>485</v>
      </c>
      <c r="B245" s="1161" t="s">
        <v>401</v>
      </c>
      <c r="C245" s="1161"/>
      <c r="D245" s="1161"/>
      <c r="E245" s="1161"/>
      <c r="F245" s="1161"/>
    </row>
    <row r="246" spans="1:6" ht="15.75">
      <c r="B246" s="759"/>
    </row>
    <row r="248" spans="1:6" ht="15.75" customHeight="1">
      <c r="A248" s="758" t="s">
        <v>487</v>
      </c>
      <c r="B248" s="1161" t="s">
        <v>662</v>
      </c>
      <c r="C248" s="1161"/>
      <c r="D248" s="1161"/>
      <c r="E248" s="1161"/>
      <c r="F248" s="1161"/>
    </row>
    <row r="251" spans="1:6" ht="15.75" customHeight="1">
      <c r="A251" s="758" t="s">
        <v>489</v>
      </c>
      <c r="B251" s="1161" t="s">
        <v>663</v>
      </c>
      <c r="C251" s="1161"/>
      <c r="D251" s="1161"/>
      <c r="E251" s="1161"/>
      <c r="F251" s="1161"/>
    </row>
    <row r="255" spans="1:6" ht="15.75" customHeight="1">
      <c r="A255" s="758" t="s">
        <v>491</v>
      </c>
      <c r="B255" s="1161" t="s">
        <v>664</v>
      </c>
      <c r="C255" s="1161"/>
      <c r="D255" s="1161"/>
      <c r="E255" s="1161"/>
      <c r="F255" s="1161"/>
    </row>
    <row r="274" spans="1:6" ht="15.75">
      <c r="A274" s="1157" t="s">
        <v>647</v>
      </c>
      <c r="B274" s="1157"/>
      <c r="C274" s="1157"/>
      <c r="D274" s="1157"/>
      <c r="E274" s="1157"/>
      <c r="F274" s="1157"/>
    </row>
    <row r="275" spans="1:6" ht="15.75">
      <c r="A275" s="760"/>
      <c r="B275" s="760"/>
      <c r="C275" s="760"/>
      <c r="D275" s="760"/>
      <c r="E275" s="760"/>
      <c r="F275" s="760"/>
    </row>
    <row r="276" spans="1:6" ht="15.75">
      <c r="A276" s="760"/>
      <c r="B276" s="760"/>
      <c r="C276" s="760"/>
      <c r="D276" s="760"/>
      <c r="E276" s="760"/>
      <c r="F276" s="760"/>
    </row>
    <row r="277" spans="1:6" ht="15.75">
      <c r="A277" s="760"/>
      <c r="B277" s="760"/>
      <c r="C277" s="760"/>
      <c r="D277" s="760"/>
      <c r="E277" s="760"/>
      <c r="F277" s="760"/>
    </row>
    <row r="278" spans="1:6">
      <c r="A278" s="758" t="s">
        <v>483</v>
      </c>
      <c r="B278" s="1161" t="s">
        <v>143</v>
      </c>
      <c r="C278" s="1161"/>
      <c r="D278" s="1161"/>
      <c r="E278" s="1161"/>
      <c r="F278" s="1161"/>
    </row>
    <row r="279" spans="1:6" ht="15.75">
      <c r="A279" s="760"/>
      <c r="B279" s="760"/>
      <c r="C279" s="760"/>
      <c r="D279" s="760"/>
      <c r="E279" s="760"/>
      <c r="F279" s="760"/>
    </row>
    <row r="280" spans="1:6" ht="15.75">
      <c r="A280" s="760"/>
      <c r="B280" s="760"/>
      <c r="C280" s="760"/>
      <c r="D280" s="760"/>
      <c r="E280" s="760"/>
      <c r="F280" s="760"/>
    </row>
    <row r="281" spans="1:6" ht="15.75">
      <c r="A281" s="760"/>
      <c r="B281" s="760"/>
      <c r="C281" s="760"/>
      <c r="D281" s="760"/>
      <c r="E281" s="760"/>
      <c r="F281" s="760"/>
    </row>
    <row r="282" spans="1:6" ht="15.75">
      <c r="A282" s="760"/>
      <c r="B282" s="760"/>
      <c r="C282" s="760"/>
      <c r="D282" s="760"/>
      <c r="E282" s="760"/>
      <c r="F282" s="760"/>
    </row>
    <row r="283" spans="1:6" ht="15.75">
      <c r="A283" s="760"/>
      <c r="B283" s="760"/>
      <c r="C283" s="760"/>
      <c r="D283" s="760"/>
      <c r="E283" s="760"/>
      <c r="F283" s="760"/>
    </row>
    <row r="284" spans="1:6" ht="15.75">
      <c r="A284" s="760"/>
      <c r="B284" s="760"/>
      <c r="C284" s="760"/>
      <c r="D284" s="760"/>
      <c r="E284" s="760"/>
      <c r="F284" s="760"/>
    </row>
    <row r="285" spans="1:6">
      <c r="A285" s="758" t="s">
        <v>485</v>
      </c>
      <c r="B285" s="1161" t="s">
        <v>14</v>
      </c>
      <c r="C285" s="1161"/>
      <c r="D285" s="1161"/>
      <c r="E285" s="1161"/>
      <c r="F285" s="1161"/>
    </row>
    <row r="286" spans="1:6" ht="15.75">
      <c r="A286" s="760"/>
      <c r="B286" s="760"/>
      <c r="C286" s="760"/>
      <c r="D286" s="760"/>
      <c r="E286" s="760"/>
      <c r="F286" s="760"/>
    </row>
    <row r="287" spans="1:6" ht="15.75">
      <c r="A287" s="760"/>
      <c r="B287" s="760"/>
      <c r="C287" s="760"/>
      <c r="D287" s="760"/>
      <c r="E287" s="760"/>
      <c r="F287" s="760"/>
    </row>
    <row r="288" spans="1:6" ht="15.75">
      <c r="A288" s="760"/>
      <c r="B288" s="760"/>
      <c r="C288" s="760"/>
      <c r="D288" s="760"/>
      <c r="E288" s="760"/>
      <c r="F288" s="760"/>
    </row>
    <row r="289" spans="1:12" ht="15.75">
      <c r="A289" s="760"/>
      <c r="B289" s="760"/>
      <c r="C289" s="760"/>
      <c r="D289" s="760"/>
      <c r="E289" s="760"/>
      <c r="F289" s="760"/>
    </row>
    <row r="290" spans="1:12" ht="15.75">
      <c r="A290" s="760"/>
      <c r="B290" s="760"/>
      <c r="C290" s="760"/>
      <c r="D290" s="760"/>
      <c r="E290" s="760"/>
      <c r="F290" s="760"/>
    </row>
    <row r="291" spans="1:12" ht="15.75">
      <c r="A291" s="760"/>
      <c r="B291" s="760"/>
      <c r="C291" s="760"/>
      <c r="D291" s="760"/>
      <c r="E291" s="760"/>
      <c r="F291" s="760"/>
    </row>
    <row r="292" spans="1:12" ht="15.75">
      <c r="A292" s="760"/>
      <c r="B292" s="760"/>
      <c r="C292" s="760"/>
      <c r="D292" s="760"/>
      <c r="E292" s="760"/>
      <c r="F292" s="760"/>
    </row>
    <row r="293" spans="1:12" ht="15.75">
      <c r="A293" s="760"/>
      <c r="B293" s="760"/>
      <c r="C293" s="760"/>
      <c r="D293" s="760"/>
      <c r="E293" s="760"/>
      <c r="F293" s="760"/>
    </row>
    <row r="294" spans="1:12" ht="15.75">
      <c r="A294" s="760"/>
      <c r="B294" s="760"/>
      <c r="C294" s="760"/>
      <c r="D294" s="760"/>
      <c r="E294" s="760"/>
      <c r="F294" s="760"/>
    </row>
    <row r="295" spans="1:12">
      <c r="A295" s="758" t="s">
        <v>487</v>
      </c>
      <c r="B295" s="1161" t="s">
        <v>665</v>
      </c>
      <c r="C295" s="1161"/>
      <c r="D295" s="1161"/>
      <c r="E295" s="1161"/>
      <c r="F295" s="1161"/>
    </row>
    <row r="296" spans="1:12" ht="15.75">
      <c r="A296" s="760"/>
      <c r="B296" s="760"/>
      <c r="C296" s="760"/>
      <c r="D296" s="760"/>
      <c r="E296" s="760"/>
      <c r="F296" s="760"/>
    </row>
    <row r="297" spans="1:12" ht="15.75">
      <c r="A297" s="760"/>
      <c r="B297" s="760"/>
      <c r="C297" s="760"/>
      <c r="D297" s="760"/>
      <c r="E297" s="760"/>
      <c r="F297" s="760"/>
    </row>
    <row r="298" spans="1:12" ht="15.75">
      <c r="A298" s="760"/>
      <c r="B298" s="760"/>
      <c r="C298" s="760"/>
      <c r="D298" s="760"/>
      <c r="E298" s="760"/>
      <c r="F298" s="760"/>
    </row>
    <row r="299" spans="1:12" ht="15.75">
      <c r="A299" s="760"/>
      <c r="B299" s="760"/>
      <c r="C299" s="760"/>
      <c r="D299" s="760"/>
      <c r="E299" s="760"/>
      <c r="F299" s="760"/>
    </row>
    <row r="300" spans="1:12" ht="15.75">
      <c r="A300" s="760"/>
      <c r="B300" s="760"/>
      <c r="C300" s="760"/>
      <c r="D300" s="760"/>
      <c r="E300" s="760"/>
      <c r="F300" s="760"/>
    </row>
    <row r="301" spans="1:12" ht="15.75">
      <c r="A301" s="760"/>
      <c r="B301" s="760"/>
      <c r="C301" s="760"/>
      <c r="D301" s="760"/>
      <c r="E301" s="760"/>
      <c r="F301" s="760"/>
      <c r="L301" s="761"/>
    </row>
    <row r="302" spans="1:12" ht="15.75">
      <c r="A302" s="760"/>
      <c r="B302" s="760"/>
      <c r="C302" s="760"/>
      <c r="D302" s="760"/>
      <c r="E302" s="760"/>
      <c r="F302" s="760"/>
    </row>
    <row r="303" spans="1:12">
      <c r="A303" s="758" t="s">
        <v>489</v>
      </c>
      <c r="B303" s="1161" t="s">
        <v>142</v>
      </c>
      <c r="C303" s="1161"/>
      <c r="D303" s="1161"/>
      <c r="E303" s="1161"/>
      <c r="F303" s="1161"/>
    </row>
    <row r="304" spans="1:12" ht="15.75">
      <c r="A304" s="760"/>
      <c r="B304" s="760"/>
      <c r="C304" s="760"/>
      <c r="D304" s="760"/>
      <c r="E304" s="760"/>
      <c r="F304" s="760"/>
    </row>
    <row r="305" spans="1:6" ht="15.75">
      <c r="A305" s="760"/>
      <c r="B305" s="760"/>
      <c r="C305" s="760"/>
      <c r="D305" s="760"/>
      <c r="E305" s="760"/>
      <c r="F305" s="760"/>
    </row>
    <row r="306" spans="1:6" ht="15.75">
      <c r="A306" s="760"/>
      <c r="B306" s="760"/>
      <c r="C306" s="760"/>
      <c r="D306" s="760"/>
      <c r="E306" s="760"/>
      <c r="F306" s="760"/>
    </row>
    <row r="307" spans="1:6" ht="15.75">
      <c r="A307" s="760"/>
      <c r="B307" s="760"/>
      <c r="C307" s="760"/>
      <c r="D307" s="760"/>
      <c r="E307" s="760"/>
      <c r="F307" s="760"/>
    </row>
    <row r="308" spans="1:6" ht="15.75">
      <c r="A308" s="760"/>
      <c r="B308" s="760"/>
      <c r="C308" s="760"/>
      <c r="D308" s="760"/>
      <c r="E308" s="760"/>
      <c r="F308" s="760"/>
    </row>
    <row r="309" spans="1:6" ht="15.75">
      <c r="A309" s="760"/>
      <c r="B309" s="760"/>
      <c r="C309" s="760"/>
      <c r="D309" s="760"/>
      <c r="E309" s="760"/>
      <c r="F309" s="760"/>
    </row>
    <row r="310" spans="1:6" ht="15.75">
      <c r="A310" s="760"/>
      <c r="B310" s="760"/>
      <c r="C310" s="760"/>
      <c r="D310" s="760"/>
      <c r="E310" s="760"/>
      <c r="F310" s="760"/>
    </row>
    <row r="311" spans="1:6" ht="15.75">
      <c r="A311" s="760"/>
      <c r="B311" s="760"/>
      <c r="C311" s="760"/>
      <c r="D311" s="760"/>
      <c r="E311" s="760"/>
      <c r="F311" s="760"/>
    </row>
    <row r="312" spans="1:6" ht="15.75">
      <c r="A312" s="760"/>
      <c r="B312" s="760"/>
      <c r="C312" s="760"/>
      <c r="D312" s="760"/>
      <c r="E312" s="760"/>
      <c r="F312" s="760"/>
    </row>
    <row r="313" spans="1:6" ht="15.75">
      <c r="A313" s="760"/>
      <c r="B313" s="760"/>
      <c r="C313" s="760"/>
      <c r="D313" s="760"/>
      <c r="E313" s="760"/>
      <c r="F313" s="760"/>
    </row>
    <row r="314" spans="1:6" ht="15.75">
      <c r="A314" s="760"/>
      <c r="B314" s="760"/>
      <c r="C314" s="760"/>
      <c r="D314" s="760"/>
      <c r="E314" s="760"/>
      <c r="F314" s="760"/>
    </row>
    <row r="315" spans="1:6" ht="15.75">
      <c r="A315" s="760"/>
      <c r="B315" s="760"/>
      <c r="C315" s="760"/>
      <c r="D315" s="760"/>
      <c r="E315" s="760"/>
      <c r="F315" s="760"/>
    </row>
    <row r="316" spans="1:6" ht="15.75">
      <c r="A316" s="760"/>
      <c r="B316" s="760"/>
      <c r="C316" s="760"/>
      <c r="D316" s="760"/>
      <c r="E316" s="760"/>
      <c r="F316" s="760"/>
    </row>
    <row r="317" spans="1:6" ht="15.75">
      <c r="A317" s="760"/>
      <c r="B317" s="760"/>
      <c r="C317" s="760"/>
      <c r="D317" s="760"/>
      <c r="E317" s="760"/>
      <c r="F317" s="760"/>
    </row>
    <row r="318" spans="1:6" ht="15.75">
      <c r="A318" s="760"/>
      <c r="B318" s="760"/>
      <c r="C318" s="760"/>
      <c r="D318" s="760"/>
      <c r="E318" s="760"/>
      <c r="F318" s="760"/>
    </row>
    <row r="319" spans="1:6" ht="15.75">
      <c r="A319" s="760"/>
      <c r="B319" s="760"/>
      <c r="C319" s="760"/>
      <c r="D319" s="760"/>
      <c r="E319" s="760"/>
      <c r="F319" s="760"/>
    </row>
    <row r="320" spans="1:6" ht="15.75">
      <c r="A320" s="760"/>
      <c r="B320" s="760"/>
      <c r="C320" s="760"/>
      <c r="D320" s="760"/>
      <c r="E320" s="760"/>
      <c r="F320" s="760"/>
    </row>
    <row r="321" spans="1:6" ht="15.75">
      <c r="A321" s="760"/>
      <c r="B321" s="760"/>
      <c r="C321" s="760"/>
      <c r="D321" s="760"/>
      <c r="E321" s="760"/>
      <c r="F321" s="760"/>
    </row>
    <row r="322" spans="1:6" ht="15.75">
      <c r="A322" s="760"/>
      <c r="B322" s="760"/>
      <c r="C322" s="760"/>
      <c r="D322" s="760"/>
      <c r="E322" s="760"/>
      <c r="F322" s="760"/>
    </row>
    <row r="323" spans="1:6" ht="15.75">
      <c r="A323" s="760"/>
      <c r="B323" s="760"/>
      <c r="C323" s="760"/>
      <c r="D323" s="760"/>
      <c r="E323" s="760"/>
      <c r="F323" s="760"/>
    </row>
    <row r="324" spans="1:6" ht="15.75">
      <c r="A324" s="760"/>
      <c r="B324" s="760"/>
      <c r="C324" s="760"/>
      <c r="D324" s="760"/>
      <c r="E324" s="760"/>
      <c r="F324" s="760"/>
    </row>
    <row r="325" spans="1:6" ht="15.75">
      <c r="A325" s="1157" t="s">
        <v>648</v>
      </c>
      <c r="B325" s="1157"/>
      <c r="C325" s="1157"/>
      <c r="D325" s="1157"/>
      <c r="E325" s="1157"/>
      <c r="F325" s="1157"/>
    </row>
    <row r="326" spans="1:6">
      <c r="A326" s="758" t="s">
        <v>483</v>
      </c>
      <c r="B326" s="1161" t="s">
        <v>666</v>
      </c>
      <c r="C326" s="1161"/>
      <c r="D326" s="1161"/>
      <c r="E326" s="1161"/>
      <c r="F326" s="1161"/>
    </row>
    <row r="329" spans="1:6">
      <c r="A329" s="758" t="s">
        <v>485</v>
      </c>
      <c r="B329" s="1161" t="s">
        <v>667</v>
      </c>
      <c r="C329" s="1161"/>
      <c r="D329" s="1161"/>
      <c r="E329" s="1161"/>
      <c r="F329" s="1161"/>
    </row>
    <row r="333" spans="1:6">
      <c r="A333" s="758" t="s">
        <v>487</v>
      </c>
      <c r="B333" s="1161" t="s">
        <v>668</v>
      </c>
      <c r="C333" s="1161"/>
      <c r="D333" s="1161"/>
      <c r="E333" s="1161"/>
      <c r="F333" s="1161"/>
    </row>
    <row r="334" spans="1:6" ht="15.75">
      <c r="B334" s="759" t="s">
        <v>670</v>
      </c>
    </row>
    <row r="336" spans="1:6">
      <c r="A336" s="758" t="s">
        <v>489</v>
      </c>
      <c r="B336" s="1161" t="s">
        <v>669</v>
      </c>
      <c r="C336" s="1161"/>
      <c r="D336" s="1161"/>
      <c r="E336" s="1161"/>
      <c r="F336" s="1161"/>
    </row>
    <row r="337" spans="1:6" ht="15.75">
      <c r="B337" s="759" t="s">
        <v>670</v>
      </c>
    </row>
    <row r="339" spans="1:6">
      <c r="A339" s="758" t="s">
        <v>491</v>
      </c>
      <c r="B339" s="1161" t="s">
        <v>474</v>
      </c>
      <c r="C339" s="1161"/>
      <c r="D339" s="1161"/>
      <c r="E339" s="1161"/>
      <c r="F339" s="1161"/>
    </row>
    <row r="356" spans="1:6" ht="15.75">
      <c r="A356" s="1151" t="s">
        <v>649</v>
      </c>
      <c r="B356" s="1151"/>
      <c r="C356" s="1151"/>
      <c r="D356" s="1151"/>
      <c r="E356" s="1151"/>
      <c r="F356" s="1151"/>
    </row>
    <row r="357" spans="1:6">
      <c r="A357" s="762" t="s">
        <v>483</v>
      </c>
      <c r="B357" s="1162" t="s">
        <v>366</v>
      </c>
      <c r="C357" s="1162"/>
      <c r="D357" s="1162"/>
      <c r="E357" s="1162"/>
      <c r="F357" s="1162"/>
    </row>
    <row r="358" spans="1:6" ht="15.75">
      <c r="A358" s="760"/>
      <c r="B358" s="760"/>
      <c r="C358" s="760"/>
      <c r="D358" s="760"/>
      <c r="E358" s="760"/>
      <c r="F358" s="760"/>
    </row>
    <row r="359" spans="1:6" ht="15.75">
      <c r="A359" s="760"/>
      <c r="B359" s="760"/>
      <c r="C359" s="760"/>
      <c r="D359" s="760"/>
      <c r="E359" s="760"/>
      <c r="F359" s="760"/>
    </row>
    <row r="360" spans="1:6" ht="15.75">
      <c r="A360" s="760"/>
      <c r="B360" s="760"/>
      <c r="C360" s="760"/>
      <c r="D360" s="760"/>
      <c r="E360" s="760"/>
      <c r="F360" s="760"/>
    </row>
    <row r="361" spans="1:6" ht="15.75">
      <c r="A361" s="760"/>
      <c r="B361" s="760"/>
      <c r="C361" s="760"/>
      <c r="D361" s="760"/>
      <c r="E361" s="760"/>
      <c r="F361" s="760"/>
    </row>
    <row r="362" spans="1:6" ht="15.75">
      <c r="A362" s="760"/>
      <c r="B362" s="760"/>
      <c r="C362" s="760"/>
      <c r="D362" s="760"/>
      <c r="E362" s="760"/>
      <c r="F362" s="760"/>
    </row>
    <row r="363" spans="1:6" ht="15.75">
      <c r="A363" s="760"/>
      <c r="B363" s="760"/>
      <c r="C363" s="760"/>
      <c r="D363" s="760"/>
      <c r="E363" s="760"/>
      <c r="F363" s="760"/>
    </row>
    <row r="364" spans="1:6">
      <c r="A364" s="762" t="s">
        <v>485</v>
      </c>
      <c r="B364" s="1162" t="s">
        <v>671</v>
      </c>
      <c r="C364" s="1162"/>
      <c r="D364" s="1162"/>
      <c r="E364" s="1162"/>
      <c r="F364" s="1162"/>
    </row>
    <row r="365" spans="1:6" ht="15.75">
      <c r="A365" s="760"/>
      <c r="B365" s="760"/>
      <c r="C365" s="760"/>
      <c r="D365" s="760"/>
      <c r="E365" s="760"/>
      <c r="F365" s="760"/>
    </row>
    <row r="366" spans="1:6" ht="15.75">
      <c r="A366" s="760"/>
      <c r="B366" s="760"/>
      <c r="C366" s="760"/>
      <c r="D366" s="760"/>
      <c r="E366" s="760"/>
      <c r="F366" s="760"/>
    </row>
    <row r="367" spans="1:6" ht="15.75">
      <c r="A367" s="760"/>
      <c r="B367" s="760"/>
      <c r="C367" s="760"/>
      <c r="D367" s="760"/>
      <c r="E367" s="760"/>
      <c r="F367" s="760"/>
    </row>
    <row r="368" spans="1:6" ht="15.75">
      <c r="A368" s="760"/>
      <c r="B368" s="760"/>
      <c r="C368" s="760"/>
      <c r="D368" s="760"/>
      <c r="E368" s="760"/>
      <c r="F368" s="760"/>
    </row>
    <row r="369" spans="1:6" ht="15.75">
      <c r="A369" s="760"/>
      <c r="B369" s="760"/>
      <c r="C369" s="760"/>
      <c r="D369" s="760"/>
      <c r="E369" s="760"/>
      <c r="F369" s="760"/>
    </row>
    <row r="370" spans="1:6" ht="15.75">
      <c r="A370" s="760"/>
      <c r="B370" s="760"/>
      <c r="C370" s="760"/>
      <c r="D370" s="760"/>
      <c r="E370" s="760"/>
      <c r="F370" s="760"/>
    </row>
    <row r="371" spans="1:6" ht="15.75">
      <c r="A371" s="760"/>
      <c r="B371" s="760"/>
      <c r="C371" s="760"/>
      <c r="D371" s="760"/>
      <c r="E371" s="760"/>
      <c r="F371" s="760"/>
    </row>
    <row r="372" spans="1:6" ht="15.75">
      <c r="A372" s="760"/>
      <c r="B372" s="760"/>
      <c r="C372" s="760"/>
      <c r="D372" s="760"/>
      <c r="E372" s="760"/>
      <c r="F372" s="760"/>
    </row>
    <row r="373" spans="1:6" ht="15.75">
      <c r="A373" s="760"/>
      <c r="B373" s="760"/>
      <c r="C373" s="760"/>
      <c r="D373" s="760"/>
      <c r="E373" s="760"/>
      <c r="F373" s="760"/>
    </row>
    <row r="374" spans="1:6" ht="15.75">
      <c r="A374" s="760"/>
      <c r="B374" s="760"/>
      <c r="C374" s="760"/>
      <c r="D374" s="760"/>
      <c r="E374" s="760"/>
      <c r="F374" s="760"/>
    </row>
    <row r="375" spans="1:6" ht="15.75">
      <c r="A375" s="760"/>
      <c r="B375" s="760"/>
      <c r="C375" s="760"/>
      <c r="D375" s="760"/>
      <c r="E375" s="760"/>
      <c r="F375" s="760"/>
    </row>
    <row r="376" spans="1:6" ht="15.75">
      <c r="A376" s="760"/>
      <c r="B376" s="760"/>
      <c r="C376" s="760"/>
      <c r="D376" s="760"/>
      <c r="E376" s="760"/>
      <c r="F376" s="760"/>
    </row>
    <row r="377" spans="1:6" ht="15.75">
      <c r="A377" s="760"/>
      <c r="B377" s="760"/>
      <c r="C377" s="760"/>
      <c r="D377" s="760"/>
      <c r="E377" s="760"/>
      <c r="F377" s="760"/>
    </row>
    <row r="378" spans="1:6" ht="15.75">
      <c r="A378" s="760"/>
      <c r="B378" s="760"/>
      <c r="C378" s="760"/>
      <c r="D378" s="760"/>
      <c r="E378" s="760"/>
      <c r="F378" s="760"/>
    </row>
    <row r="379" spans="1:6" ht="15.75">
      <c r="A379" s="760"/>
      <c r="B379" s="760"/>
      <c r="C379" s="760"/>
      <c r="D379" s="760"/>
      <c r="E379" s="760"/>
      <c r="F379" s="760"/>
    </row>
    <row r="380" spans="1:6" ht="15.75">
      <c r="A380" s="760"/>
      <c r="B380" s="760"/>
      <c r="C380" s="760"/>
      <c r="D380" s="760"/>
      <c r="E380" s="760"/>
      <c r="F380" s="760"/>
    </row>
    <row r="381" spans="1:6" ht="15.75">
      <c r="A381" s="760"/>
      <c r="B381" s="760"/>
      <c r="C381" s="760"/>
      <c r="D381" s="760"/>
      <c r="E381" s="760"/>
      <c r="F381" s="760"/>
    </row>
    <row r="382" spans="1:6" ht="15.75">
      <c r="A382" s="760"/>
      <c r="B382" s="760"/>
      <c r="C382" s="760"/>
      <c r="D382" s="760"/>
      <c r="E382" s="760"/>
      <c r="F382" s="760"/>
    </row>
    <row r="383" spans="1:6" ht="15.75">
      <c r="A383" s="760"/>
      <c r="B383" s="760"/>
      <c r="C383" s="760"/>
      <c r="D383" s="760"/>
      <c r="E383" s="760"/>
      <c r="F383" s="760"/>
    </row>
    <row r="384" spans="1:6" ht="15.75">
      <c r="A384" s="760"/>
      <c r="B384" s="760"/>
      <c r="C384" s="760"/>
      <c r="D384" s="760"/>
      <c r="E384" s="760"/>
      <c r="F384" s="760"/>
    </row>
    <row r="385" spans="1:6">
      <c r="A385" s="762" t="s">
        <v>487</v>
      </c>
      <c r="B385" s="1162" t="s">
        <v>672</v>
      </c>
      <c r="C385" s="1162"/>
      <c r="D385" s="1162"/>
      <c r="E385" s="1162"/>
      <c r="F385" s="1162"/>
    </row>
    <row r="386" spans="1:6" ht="15.75">
      <c r="A386" s="760"/>
      <c r="B386" s="760" t="s">
        <v>519</v>
      </c>
      <c r="C386" s="760"/>
      <c r="D386" s="760"/>
      <c r="E386" s="760"/>
      <c r="F386" s="760"/>
    </row>
    <row r="387" spans="1:6" ht="15.75">
      <c r="A387" s="760"/>
      <c r="B387" s="760"/>
      <c r="C387" s="760"/>
      <c r="D387" s="760"/>
      <c r="E387" s="760"/>
      <c r="F387" s="760"/>
    </row>
    <row r="388" spans="1:6" ht="15.75">
      <c r="A388" s="760"/>
      <c r="B388" s="760"/>
      <c r="C388" s="760"/>
      <c r="D388" s="760"/>
      <c r="E388" s="760"/>
      <c r="F388" s="760"/>
    </row>
    <row r="389" spans="1:6" ht="15.75">
      <c r="A389" s="760"/>
      <c r="B389" s="760"/>
      <c r="C389" s="760"/>
      <c r="D389" s="760"/>
      <c r="E389" s="760"/>
      <c r="F389" s="760"/>
    </row>
    <row r="390" spans="1:6" ht="15.75">
      <c r="A390" s="760"/>
      <c r="B390" s="760"/>
      <c r="C390" s="760"/>
      <c r="D390" s="760"/>
      <c r="E390" s="760"/>
      <c r="F390" s="760"/>
    </row>
    <row r="391" spans="1:6" ht="15.75">
      <c r="A391" s="760"/>
      <c r="B391" s="760"/>
      <c r="C391" s="760"/>
      <c r="D391" s="760"/>
      <c r="E391" s="760"/>
      <c r="F391" s="760"/>
    </row>
    <row r="392" spans="1:6" ht="15.75">
      <c r="A392" s="760"/>
      <c r="B392" s="760"/>
      <c r="C392" s="760"/>
      <c r="D392" s="760"/>
      <c r="E392" s="760"/>
      <c r="F392" s="760"/>
    </row>
    <row r="393" spans="1:6" ht="15.75">
      <c r="A393" s="760"/>
      <c r="B393" s="760"/>
      <c r="C393" s="760"/>
      <c r="D393" s="760"/>
      <c r="E393" s="760"/>
      <c r="F393" s="760"/>
    </row>
    <row r="394" spans="1:6" ht="15.75">
      <c r="A394" s="760"/>
      <c r="B394" s="760"/>
      <c r="C394" s="760"/>
      <c r="D394" s="760"/>
      <c r="E394" s="760"/>
      <c r="F394" s="760"/>
    </row>
    <row r="395" spans="1:6" ht="15.75">
      <c r="A395" s="760"/>
      <c r="B395" s="760"/>
      <c r="C395" s="760"/>
      <c r="D395" s="760"/>
      <c r="E395" s="760"/>
      <c r="F395" s="760"/>
    </row>
    <row r="396" spans="1:6">
      <c r="A396" s="762" t="s">
        <v>489</v>
      </c>
      <c r="B396" s="1162" t="s">
        <v>363</v>
      </c>
      <c r="C396" s="1162"/>
      <c r="D396" s="1162"/>
      <c r="E396" s="1162"/>
      <c r="F396" s="1162"/>
    </row>
    <row r="397" spans="1:6" ht="15.75">
      <c r="A397" s="760"/>
      <c r="B397" s="760"/>
      <c r="C397" s="760"/>
      <c r="D397" s="760"/>
      <c r="E397" s="760"/>
      <c r="F397" s="760"/>
    </row>
    <row r="398" spans="1:6" ht="15.75">
      <c r="A398" s="760"/>
      <c r="B398" s="760"/>
      <c r="C398" s="760"/>
      <c r="D398" s="760"/>
      <c r="E398" s="760"/>
      <c r="F398" s="760"/>
    </row>
    <row r="399" spans="1:6" ht="15.75">
      <c r="A399" s="760"/>
      <c r="B399" s="760"/>
      <c r="C399" s="760"/>
      <c r="D399" s="760"/>
      <c r="E399" s="760"/>
      <c r="F399" s="760"/>
    </row>
    <row r="400" spans="1:6" ht="15.75">
      <c r="A400" s="760"/>
      <c r="B400" s="760"/>
      <c r="C400" s="760"/>
      <c r="D400" s="760"/>
      <c r="E400" s="760"/>
      <c r="F400" s="760"/>
    </row>
    <row r="401" spans="1:6" ht="15.75">
      <c r="A401" s="760"/>
      <c r="B401" s="760"/>
      <c r="C401" s="760"/>
      <c r="D401" s="760"/>
      <c r="E401" s="760"/>
      <c r="F401" s="760"/>
    </row>
    <row r="402" spans="1:6" ht="15.75">
      <c r="A402" s="760"/>
      <c r="B402" s="760"/>
      <c r="C402" s="760"/>
      <c r="D402" s="760"/>
      <c r="E402" s="760"/>
      <c r="F402" s="760"/>
    </row>
    <row r="403" spans="1:6" ht="15.75">
      <c r="A403" s="760"/>
      <c r="B403" s="760"/>
      <c r="C403" s="760"/>
      <c r="D403" s="760"/>
      <c r="E403" s="760"/>
      <c r="F403" s="760"/>
    </row>
    <row r="404" spans="1:6" ht="15.75">
      <c r="A404" s="760"/>
      <c r="B404" s="760"/>
      <c r="C404" s="760"/>
      <c r="D404" s="760"/>
      <c r="E404" s="760"/>
      <c r="F404" s="760"/>
    </row>
    <row r="405" spans="1:6" ht="15.75">
      <c r="A405" s="760"/>
      <c r="B405" s="760"/>
      <c r="C405" s="760"/>
      <c r="D405" s="760"/>
      <c r="E405" s="760"/>
      <c r="F405" s="760"/>
    </row>
    <row r="406" spans="1:6" ht="15.75">
      <c r="A406" s="760"/>
      <c r="B406" s="760"/>
      <c r="C406" s="760"/>
      <c r="D406" s="760"/>
      <c r="E406" s="760"/>
      <c r="F406" s="760"/>
    </row>
    <row r="407" spans="1:6" ht="15.75">
      <c r="A407" s="760"/>
      <c r="B407" s="760"/>
      <c r="C407" s="760"/>
      <c r="D407" s="760"/>
      <c r="E407" s="760"/>
      <c r="F407" s="760"/>
    </row>
    <row r="408" spans="1:6" ht="15.75">
      <c r="A408" s="760"/>
      <c r="B408" s="760"/>
      <c r="C408" s="760"/>
      <c r="D408" s="760"/>
      <c r="E408" s="760"/>
      <c r="F408" s="760"/>
    </row>
    <row r="409" spans="1:6" ht="15.75">
      <c r="A409" s="760"/>
      <c r="B409" s="760"/>
      <c r="C409" s="760"/>
      <c r="D409" s="760"/>
      <c r="E409" s="760"/>
      <c r="F409" s="760"/>
    </row>
    <row r="410" spans="1:6" ht="15.75">
      <c r="A410" s="760"/>
      <c r="B410" s="760"/>
      <c r="C410" s="760"/>
      <c r="D410" s="760"/>
      <c r="E410" s="760"/>
      <c r="F410" s="760"/>
    </row>
    <row r="411" spans="1:6" ht="15.75">
      <c r="A411" s="760"/>
      <c r="B411" s="760"/>
      <c r="C411" s="760"/>
      <c r="D411" s="760"/>
      <c r="E411" s="760"/>
      <c r="F411" s="760"/>
    </row>
    <row r="412" spans="1:6" ht="15.75">
      <c r="A412" s="760"/>
      <c r="B412" s="760"/>
      <c r="C412" s="760"/>
      <c r="D412" s="760"/>
      <c r="E412" s="760"/>
      <c r="F412" s="760"/>
    </row>
    <row r="413" spans="1:6" ht="15.75">
      <c r="A413" s="760"/>
      <c r="B413" s="760"/>
      <c r="C413" s="760"/>
      <c r="D413" s="760"/>
      <c r="E413" s="760"/>
      <c r="F413" s="760"/>
    </row>
    <row r="414" spans="1:6" ht="15.75">
      <c r="A414" s="760"/>
      <c r="B414" s="760"/>
      <c r="C414" s="760"/>
      <c r="D414" s="760"/>
      <c r="E414" s="760"/>
      <c r="F414" s="760"/>
    </row>
    <row r="415" spans="1:6" ht="15.75">
      <c r="A415" s="760"/>
      <c r="B415" s="760"/>
      <c r="C415" s="760"/>
      <c r="D415" s="760"/>
      <c r="E415" s="760"/>
      <c r="F415" s="760"/>
    </row>
    <row r="416" spans="1:6" ht="15.75">
      <c r="A416" s="760"/>
      <c r="B416" s="760"/>
      <c r="C416" s="760"/>
      <c r="D416" s="760"/>
      <c r="E416" s="760"/>
      <c r="F416" s="760"/>
    </row>
    <row r="417" spans="1:6" ht="15.75">
      <c r="A417" s="760"/>
      <c r="B417" s="760"/>
      <c r="C417" s="760"/>
      <c r="D417" s="760"/>
      <c r="E417" s="760"/>
      <c r="F417" s="760"/>
    </row>
    <row r="418" spans="1:6" ht="15.75">
      <c r="A418" s="760"/>
      <c r="B418" s="760"/>
      <c r="C418" s="760"/>
      <c r="D418" s="760"/>
      <c r="E418" s="760"/>
      <c r="F418" s="760"/>
    </row>
    <row r="419" spans="1:6" ht="15.75">
      <c r="A419" s="760"/>
      <c r="B419" s="760"/>
      <c r="C419" s="760"/>
      <c r="D419" s="760"/>
      <c r="E419" s="760"/>
      <c r="F419" s="760"/>
    </row>
    <row r="420" spans="1:6" ht="15.75">
      <c r="A420" s="1151" t="s">
        <v>650</v>
      </c>
      <c r="B420" s="1151"/>
      <c r="C420" s="1151"/>
      <c r="D420" s="1151"/>
      <c r="E420" s="1151"/>
      <c r="F420" s="1151"/>
    </row>
    <row r="421" spans="1:6">
      <c r="A421" s="762" t="s">
        <v>483</v>
      </c>
      <c r="B421" s="1162" t="s">
        <v>362</v>
      </c>
      <c r="C421" s="1162"/>
      <c r="D421" s="1162"/>
      <c r="E421" s="1162"/>
      <c r="F421" s="1162"/>
    </row>
    <row r="422" spans="1:6" ht="15.75">
      <c r="A422" s="760"/>
      <c r="B422" s="760"/>
      <c r="C422" s="760"/>
      <c r="D422" s="760"/>
      <c r="E422" s="760"/>
      <c r="F422" s="760"/>
    </row>
    <row r="423" spans="1:6" ht="15.75">
      <c r="A423" s="760"/>
      <c r="B423" s="760"/>
      <c r="C423" s="760"/>
      <c r="D423" s="760"/>
      <c r="E423" s="760"/>
      <c r="F423" s="760"/>
    </row>
    <row r="424" spans="1:6" ht="15.75">
      <c r="A424" s="760"/>
      <c r="B424" s="760"/>
      <c r="C424" s="760"/>
      <c r="D424" s="760"/>
      <c r="E424" s="760"/>
      <c r="F424" s="760"/>
    </row>
    <row r="425" spans="1:6" ht="15.75">
      <c r="A425" s="760"/>
      <c r="B425" s="760"/>
      <c r="C425" s="760"/>
      <c r="D425" s="760"/>
      <c r="E425" s="760"/>
      <c r="F425" s="760"/>
    </row>
    <row r="426" spans="1:6" ht="15.75">
      <c r="A426" s="760"/>
      <c r="B426" s="760"/>
      <c r="C426" s="760"/>
      <c r="D426" s="760"/>
      <c r="E426" s="760"/>
      <c r="F426" s="760"/>
    </row>
    <row r="427" spans="1:6" ht="15.75">
      <c r="A427" s="760"/>
      <c r="B427" s="760"/>
      <c r="C427" s="760"/>
      <c r="D427" s="760"/>
      <c r="E427" s="760"/>
      <c r="F427" s="760"/>
    </row>
    <row r="428" spans="1:6" ht="15.75">
      <c r="A428" s="760"/>
      <c r="B428" s="760"/>
      <c r="C428" s="760"/>
      <c r="D428" s="760"/>
      <c r="E428" s="760"/>
      <c r="F428" s="760"/>
    </row>
    <row r="429" spans="1:6" ht="15.75">
      <c r="A429" s="760"/>
      <c r="B429" s="760"/>
      <c r="C429" s="760"/>
      <c r="D429" s="760"/>
      <c r="E429" s="760"/>
      <c r="F429" s="760"/>
    </row>
    <row r="430" spans="1:6" ht="15.75">
      <c r="A430" s="760"/>
      <c r="B430" s="760"/>
      <c r="C430" s="760"/>
      <c r="D430" s="760"/>
      <c r="E430" s="760"/>
      <c r="F430" s="760"/>
    </row>
    <row r="431" spans="1:6" ht="15.75">
      <c r="A431" s="760"/>
      <c r="B431" s="760"/>
      <c r="C431" s="760"/>
      <c r="D431" s="760"/>
      <c r="E431" s="760"/>
      <c r="F431" s="760"/>
    </row>
    <row r="432" spans="1:6" ht="15.75">
      <c r="A432" s="760"/>
      <c r="B432" s="760"/>
      <c r="C432" s="760"/>
      <c r="D432" s="760"/>
      <c r="E432" s="760"/>
      <c r="F432" s="760"/>
    </row>
    <row r="433" spans="1:6" ht="15.75">
      <c r="A433" s="760"/>
      <c r="B433" s="760"/>
      <c r="C433" s="760"/>
      <c r="D433" s="760"/>
      <c r="E433" s="760"/>
      <c r="F433" s="760"/>
    </row>
    <row r="434" spans="1:6" ht="15.75">
      <c r="A434" s="760"/>
      <c r="B434" s="760"/>
      <c r="C434" s="760"/>
      <c r="D434" s="760"/>
      <c r="E434" s="760"/>
      <c r="F434" s="760"/>
    </row>
    <row r="435" spans="1:6" ht="15.75">
      <c r="A435" s="760"/>
      <c r="B435" s="760"/>
      <c r="C435" s="760"/>
      <c r="D435" s="760"/>
      <c r="E435" s="760"/>
      <c r="F435" s="760"/>
    </row>
    <row r="436" spans="1:6" ht="15.75">
      <c r="A436" s="760"/>
      <c r="B436" s="760"/>
      <c r="C436" s="760"/>
      <c r="D436" s="760"/>
      <c r="E436" s="760"/>
      <c r="F436" s="760"/>
    </row>
    <row r="437" spans="1:6" ht="15.75">
      <c r="A437" s="760"/>
      <c r="B437" s="760"/>
      <c r="C437" s="760"/>
      <c r="D437" s="760"/>
      <c r="E437" s="760"/>
      <c r="F437" s="760"/>
    </row>
    <row r="438" spans="1:6" ht="15.75">
      <c r="A438" s="760"/>
      <c r="B438" s="760"/>
      <c r="C438" s="760"/>
      <c r="D438" s="760"/>
      <c r="E438" s="760"/>
      <c r="F438" s="760"/>
    </row>
    <row r="439" spans="1:6" ht="15.75">
      <c r="A439" s="1151" t="s">
        <v>651</v>
      </c>
      <c r="B439" s="1151"/>
      <c r="C439" s="1151"/>
      <c r="D439" s="1151"/>
      <c r="E439" s="1151"/>
      <c r="F439" s="1151"/>
    </row>
    <row r="440" spans="1:6" ht="15.75">
      <c r="A440" s="760"/>
      <c r="B440" s="760"/>
      <c r="C440" s="760"/>
      <c r="D440" s="760"/>
      <c r="E440" s="760"/>
      <c r="F440" s="760"/>
    </row>
    <row r="441" spans="1:6" ht="15.75">
      <c r="A441" s="760"/>
      <c r="B441" s="760"/>
      <c r="C441" s="760"/>
      <c r="D441" s="760"/>
      <c r="E441" s="760"/>
      <c r="F441" s="760"/>
    </row>
    <row r="442" spans="1:6" ht="15.75">
      <c r="A442" s="760"/>
      <c r="B442" s="760"/>
      <c r="C442" s="760"/>
      <c r="D442" s="760"/>
      <c r="E442" s="760"/>
      <c r="F442" s="760"/>
    </row>
    <row r="443" spans="1:6">
      <c r="A443" s="762" t="s">
        <v>483</v>
      </c>
      <c r="B443" s="1162" t="s">
        <v>673</v>
      </c>
      <c r="C443" s="1162"/>
      <c r="D443" s="1162"/>
      <c r="E443" s="1162"/>
      <c r="F443" s="1162"/>
    </row>
    <row r="444" spans="1:6" ht="15.75">
      <c r="A444" s="760"/>
      <c r="B444" s="760"/>
      <c r="C444" s="760"/>
      <c r="D444" s="760"/>
      <c r="E444" s="760"/>
      <c r="F444" s="760"/>
    </row>
    <row r="445" spans="1:6" ht="15.75">
      <c r="A445" s="760"/>
      <c r="B445" s="760"/>
      <c r="C445" s="760"/>
      <c r="D445" s="760"/>
      <c r="E445" s="760"/>
      <c r="F445" s="760"/>
    </row>
    <row r="446" spans="1:6" ht="15.75">
      <c r="A446" s="760"/>
      <c r="B446" s="760"/>
      <c r="C446" s="760"/>
      <c r="D446" s="760"/>
      <c r="E446" s="760"/>
      <c r="F446" s="760"/>
    </row>
    <row r="447" spans="1:6" ht="15.75">
      <c r="A447" s="760"/>
      <c r="B447" s="760"/>
      <c r="C447" s="760"/>
      <c r="D447" s="760"/>
      <c r="E447" s="760"/>
      <c r="F447" s="760"/>
    </row>
    <row r="448" spans="1:6" ht="15.75">
      <c r="A448" s="760"/>
      <c r="B448" s="760"/>
      <c r="C448" s="760"/>
      <c r="D448" s="760"/>
      <c r="E448" s="760"/>
      <c r="F448" s="760"/>
    </row>
    <row r="449" spans="1:6" ht="15.75">
      <c r="A449" s="760"/>
      <c r="B449" s="760"/>
      <c r="C449" s="760"/>
      <c r="D449" s="760"/>
      <c r="E449" s="760"/>
      <c r="F449" s="760"/>
    </row>
    <row r="450" spans="1:6" ht="15.75">
      <c r="A450" s="760"/>
      <c r="B450" s="760"/>
      <c r="C450" s="760"/>
      <c r="D450" s="760"/>
      <c r="E450" s="760"/>
      <c r="F450" s="760"/>
    </row>
    <row r="451" spans="1:6">
      <c r="A451" s="762" t="s">
        <v>485</v>
      </c>
      <c r="B451" s="1162" t="s">
        <v>672</v>
      </c>
      <c r="C451" s="1162"/>
      <c r="D451" s="1162"/>
      <c r="E451" s="1162"/>
      <c r="F451" s="1162"/>
    </row>
    <row r="452" spans="1:6" ht="15.75">
      <c r="A452" s="760"/>
      <c r="B452" s="760"/>
      <c r="C452" s="760"/>
      <c r="D452" s="760"/>
      <c r="E452" s="760"/>
      <c r="F452" s="760"/>
    </row>
    <row r="453" spans="1:6" ht="15.75">
      <c r="A453" s="760"/>
      <c r="B453" s="760"/>
      <c r="C453" s="760"/>
      <c r="D453" s="760"/>
      <c r="E453" s="760"/>
      <c r="F453" s="760"/>
    </row>
    <row r="454" spans="1:6">
      <c r="A454" s="762" t="s">
        <v>487</v>
      </c>
      <c r="B454" s="1162" t="s">
        <v>661</v>
      </c>
      <c r="C454" s="1162"/>
      <c r="D454" s="1162"/>
      <c r="E454" s="1162"/>
      <c r="F454" s="1162"/>
    </row>
    <row r="455" spans="1:6" ht="15.75">
      <c r="A455" s="760"/>
      <c r="B455" s="760"/>
      <c r="C455" s="760"/>
      <c r="D455" s="760"/>
      <c r="E455" s="760"/>
      <c r="F455" s="760"/>
    </row>
    <row r="456" spans="1:6" ht="15.75">
      <c r="A456" s="760"/>
      <c r="B456" s="760"/>
      <c r="C456" s="760"/>
      <c r="D456" s="760"/>
      <c r="E456" s="760"/>
      <c r="F456" s="760"/>
    </row>
    <row r="457" spans="1:6" ht="15.75">
      <c r="A457" s="760"/>
      <c r="B457" s="760"/>
      <c r="C457" s="760"/>
      <c r="D457" s="760"/>
      <c r="E457" s="760"/>
      <c r="F457" s="760"/>
    </row>
    <row r="458" spans="1:6" ht="15.75">
      <c r="A458" s="760"/>
      <c r="B458" s="760"/>
      <c r="C458" s="760"/>
      <c r="D458" s="760"/>
      <c r="E458" s="760"/>
      <c r="F458" s="760"/>
    </row>
    <row r="459" spans="1:6" ht="15.75">
      <c r="A459" s="760"/>
      <c r="B459" s="760"/>
      <c r="C459" s="760"/>
      <c r="D459" s="760"/>
      <c r="E459" s="760"/>
      <c r="F459" s="760"/>
    </row>
    <row r="460" spans="1:6" ht="15.75">
      <c r="A460" s="760"/>
      <c r="B460" s="760"/>
      <c r="C460" s="760"/>
      <c r="D460" s="760"/>
      <c r="E460" s="760"/>
      <c r="F460" s="760"/>
    </row>
    <row r="461" spans="1:6" ht="15.75">
      <c r="A461" s="760"/>
      <c r="B461" s="760"/>
      <c r="C461" s="760"/>
      <c r="D461" s="760"/>
      <c r="E461" s="760"/>
      <c r="F461" s="760"/>
    </row>
    <row r="462" spans="1:6" ht="15.75">
      <c r="A462" s="760"/>
      <c r="B462" s="760"/>
      <c r="C462" s="760"/>
      <c r="D462" s="760"/>
      <c r="E462" s="760"/>
      <c r="F462" s="760"/>
    </row>
    <row r="463" spans="1:6" ht="15.75">
      <c r="A463" s="760"/>
      <c r="B463" s="760"/>
      <c r="C463" s="760"/>
      <c r="D463" s="760"/>
      <c r="E463" s="760"/>
      <c r="F463" s="760"/>
    </row>
    <row r="464" spans="1:6" ht="15.75">
      <c r="A464" s="760"/>
      <c r="B464" s="760"/>
      <c r="C464" s="760"/>
      <c r="D464" s="760"/>
      <c r="E464" s="760"/>
      <c r="F464" s="760"/>
    </row>
    <row r="465" spans="1:6" ht="15.75">
      <c r="A465" s="760"/>
      <c r="B465" s="760"/>
      <c r="C465" s="760"/>
      <c r="D465" s="760"/>
      <c r="E465" s="760"/>
      <c r="F465" s="760"/>
    </row>
    <row r="466" spans="1:6" ht="15.75">
      <c r="A466" s="760"/>
      <c r="B466" s="760"/>
      <c r="C466" s="760"/>
      <c r="D466" s="760"/>
      <c r="E466" s="760"/>
      <c r="F466" s="760"/>
    </row>
    <row r="467" spans="1:6" ht="15.75">
      <c r="A467" s="760"/>
      <c r="B467" s="760"/>
      <c r="C467" s="760"/>
      <c r="D467" s="760"/>
      <c r="E467" s="760"/>
      <c r="F467" s="760"/>
    </row>
    <row r="468" spans="1:6" ht="15.75">
      <c r="A468" s="760"/>
      <c r="B468" s="760"/>
      <c r="C468" s="760"/>
      <c r="D468" s="760"/>
      <c r="E468" s="760"/>
      <c r="F468" s="760"/>
    </row>
    <row r="469" spans="1:6" ht="15.75">
      <c r="A469" s="760"/>
      <c r="B469" s="760"/>
      <c r="C469" s="760"/>
      <c r="D469" s="760"/>
      <c r="E469" s="760"/>
      <c r="F469" s="760"/>
    </row>
    <row r="470" spans="1:6" ht="15.75">
      <c r="A470" s="760"/>
      <c r="B470" s="760"/>
      <c r="C470" s="760"/>
      <c r="D470" s="760"/>
      <c r="E470" s="760"/>
      <c r="F470" s="760"/>
    </row>
    <row r="471" spans="1:6" ht="15.75">
      <c r="A471" s="760"/>
      <c r="B471" s="760"/>
      <c r="C471" s="760"/>
      <c r="D471" s="760"/>
      <c r="E471" s="760"/>
      <c r="F471" s="760"/>
    </row>
    <row r="472" spans="1:6" ht="15.75">
      <c r="A472" s="760"/>
      <c r="B472" s="760"/>
      <c r="C472" s="760"/>
      <c r="D472" s="760"/>
      <c r="E472" s="760"/>
      <c r="F472" s="760"/>
    </row>
    <row r="473" spans="1:6" ht="15.75">
      <c r="A473" s="760"/>
      <c r="B473" s="760"/>
      <c r="C473" s="760"/>
      <c r="D473" s="760"/>
      <c r="E473" s="760"/>
      <c r="F473" s="760"/>
    </row>
    <row r="474" spans="1:6" ht="15.75">
      <c r="A474" s="760"/>
      <c r="B474" s="760"/>
      <c r="C474" s="760"/>
      <c r="D474" s="760"/>
      <c r="E474" s="760"/>
      <c r="F474" s="760"/>
    </row>
    <row r="475" spans="1:6" ht="15.75">
      <c r="A475" s="760"/>
      <c r="B475" s="760"/>
      <c r="C475" s="760"/>
      <c r="D475" s="760"/>
      <c r="E475" s="760"/>
      <c r="F475" s="760"/>
    </row>
    <row r="476" spans="1:6" ht="15.75">
      <c r="A476" s="760"/>
      <c r="B476" s="760"/>
      <c r="C476" s="760"/>
      <c r="D476" s="760"/>
      <c r="E476" s="760"/>
      <c r="F476" s="760"/>
    </row>
    <row r="477" spans="1:6" ht="15.75">
      <c r="A477" s="1151" t="s">
        <v>652</v>
      </c>
      <c r="B477" s="1151"/>
      <c r="C477" s="1151"/>
      <c r="D477" s="1151"/>
      <c r="E477" s="1151"/>
      <c r="F477" s="1151"/>
    </row>
    <row r="478" spans="1:6">
      <c r="A478" s="762" t="s">
        <v>483</v>
      </c>
      <c r="B478" s="1162" t="s">
        <v>674</v>
      </c>
      <c r="C478" s="1162"/>
      <c r="D478" s="1162"/>
      <c r="E478" s="1162"/>
      <c r="F478" s="1162"/>
    </row>
    <row r="479" spans="1:6" ht="15.75">
      <c r="A479" s="760"/>
      <c r="B479" s="760"/>
      <c r="C479" s="760"/>
      <c r="D479" s="760"/>
      <c r="E479" s="760"/>
      <c r="F479" s="760"/>
    </row>
    <row r="480" spans="1:6" ht="15.75">
      <c r="A480" s="760"/>
      <c r="B480" s="760"/>
      <c r="C480" s="760"/>
      <c r="D480" s="760"/>
      <c r="E480" s="760"/>
      <c r="F480" s="760"/>
    </row>
    <row r="481" spans="1:6" ht="15.75">
      <c r="A481" s="760"/>
      <c r="B481" s="760"/>
      <c r="C481" s="760"/>
      <c r="D481" s="760"/>
      <c r="E481" s="760"/>
      <c r="F481" s="760"/>
    </row>
    <row r="482" spans="1:6" ht="15.75">
      <c r="A482" s="760"/>
      <c r="B482" s="760"/>
      <c r="C482" s="760"/>
      <c r="D482" s="760"/>
      <c r="E482" s="760"/>
      <c r="F482" s="760"/>
    </row>
    <row r="483" spans="1:6" ht="15.75">
      <c r="A483" s="760"/>
      <c r="B483" s="760"/>
      <c r="C483" s="760"/>
      <c r="D483" s="760"/>
      <c r="E483" s="760"/>
      <c r="F483" s="760"/>
    </row>
    <row r="484" spans="1:6" ht="15.75">
      <c r="A484" s="760"/>
      <c r="B484" s="760"/>
      <c r="C484" s="760"/>
      <c r="D484" s="760"/>
      <c r="E484" s="760"/>
      <c r="F484" s="760"/>
    </row>
    <row r="485" spans="1:6">
      <c r="A485" s="762" t="s">
        <v>485</v>
      </c>
      <c r="B485" s="1162" t="s">
        <v>335</v>
      </c>
      <c r="C485" s="1162"/>
      <c r="D485" s="1162"/>
      <c r="E485" s="1162"/>
      <c r="F485" s="1162"/>
    </row>
    <row r="486" spans="1:6" ht="15.75">
      <c r="A486" s="760"/>
      <c r="B486" s="760"/>
      <c r="C486" s="760"/>
      <c r="D486" s="760"/>
      <c r="E486" s="760"/>
      <c r="F486" s="760"/>
    </row>
    <row r="487" spans="1:6" ht="15.75">
      <c r="A487" s="760"/>
      <c r="B487" s="760"/>
      <c r="C487" s="760"/>
      <c r="D487" s="760"/>
      <c r="E487" s="760"/>
      <c r="F487" s="760"/>
    </row>
    <row r="488" spans="1:6" ht="15.75">
      <c r="A488" s="760"/>
      <c r="B488" s="760"/>
      <c r="C488" s="760"/>
      <c r="D488" s="760"/>
      <c r="E488" s="760"/>
      <c r="F488" s="760"/>
    </row>
    <row r="489" spans="1:6" ht="15.75">
      <c r="A489" s="760"/>
      <c r="B489" s="760"/>
      <c r="C489" s="760"/>
      <c r="D489" s="760"/>
      <c r="E489" s="760"/>
      <c r="F489" s="760"/>
    </row>
    <row r="490" spans="1:6" ht="15.75">
      <c r="A490" s="760"/>
      <c r="B490" s="760"/>
      <c r="C490" s="760"/>
      <c r="D490" s="760"/>
      <c r="E490" s="760"/>
      <c r="F490" s="760"/>
    </row>
    <row r="491" spans="1:6" ht="15.75">
      <c r="A491" s="760"/>
      <c r="B491" s="760"/>
      <c r="C491" s="760"/>
      <c r="D491" s="760"/>
      <c r="E491" s="760"/>
      <c r="F491" s="760"/>
    </row>
    <row r="492" spans="1:6" ht="15.75">
      <c r="A492" s="760"/>
      <c r="B492" s="760"/>
      <c r="C492" s="760"/>
      <c r="D492" s="760"/>
      <c r="E492" s="760"/>
      <c r="F492" s="760"/>
    </row>
    <row r="493" spans="1:6" ht="15.75">
      <c r="A493" s="760"/>
      <c r="B493" s="760"/>
      <c r="C493" s="760"/>
      <c r="D493" s="760"/>
      <c r="E493" s="760"/>
      <c r="F493" s="760"/>
    </row>
    <row r="494" spans="1:6" ht="15.75">
      <c r="A494" s="760"/>
      <c r="B494" s="760"/>
      <c r="C494" s="760"/>
      <c r="D494" s="760"/>
      <c r="E494" s="760"/>
      <c r="F494" s="760"/>
    </row>
    <row r="495" spans="1:6" ht="15.75">
      <c r="A495" s="760"/>
      <c r="B495" s="760"/>
      <c r="C495" s="760"/>
      <c r="D495" s="760"/>
      <c r="E495" s="760"/>
      <c r="F495" s="760"/>
    </row>
    <row r="496" spans="1:6" ht="15.75">
      <c r="A496" s="760"/>
      <c r="B496" s="760"/>
      <c r="C496" s="760"/>
      <c r="D496" s="760"/>
      <c r="E496" s="760"/>
      <c r="F496" s="760"/>
    </row>
    <row r="497" spans="1:6" ht="15.75">
      <c r="A497" s="760"/>
      <c r="B497" s="760"/>
      <c r="C497" s="760"/>
      <c r="D497" s="760"/>
      <c r="E497" s="760"/>
      <c r="F497" s="760"/>
    </row>
    <row r="498" spans="1:6" ht="15.75">
      <c r="A498" s="760"/>
      <c r="B498" s="760"/>
      <c r="C498" s="760"/>
      <c r="D498" s="760"/>
      <c r="E498" s="760"/>
      <c r="F498" s="760"/>
    </row>
    <row r="499" spans="1:6" ht="15.75">
      <c r="A499" s="760"/>
      <c r="B499" s="760"/>
      <c r="C499" s="760"/>
      <c r="D499" s="760"/>
      <c r="E499" s="760"/>
      <c r="F499" s="760"/>
    </row>
    <row r="500" spans="1:6" ht="15.75">
      <c r="A500" s="760"/>
      <c r="B500" s="760"/>
      <c r="C500" s="760"/>
      <c r="D500" s="760"/>
      <c r="E500" s="760"/>
      <c r="F500" s="760"/>
    </row>
    <row r="501" spans="1:6" ht="15.75">
      <c r="A501" s="760"/>
      <c r="B501" s="760"/>
      <c r="C501" s="760"/>
      <c r="D501" s="760"/>
      <c r="E501" s="760"/>
      <c r="F501" s="760"/>
    </row>
    <row r="502" spans="1:6" ht="15.75">
      <c r="A502" s="760"/>
      <c r="B502" s="760"/>
      <c r="C502" s="760"/>
      <c r="D502" s="760"/>
      <c r="E502" s="760"/>
      <c r="F502" s="760"/>
    </row>
    <row r="503" spans="1:6" ht="15.75">
      <c r="A503" s="760"/>
      <c r="B503" s="760"/>
      <c r="C503" s="760"/>
      <c r="D503" s="760"/>
      <c r="E503" s="760"/>
      <c r="F503" s="760"/>
    </row>
    <row r="504" spans="1:6" ht="15.75">
      <c r="A504" s="760"/>
      <c r="B504" s="760"/>
      <c r="C504" s="760"/>
      <c r="D504" s="760"/>
      <c r="E504" s="760"/>
      <c r="F504" s="760"/>
    </row>
    <row r="505" spans="1:6" ht="15.75">
      <c r="A505" s="760"/>
      <c r="B505" s="760"/>
      <c r="C505" s="760"/>
      <c r="D505" s="760"/>
      <c r="E505" s="760"/>
      <c r="F505" s="760"/>
    </row>
    <row r="506" spans="1:6" ht="15.75">
      <c r="A506" s="760"/>
      <c r="B506" s="760"/>
      <c r="C506" s="760"/>
      <c r="D506" s="760"/>
      <c r="E506" s="760"/>
      <c r="F506" s="760"/>
    </row>
    <row r="507" spans="1:6" ht="15.75">
      <c r="A507" s="760"/>
      <c r="B507" s="760"/>
      <c r="C507" s="760"/>
      <c r="D507" s="760"/>
      <c r="E507" s="760"/>
      <c r="F507" s="760"/>
    </row>
    <row r="508" spans="1:6" ht="15.75">
      <c r="A508" s="760"/>
      <c r="B508" s="760"/>
      <c r="C508" s="760"/>
      <c r="D508" s="760"/>
      <c r="E508" s="760"/>
      <c r="F508" s="760"/>
    </row>
    <row r="509" spans="1:6" ht="15.75">
      <c r="A509" s="760"/>
      <c r="B509" s="760"/>
      <c r="C509" s="760"/>
      <c r="D509" s="760"/>
      <c r="E509" s="760"/>
      <c r="F509" s="760"/>
    </row>
    <row r="510" spans="1:6" ht="15.75">
      <c r="A510" s="1151" t="s">
        <v>653</v>
      </c>
      <c r="B510" s="1151"/>
      <c r="C510" s="1151"/>
      <c r="D510" s="1151"/>
      <c r="E510" s="1151"/>
      <c r="F510" s="1151"/>
    </row>
    <row r="511" spans="1:6">
      <c r="A511" s="762" t="s">
        <v>483</v>
      </c>
      <c r="B511" s="1162" t="s">
        <v>675</v>
      </c>
      <c r="C511" s="1162"/>
      <c r="D511" s="1162"/>
      <c r="E511" s="1162"/>
      <c r="F511" s="1162"/>
    </row>
    <row r="520" spans="1:6">
      <c r="A520" s="762" t="s">
        <v>485</v>
      </c>
      <c r="B520" s="1162" t="s">
        <v>522</v>
      </c>
      <c r="C520" s="1162"/>
      <c r="D520" s="1162"/>
      <c r="E520" s="1162"/>
      <c r="F520" s="1162"/>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honeticPr fontId="87"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7</xdr:col>
                <xdr:colOff>190500</xdr:colOff>
                <xdr:row>11</xdr:row>
                <xdr:rowOff>152400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7</xdr:col>
                <xdr:colOff>200025</xdr:colOff>
                <xdr:row>19</xdr:row>
                <xdr:rowOff>19050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152400</xdr:colOff>
                <xdr:row>17</xdr:row>
                <xdr:rowOff>114300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152400</xdr:colOff>
                <xdr:row>3</xdr:row>
                <xdr:rowOff>133350</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171450</xdr:colOff>
                <xdr:row>3</xdr:row>
                <xdr:rowOff>133350</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152400</xdr:colOff>
                <xdr:row>7</xdr:row>
                <xdr:rowOff>95250</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171450</xdr:colOff>
                <xdr:row>12</xdr:row>
                <xdr:rowOff>95250</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180975</xdr:colOff>
                <xdr:row>3</xdr:row>
                <xdr:rowOff>133350</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171450</xdr:colOff>
                <xdr:row>6</xdr:row>
                <xdr:rowOff>133350</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autoLine="0" r:id="rId23">
            <anchor moveWithCells="1">
              <from>
                <xdr:col>18</xdr:col>
                <xdr:colOff>104775</xdr:colOff>
                <xdr:row>8</xdr:row>
                <xdr:rowOff>219075</xdr:rowOff>
              </from>
              <to>
                <xdr:col>20</xdr:col>
                <xdr:colOff>171450</xdr:colOff>
                <xdr:row>10</xdr:row>
                <xdr:rowOff>123825</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171450</xdr:colOff>
                <xdr:row>14</xdr:row>
                <xdr:rowOff>104775</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171450</xdr:colOff>
                <xdr:row>16</xdr:row>
                <xdr:rowOff>114300</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14</xdr:col>
                <xdr:colOff>200025</xdr:colOff>
                <xdr:row>11</xdr:row>
                <xdr:rowOff>85725</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14</xdr:col>
                <xdr:colOff>228600</xdr:colOff>
                <xdr:row>16</xdr:row>
                <xdr:rowOff>171450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428625</xdr:colOff>
                <xdr:row>13</xdr:row>
                <xdr:rowOff>123825</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4" customWidth="1"/>
    <col min="2" max="2" width="14" style="4" customWidth="1"/>
    <col min="3" max="3" width="15.42578125" style="4" customWidth="1"/>
    <col min="4" max="4" width="10.42578125" style="4" customWidth="1"/>
    <col min="5" max="5" width="6" style="4" customWidth="1"/>
    <col min="6" max="8" width="9.140625" style="4"/>
    <col min="9" max="9" width="7.42578125" style="4" customWidth="1"/>
    <col min="10" max="10" width="7.140625" style="4" customWidth="1"/>
    <col min="11" max="11" width="9.140625" style="4"/>
    <col min="12" max="17" width="9.140625" style="4" customWidth="1"/>
    <col min="18" max="18" width="25.42578125" style="4" hidden="1" customWidth="1"/>
    <col min="19" max="16384" width="9.140625" style="4"/>
  </cols>
  <sheetData>
    <row r="1" spans="1:19" ht="32.1" customHeight="1">
      <c r="A1" s="181"/>
      <c r="B1" s="177"/>
      <c r="E1" s="11"/>
      <c r="F1" s="1"/>
      <c r="G1" s="1"/>
      <c r="H1" s="1"/>
      <c r="I1" s="1"/>
      <c r="J1" s="1"/>
      <c r="K1" s="1"/>
      <c r="L1" s="1"/>
      <c r="M1" s="1"/>
      <c r="N1" s="1"/>
      <c r="O1" s="1"/>
      <c r="P1" s="1"/>
      <c r="Q1" s="1"/>
      <c r="R1" s="1" t="s">
        <v>12</v>
      </c>
      <c r="S1" s="1"/>
    </row>
    <row r="2" spans="1:19" ht="12.75" customHeight="1">
      <c r="C2" s="1"/>
      <c r="D2" s="1"/>
      <c r="E2" s="1"/>
      <c r="Q2" s="1"/>
      <c r="R2" s="239">
        <v>12</v>
      </c>
      <c r="S2" s="1"/>
    </row>
    <row r="3" spans="1:19" ht="12.75" customHeight="1">
      <c r="C3" s="1"/>
      <c r="D3" s="1"/>
      <c r="E3" s="1"/>
      <c r="Q3" s="1"/>
      <c r="R3" s="1" t="s">
        <v>11</v>
      </c>
      <c r="S3" s="1"/>
    </row>
    <row r="4" spans="1:19" ht="12.75" customHeight="1">
      <c r="E4" s="1"/>
      <c r="Q4" s="1"/>
      <c r="R4" s="238" t="s">
        <v>6</v>
      </c>
      <c r="S4" s="1"/>
    </row>
    <row r="5" spans="1:19" ht="12.75" customHeight="1">
      <c r="C5" s="1167"/>
      <c r="D5" s="1167"/>
      <c r="E5" s="37"/>
      <c r="G5" s="1164" t="s">
        <v>520</v>
      </c>
      <c r="H5" s="1164"/>
      <c r="I5" s="1164"/>
      <c r="Q5" s="1"/>
      <c r="R5" s="1" t="s">
        <v>10</v>
      </c>
      <c r="S5" s="1"/>
    </row>
    <row r="6" spans="1:19" ht="12.75" customHeight="1">
      <c r="C6" s="1167"/>
      <c r="D6" s="1167"/>
      <c r="E6" s="37"/>
      <c r="G6" s="1163" t="str">
        <f>"C = "&amp;CurrentCycle</f>
        <v>C = 12</v>
      </c>
      <c r="H6" s="1163"/>
      <c r="I6" s="1163"/>
      <c r="R6" s="238" t="s">
        <v>1608</v>
      </c>
    </row>
    <row r="7" spans="1:19" ht="12.75" customHeight="1">
      <c r="C7" s="1167"/>
      <c r="D7" s="1167"/>
      <c r="E7" s="37"/>
      <c r="G7" s="1165" t="s">
        <v>521</v>
      </c>
      <c r="H7" s="1165"/>
      <c r="I7" s="1165"/>
      <c r="R7" s="1" t="s">
        <v>9</v>
      </c>
    </row>
    <row r="8" spans="1:19" ht="12.75" customHeight="1">
      <c r="G8" s="1165" t="str">
        <f>"table in process is "</f>
        <v xml:space="preserve">table in process is </v>
      </c>
      <c r="H8" s="1165"/>
      <c r="I8" s="1165"/>
      <c r="R8" s="1"/>
    </row>
    <row r="9" spans="1:19" ht="12.75" customHeight="1">
      <c r="C9" s="1168"/>
      <c r="D9" s="1168"/>
      <c r="G9" s="1163">
        <f>Section</f>
        <v>0</v>
      </c>
      <c r="H9" s="1163"/>
      <c r="I9" s="1163"/>
      <c r="R9" s="1" t="s">
        <v>8</v>
      </c>
    </row>
    <row r="10" spans="1:19" ht="12.75" customHeight="1">
      <c r="C10" s="1166"/>
      <c r="D10" s="1166"/>
      <c r="R10" s="239">
        <v>12</v>
      </c>
    </row>
    <row r="11" spans="1:19" ht="12.75" customHeight="1">
      <c r="C11" s="1166"/>
      <c r="D11" s="1166"/>
      <c r="R11" s="1" t="s">
        <v>7</v>
      </c>
    </row>
    <row r="12" spans="1:19" ht="12.75" customHeight="1">
      <c r="C12" s="1166"/>
      <c r="D12" s="1166"/>
      <c r="R12" s="238" t="s">
        <v>6</v>
      </c>
    </row>
    <row r="13" spans="1:19" ht="12.75" customHeight="1">
      <c r="C13" s="1166"/>
      <c r="D13" s="1166"/>
      <c r="R13" s="1" t="s">
        <v>582</v>
      </c>
    </row>
    <row r="14" spans="1:19" ht="12.75" customHeight="1">
      <c r="R14" s="239" t="s">
        <v>593</v>
      </c>
    </row>
    <row r="15" spans="1:19" ht="12.75" customHeight="1">
      <c r="R15" s="238" t="s">
        <v>592</v>
      </c>
    </row>
    <row r="16" spans="1:19" ht="12.75" customHeight="1">
      <c r="C16" s="5"/>
      <c r="D16" s="5"/>
      <c r="E16" s="5"/>
      <c r="R16" s="238"/>
    </row>
    <row r="17" spans="3:19" ht="12.75" customHeight="1">
      <c r="C17" s="5"/>
      <c r="D17" s="5"/>
      <c r="E17" s="5"/>
      <c r="R17" s="1" t="s">
        <v>450</v>
      </c>
    </row>
    <row r="18" spans="3:19" ht="12.75" customHeight="1">
      <c r="C18" s="5"/>
      <c r="D18" s="5"/>
      <c r="E18" s="5"/>
      <c r="R18" s="239">
        <v>11</v>
      </c>
    </row>
    <row r="19" spans="3:19" ht="12.75" customHeight="1">
      <c r="C19" s="5"/>
      <c r="D19" s="5"/>
      <c r="E19" s="5"/>
      <c r="R19" s="10"/>
    </row>
    <row r="20" spans="3:19" ht="12.75" customHeight="1">
      <c r="R20" s="10"/>
    </row>
    <row r="21" spans="3:19" ht="12.75" customHeight="1"/>
    <row r="22" spans="3:19" ht="12.75" customHeight="1">
      <c r="R22" s="8"/>
      <c r="S22" s="8"/>
    </row>
    <row r="23" spans="3:19" ht="12.75" customHeight="1">
      <c r="C23" s="5"/>
      <c r="D23" s="5"/>
      <c r="E23" s="5"/>
      <c r="R23" s="8"/>
      <c r="S23" s="8"/>
    </row>
    <row r="24" spans="3:19" ht="12.75" customHeight="1"/>
    <row r="25" spans="3:19" ht="12.75" customHeight="1">
      <c r="R25" s="9"/>
    </row>
    <row r="26" spans="3:19" ht="12.75" customHeight="1"/>
    <row r="27" spans="3:19" ht="12.75" customHeight="1">
      <c r="R27" s="8"/>
    </row>
    <row r="28" spans="3:19" ht="12.75" customHeight="1">
      <c r="R28" s="8"/>
      <c r="S28" s="8"/>
    </row>
    <row r="29" spans="3:19" ht="12.75" customHeight="1">
      <c r="S29" s="8"/>
    </row>
    <row r="30" spans="3:19" ht="12.75" customHeight="1">
      <c r="R30" s="4" t="s">
        <v>5</v>
      </c>
    </row>
    <row r="31" spans="3:19" ht="12.75" customHeight="1">
      <c r="C31" s="5"/>
      <c r="D31" s="5"/>
      <c r="E31" s="5"/>
      <c r="R31" s="419"/>
    </row>
    <row r="32" spans="3:19" ht="12.75" customHeight="1">
      <c r="C32" s="5"/>
      <c r="D32" s="5"/>
      <c r="E32" s="5"/>
      <c r="R32" s="6"/>
    </row>
    <row r="33" spans="3:18" ht="12.75" customHeight="1">
      <c r="C33" s="5"/>
      <c r="D33" s="5"/>
      <c r="E33" s="5"/>
      <c r="R33" s="6"/>
    </row>
    <row r="34" spans="3:18">
      <c r="C34" s="5"/>
      <c r="D34" s="5"/>
      <c r="E34" s="5"/>
      <c r="R34" s="6"/>
    </row>
    <row r="35" spans="3:18">
      <c r="C35" s="7"/>
      <c r="D35" s="7"/>
      <c r="E35" s="7"/>
      <c r="R35" s="6"/>
    </row>
    <row r="41" spans="3:18">
      <c r="R41" s="5" t="s">
        <v>4</v>
      </c>
    </row>
    <row r="42" spans="3:18">
      <c r="R42" s="5" t="s">
        <v>3</v>
      </c>
    </row>
    <row r="43" spans="3:18">
      <c r="R43" s="5" t="s">
        <v>2</v>
      </c>
    </row>
    <row r="44" spans="3:18" ht="13.35" customHeight="1">
      <c r="R44" s="5" t="s">
        <v>1</v>
      </c>
    </row>
    <row r="45" spans="3:18">
      <c r="R45" s="4" t="s">
        <v>716</v>
      </c>
    </row>
  </sheetData>
  <sheetProtection algorithmName="SHA-512" hashValue="SyKDd+vLW3MOla9sZnUzCKOsdj3O3kCz9ggTReCXy+NR3pNvlfKBC5wzuk9G/GR2pzqvoltGZ/u/OH4LhYsITg==" saltValue="nGZNjjRW0NX8Dd3D+CxRFA=="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honeticPr fontId="87" type="noConversion"/>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457200</xdr:colOff>
                <xdr:row>17</xdr:row>
                <xdr:rowOff>95250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457200</xdr:colOff>
                <xdr:row>15</xdr:row>
                <xdr:rowOff>57150</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AV663"/>
  <sheetViews>
    <sheetView showGridLines="0" showRowColHeaders="0" zoomScale="106" zoomScaleNormal="106" zoomScaleSheetLayoutView="90" zoomScalePageLayoutView="87" workbookViewId="0">
      <pane ySplit="1" topLeftCell="A464" activePane="bottomLeft" state="frozen"/>
      <selection activeCell="D50" sqref="D50"/>
      <selection pane="bottomLeft" activeCell="G28" sqref="G28"/>
    </sheetView>
  </sheetViews>
  <sheetFormatPr defaultColWidth="9.140625" defaultRowHeight="12.75"/>
  <cols>
    <col min="1" max="1" width="15.85546875" style="1" customWidth="1"/>
    <col min="2" max="2" width="9.5703125" style="1" customWidth="1"/>
    <col min="3" max="3" width="10.5703125" style="1" customWidth="1"/>
    <col min="4" max="4" width="12.42578125" style="1" customWidth="1"/>
    <col min="5" max="5" width="13.5703125" style="1" customWidth="1"/>
    <col min="6" max="6" width="12.42578125" style="1" customWidth="1"/>
    <col min="7" max="7" width="11.140625" style="1" customWidth="1"/>
    <col min="8" max="8" width="10.42578125" style="1" customWidth="1"/>
    <col min="9" max="9" width="12.5703125" style="1" bestFit="1" customWidth="1"/>
    <col min="10" max="11" width="10.85546875" style="1" customWidth="1"/>
    <col min="12" max="12" width="10.42578125" style="1" customWidth="1"/>
    <col min="13" max="13" width="10.5703125" style="1" customWidth="1"/>
    <col min="14" max="14" width="12" style="1" customWidth="1"/>
    <col min="15" max="15" width="10" style="1" customWidth="1"/>
    <col min="16" max="69" width="9.140625" style="1" customWidth="1"/>
    <col min="70" max="16384" width="9.140625" style="1"/>
  </cols>
  <sheetData>
    <row r="1" spans="1:16" ht="32.1" customHeight="1"/>
    <row r="2" spans="1:16" ht="41.25" customHeight="1"/>
    <row r="3" spans="1:16" ht="12.75" customHeight="1"/>
    <row r="4" spans="1:16">
      <c r="G4" s="1" t="s">
        <v>519</v>
      </c>
    </row>
    <row r="5" spans="1:16" ht="15.75">
      <c r="A5" s="422">
        <v>1</v>
      </c>
      <c r="B5" s="423" t="s">
        <v>100</v>
      </c>
      <c r="C5" s="424"/>
      <c r="D5" s="424"/>
      <c r="E5" s="424"/>
      <c r="F5" s="425"/>
      <c r="G5" s="425"/>
      <c r="H5" s="425"/>
      <c r="I5" s="425"/>
      <c r="J5" s="425"/>
      <c r="K5" s="425"/>
      <c r="L5" s="425"/>
      <c r="M5" s="303"/>
    </row>
    <row r="6" spans="1:16" ht="12.75" customHeight="1">
      <c r="A6" s="49">
        <v>1.1000000000000001</v>
      </c>
      <c r="B6" s="11" t="s">
        <v>15</v>
      </c>
      <c r="C6" s="11"/>
      <c r="D6" s="35"/>
      <c r="E6" s="12"/>
      <c r="F6" s="12"/>
    </row>
    <row r="7" spans="1:16" ht="11.25" customHeight="1">
      <c r="A7" s="16"/>
      <c r="B7" s="12"/>
      <c r="C7" s="12"/>
      <c r="D7" s="12"/>
      <c r="E7" s="12"/>
      <c r="F7" s="12"/>
      <c r="G7" s="51" t="s">
        <v>95</v>
      </c>
      <c r="H7" s="52" t="s">
        <v>35</v>
      </c>
      <c r="I7" s="51" t="s">
        <v>34</v>
      </c>
      <c r="J7" s="426" t="s">
        <v>33</v>
      </c>
      <c r="K7" s="14" t="s">
        <v>94</v>
      </c>
    </row>
    <row r="8" spans="1:16" s="12" customFormat="1" ht="11.25" customHeight="1">
      <c r="A8" s="427" t="s">
        <v>515</v>
      </c>
      <c r="B8" s="17" t="s">
        <v>99</v>
      </c>
      <c r="C8" s="269"/>
      <c r="D8" s="269"/>
      <c r="E8" s="428"/>
      <c r="F8" s="42" t="s">
        <v>49</v>
      </c>
      <c r="G8" s="428"/>
      <c r="H8" s="429">
        <f>H$22/H$28</f>
        <v>0.357328125</v>
      </c>
      <c r="I8" s="429">
        <f>I$22/I$28</f>
        <v>0.38038155241935484</v>
      </c>
      <c r="J8" s="429">
        <f>J$22/J$28</f>
        <v>0.41496169354838708</v>
      </c>
      <c r="K8" s="429">
        <f>K22/SUM(H28:J28)</f>
        <v>0.38422379032258064</v>
      </c>
      <c r="O8" s="1"/>
      <c r="P8" s="411"/>
    </row>
    <row r="9" spans="1:16" s="12" customFormat="1" ht="11.25" customHeight="1">
      <c r="A9" s="427" t="s">
        <v>516</v>
      </c>
      <c r="B9" s="17" t="s">
        <v>633</v>
      </c>
      <c r="C9" s="269"/>
      <c r="D9" s="269"/>
      <c r="F9" s="42" t="s">
        <v>96</v>
      </c>
      <c r="G9" s="430"/>
      <c r="H9" s="494">
        <v>1</v>
      </c>
      <c r="I9" s="494">
        <v>1</v>
      </c>
      <c r="J9" s="495">
        <v>1</v>
      </c>
      <c r="K9" s="13"/>
      <c r="P9" s="11"/>
    </row>
    <row r="10" spans="1:16" s="12" customFormat="1" ht="11.25" customHeight="1">
      <c r="A10" s="427" t="s">
        <v>517</v>
      </c>
      <c r="B10" s="17" t="s">
        <v>634</v>
      </c>
      <c r="C10" s="269"/>
      <c r="D10" s="269"/>
      <c r="E10" s="430"/>
      <c r="F10" s="42" t="s">
        <v>96</v>
      </c>
      <c r="G10" s="430"/>
      <c r="H10" s="494">
        <v>1</v>
      </c>
      <c r="I10" s="494">
        <v>1</v>
      </c>
      <c r="J10" s="495">
        <v>2</v>
      </c>
      <c r="K10" s="13"/>
    </row>
    <row r="11" spans="1:16" s="12" customFormat="1" ht="11.25" customHeight="1">
      <c r="A11" s="16"/>
      <c r="E11" s="16"/>
      <c r="F11" s="16"/>
      <c r="G11" s="264"/>
    </row>
    <row r="12" spans="1:16" s="12" customFormat="1" ht="15.75">
      <c r="A12" s="49">
        <v>1.2</v>
      </c>
      <c r="B12" s="411" t="s">
        <v>14</v>
      </c>
      <c r="C12" s="411"/>
      <c r="F12" s="16"/>
      <c r="G12" s="47"/>
      <c r="H12" s="47"/>
      <c r="I12" s="47"/>
      <c r="J12" s="47"/>
      <c r="K12" s="35"/>
      <c r="P12" s="2"/>
    </row>
    <row r="13" spans="1:16" s="12" customFormat="1" ht="11.25">
      <c r="A13" s="16"/>
      <c r="E13" s="16"/>
      <c r="F13" s="16"/>
      <c r="G13" s="264"/>
    </row>
    <row r="14" spans="1:16" s="12" customFormat="1" ht="11.25">
      <c r="A14" s="16"/>
      <c r="E14" s="16"/>
      <c r="F14" s="16"/>
      <c r="G14" s="265" t="s">
        <v>95</v>
      </c>
      <c r="H14" s="265" t="s">
        <v>35</v>
      </c>
      <c r="I14" s="265" t="s">
        <v>34</v>
      </c>
      <c r="J14" s="265" t="s">
        <v>33</v>
      </c>
      <c r="K14" s="266" t="s">
        <v>94</v>
      </c>
    </row>
    <row r="15" spans="1:16" s="12" customFormat="1" ht="11.25">
      <c r="A15" s="427" t="s">
        <v>507</v>
      </c>
      <c r="B15" s="115" t="s">
        <v>91</v>
      </c>
      <c r="C15" s="267"/>
      <c r="D15" s="268"/>
      <c r="E15" s="267"/>
      <c r="F15" s="42" t="s">
        <v>85</v>
      </c>
      <c r="G15" s="498">
        <v>10000000</v>
      </c>
      <c r="H15" s="497">
        <v>1.03</v>
      </c>
      <c r="I15" s="497">
        <v>1.06</v>
      </c>
      <c r="J15" s="497">
        <v>1.1000000000000001</v>
      </c>
      <c r="K15" s="13"/>
    </row>
    <row r="16" spans="1:16" s="12" customFormat="1" ht="11.25">
      <c r="A16" s="427" t="s">
        <v>508</v>
      </c>
      <c r="B16" s="17" t="s">
        <v>635</v>
      </c>
      <c r="C16" s="269"/>
      <c r="D16" s="270"/>
      <c r="E16" s="271"/>
      <c r="F16" s="272" t="s">
        <v>89</v>
      </c>
      <c r="G16" s="498">
        <v>52800</v>
      </c>
      <c r="H16" s="13"/>
      <c r="I16" s="13"/>
      <c r="J16" s="13"/>
      <c r="K16" s="13"/>
    </row>
    <row r="17" spans="1:11" s="12" customFormat="1" ht="11.25">
      <c r="A17" s="427" t="s">
        <v>509</v>
      </c>
      <c r="B17" s="273" t="s">
        <v>88</v>
      </c>
      <c r="C17" s="109"/>
      <c r="D17" s="274"/>
      <c r="E17" s="275"/>
      <c r="F17" s="42" t="s">
        <v>85</v>
      </c>
      <c r="G17" s="499">
        <v>1.5</v>
      </c>
      <c r="H17" s="13"/>
      <c r="I17" s="13"/>
      <c r="J17" s="13"/>
      <c r="K17" s="13"/>
    </row>
    <row r="18" spans="1:11" s="12" customFormat="1" ht="11.25">
      <c r="A18" s="427" t="s">
        <v>510</v>
      </c>
      <c r="B18" s="115" t="s">
        <v>93</v>
      </c>
      <c r="C18" s="267"/>
      <c r="D18" s="268"/>
      <c r="E18" s="267"/>
      <c r="F18" s="42" t="s">
        <v>49</v>
      </c>
      <c r="G18" s="500"/>
      <c r="H18" s="497">
        <v>1.05</v>
      </c>
      <c r="I18" s="497">
        <v>1.1000000000000001</v>
      </c>
      <c r="J18" s="497">
        <v>1.1499999999999999</v>
      </c>
      <c r="K18" s="276"/>
    </row>
    <row r="19" spans="1:11" s="12" customFormat="1" ht="11.25">
      <c r="A19" s="427"/>
      <c r="B19" s="934" t="s">
        <v>447</v>
      </c>
      <c r="C19" s="109"/>
      <c r="D19" s="274"/>
      <c r="E19" s="109"/>
      <c r="F19" s="42" t="s">
        <v>85</v>
      </c>
      <c r="G19" s="277">
        <f>G17*G16</f>
        <v>79200</v>
      </c>
      <c r="H19" s="278">
        <f>G19*H18</f>
        <v>83160</v>
      </c>
      <c r="I19" s="278">
        <f>G19*I18</f>
        <v>87120</v>
      </c>
      <c r="J19" s="278">
        <f>G19*J18</f>
        <v>91080</v>
      </c>
      <c r="K19" s="276">
        <f>SUM(H19:J19)</f>
        <v>261360</v>
      </c>
    </row>
    <row r="20" spans="1:11" s="12" customFormat="1" ht="11.25">
      <c r="A20" s="427" t="s">
        <v>511</v>
      </c>
      <c r="B20" s="279" t="s">
        <v>518</v>
      </c>
      <c r="D20" s="56"/>
      <c r="F20" s="42" t="s">
        <v>49</v>
      </c>
      <c r="G20" s="280"/>
      <c r="H20" s="281"/>
      <c r="I20" s="281"/>
      <c r="J20" s="281"/>
      <c r="K20" s="501">
        <v>2.1</v>
      </c>
    </row>
    <row r="21" spans="1:11" s="12" customFormat="1" ht="11.25">
      <c r="A21" s="427" t="s">
        <v>512</v>
      </c>
      <c r="B21" s="17" t="s">
        <v>92</v>
      </c>
      <c r="C21" s="269"/>
      <c r="D21" s="270"/>
      <c r="E21" s="269"/>
      <c r="F21" s="42" t="s">
        <v>49</v>
      </c>
      <c r="G21" s="282"/>
      <c r="H21" s="497">
        <v>0.31</v>
      </c>
      <c r="I21" s="497">
        <v>0.33</v>
      </c>
      <c r="J21" s="497">
        <v>0.36</v>
      </c>
      <c r="K21" s="283">
        <f>H21+I21+J21</f>
        <v>1</v>
      </c>
    </row>
    <row r="22" spans="1:11" s="12" customFormat="1" ht="11.25">
      <c r="A22" s="427"/>
      <c r="B22" s="273" t="s">
        <v>404</v>
      </c>
      <c r="C22" s="109"/>
      <c r="D22" s="274"/>
      <c r="E22" s="109"/>
      <c r="F22" s="42" t="s">
        <v>85</v>
      </c>
      <c r="G22" s="282"/>
      <c r="H22" s="180">
        <f>H$21*$K$22</f>
        <v>170145.36</v>
      </c>
      <c r="I22" s="180">
        <f>I$21*$K$22</f>
        <v>181122.48</v>
      </c>
      <c r="J22" s="180">
        <f>J$21*$K$22</f>
        <v>197588.16</v>
      </c>
      <c r="K22" s="284">
        <f>K19*K20</f>
        <v>548856</v>
      </c>
    </row>
    <row r="23" spans="1:11" s="12" customFormat="1" ht="11.25">
      <c r="A23" s="427" t="s">
        <v>513</v>
      </c>
      <c r="B23" s="115" t="s">
        <v>87</v>
      </c>
      <c r="C23" s="115"/>
      <c r="D23" s="285"/>
      <c r="E23" s="114"/>
      <c r="F23" s="42" t="s">
        <v>49</v>
      </c>
      <c r="G23" s="13"/>
      <c r="H23" s="502">
        <v>0.31</v>
      </c>
      <c r="I23" s="502">
        <v>0.315</v>
      </c>
      <c r="J23" s="502">
        <v>0.32</v>
      </c>
      <c r="K23" s="282">
        <f>K24/K22</f>
        <v>0.31524999999999997</v>
      </c>
    </row>
    <row r="24" spans="1:11" s="12" customFormat="1" ht="11.25">
      <c r="A24" s="427"/>
      <c r="B24" s="934" t="s">
        <v>448</v>
      </c>
      <c r="C24" s="109"/>
      <c r="D24" s="274"/>
      <c r="E24" s="109"/>
      <c r="F24" s="42" t="s">
        <v>85</v>
      </c>
      <c r="G24" s="13"/>
      <c r="H24" s="277">
        <f>H22*H23</f>
        <v>52745.061599999994</v>
      </c>
      <c r="I24" s="277">
        <f>I22*I23</f>
        <v>57053.581200000001</v>
      </c>
      <c r="J24" s="277">
        <f>J22*J23</f>
        <v>63228.211200000005</v>
      </c>
      <c r="K24" s="284">
        <f>SUM(H24:J24)</f>
        <v>173026.85399999999</v>
      </c>
    </row>
    <row r="25" spans="1:11" s="12" customFormat="1" ht="11.25">
      <c r="A25" s="427"/>
      <c r="B25" s="286" t="s">
        <v>405</v>
      </c>
      <c r="D25" s="56"/>
      <c r="F25" s="42" t="s">
        <v>49</v>
      </c>
      <c r="G25" s="13"/>
      <c r="H25" s="287">
        <f>H24/H19</f>
        <v>0.63425999999999993</v>
      </c>
      <c r="I25" s="287">
        <f>I24/I19</f>
        <v>0.65488500000000005</v>
      </c>
      <c r="J25" s="287">
        <f>J24/J19</f>
        <v>0.69420521739130436</v>
      </c>
      <c r="K25" s="13"/>
    </row>
    <row r="26" spans="1:11" s="12" customFormat="1" ht="11.25">
      <c r="A26" s="427"/>
      <c r="B26" s="114" t="s">
        <v>406</v>
      </c>
      <c r="C26" s="267"/>
      <c r="D26" s="268"/>
      <c r="E26" s="267"/>
      <c r="F26" s="42" t="s">
        <v>49</v>
      </c>
      <c r="G26" s="13"/>
      <c r="H26" s="283">
        <f>1-H23</f>
        <v>0.69</v>
      </c>
      <c r="I26" s="283">
        <f>1-I23</f>
        <v>0.68500000000000005</v>
      </c>
      <c r="J26" s="283">
        <f>1-J23</f>
        <v>0.67999999999999994</v>
      </c>
      <c r="K26" s="282">
        <f>K27/K22</f>
        <v>0.68474999999999986</v>
      </c>
    </row>
    <row r="27" spans="1:11" s="12" customFormat="1" ht="11.25">
      <c r="A27" s="427"/>
      <c r="B27" s="934" t="s">
        <v>449</v>
      </c>
      <c r="C27" s="109"/>
      <c r="D27" s="274"/>
      <c r="E27" s="109"/>
      <c r="F27" s="42" t="s">
        <v>85</v>
      </c>
      <c r="G27" s="13"/>
      <c r="H27" s="277">
        <f>H26*H22</f>
        <v>117400.29839999999</v>
      </c>
      <c r="I27" s="277">
        <f>I26*I22</f>
        <v>124068.89880000001</v>
      </c>
      <c r="J27" s="277">
        <f>J26*J22</f>
        <v>134359.94879999998</v>
      </c>
      <c r="K27" s="284">
        <f>SUM(H27:J27)</f>
        <v>375829.14599999995</v>
      </c>
    </row>
    <row r="28" spans="1:11" s="12" customFormat="1" ht="11.25">
      <c r="A28" s="427" t="s">
        <v>514</v>
      </c>
      <c r="B28" s="13" t="s">
        <v>86</v>
      </c>
      <c r="C28" s="13"/>
      <c r="D28" s="288"/>
      <c r="E28" s="17"/>
      <c r="F28" s="42" t="s">
        <v>85</v>
      </c>
      <c r="G28" s="496">
        <v>476160</v>
      </c>
      <c r="H28" s="496">
        <v>476160</v>
      </c>
      <c r="I28" s="496">
        <v>476160</v>
      </c>
      <c r="J28" s="496">
        <v>476160</v>
      </c>
      <c r="K28" s="283"/>
    </row>
    <row r="29" spans="1:11" s="12" customFormat="1" ht="11.25">
      <c r="A29" s="16"/>
      <c r="E29" s="16"/>
      <c r="F29" s="16"/>
      <c r="G29" s="264"/>
    </row>
    <row r="30" spans="1:11" s="12" customFormat="1" ht="11.25">
      <c r="A30" s="16"/>
      <c r="E30" s="16"/>
      <c r="F30" s="16"/>
      <c r="G30" s="264"/>
    </row>
    <row r="31" spans="1:11" s="12" customFormat="1" ht="11.25">
      <c r="A31" s="16"/>
      <c r="E31" s="16"/>
      <c r="F31" s="16"/>
      <c r="G31" s="264"/>
    </row>
    <row r="32" spans="1:11" s="12" customFormat="1" ht="11.25" hidden="1">
      <c r="A32" s="16"/>
      <c r="E32" s="16"/>
      <c r="F32" s="16"/>
      <c r="G32" s="264"/>
    </row>
    <row r="33" spans="1:11" s="12" customFormat="1" ht="15.75" hidden="1">
      <c r="A33" s="431">
        <v>2</v>
      </c>
      <c r="B33" s="423" t="s">
        <v>364</v>
      </c>
      <c r="C33" s="432"/>
      <c r="E33" s="16"/>
      <c r="F33" s="16"/>
      <c r="G33" s="264"/>
    </row>
    <row r="34" spans="1:11" s="12" customFormat="1" ht="15.75" hidden="1">
      <c r="A34" s="182"/>
      <c r="B34" s="433"/>
      <c r="C34" s="434"/>
      <c r="E34" s="16"/>
      <c r="F34" s="16"/>
      <c r="G34" s="264"/>
    </row>
    <row r="35" spans="1:11" s="12" customFormat="1" hidden="1">
      <c r="A35" s="49" t="str">
        <f>"2.0"</f>
        <v>2.0</v>
      </c>
      <c r="B35" s="11" t="s">
        <v>457</v>
      </c>
      <c r="C35" s="16"/>
      <c r="E35" s="16"/>
      <c r="F35" s="16"/>
      <c r="G35" s="264"/>
    </row>
    <row r="36" spans="1:11" s="12" customFormat="1" hidden="1">
      <c r="A36" s="49"/>
      <c r="B36" s="324" t="s">
        <v>458</v>
      </c>
      <c r="C36" s="324"/>
      <c r="D36" s="292">
        <v>150000</v>
      </c>
      <c r="E36" s="16"/>
      <c r="F36" s="16"/>
      <c r="G36" s="264"/>
    </row>
    <row r="37" spans="1:11" s="12" customFormat="1" ht="15.75" hidden="1">
      <c r="A37" s="182"/>
      <c r="B37" s="433"/>
      <c r="C37" s="434"/>
      <c r="E37" s="16"/>
      <c r="F37" s="16"/>
      <c r="G37" s="264"/>
    </row>
    <row r="38" spans="1:11" s="12" customFormat="1" ht="15.75" hidden="1">
      <c r="A38" s="182"/>
      <c r="B38" s="11" t="s">
        <v>101</v>
      </c>
      <c r="C38" s="434"/>
      <c r="D38" s="435">
        <f>SUM(D36:D37)</f>
        <v>150000</v>
      </c>
      <c r="E38" s="16"/>
      <c r="F38" s="16"/>
      <c r="G38" s="264"/>
    </row>
    <row r="39" spans="1:11" s="12" customFormat="1" ht="15.75" hidden="1">
      <c r="A39" s="182"/>
      <c r="B39" s="433"/>
      <c r="C39" s="434"/>
      <c r="E39" s="16"/>
      <c r="F39" s="16"/>
      <c r="G39" s="264"/>
    </row>
    <row r="40" spans="1:11" s="12" customFormat="1" ht="15.75" hidden="1">
      <c r="A40" s="182"/>
      <c r="B40" s="433"/>
      <c r="C40" s="434"/>
      <c r="E40" s="16"/>
      <c r="F40" s="16"/>
      <c r="G40" s="264"/>
    </row>
    <row r="41" spans="1:11" s="12" customFormat="1" ht="12.75" hidden="1" customHeight="1">
      <c r="A41" s="49">
        <v>2.1</v>
      </c>
      <c r="B41" s="11" t="s">
        <v>359</v>
      </c>
      <c r="E41" s="16"/>
      <c r="F41" s="16"/>
      <c r="G41" s="264"/>
    </row>
    <row r="42" spans="1:11" s="12" customFormat="1" ht="11.25" hidden="1">
      <c r="A42" s="16"/>
      <c r="D42" s="109"/>
      <c r="E42" s="48"/>
      <c r="F42" s="1174" t="s">
        <v>330</v>
      </c>
      <c r="G42" s="1174"/>
      <c r="H42" s="16"/>
    </row>
    <row r="43" spans="1:11" s="12" customFormat="1" ht="11.25" hidden="1">
      <c r="A43" s="16"/>
      <c r="B43" s="114" t="s">
        <v>329</v>
      </c>
      <c r="C43" s="116"/>
      <c r="D43" s="117" t="s">
        <v>328</v>
      </c>
      <c r="E43" s="118" t="s">
        <v>84</v>
      </c>
      <c r="F43" s="115" t="s">
        <v>34</v>
      </c>
      <c r="G43" s="436" t="s">
        <v>33</v>
      </c>
      <c r="H43" s="16"/>
      <c r="I43" s="16"/>
      <c r="J43" s="16"/>
    </row>
    <row r="44" spans="1:11" s="12" customFormat="1" ht="11.25" hidden="1">
      <c r="B44" s="324" t="s">
        <v>640</v>
      </c>
      <c r="C44" s="491"/>
      <c r="D44" s="292">
        <v>25000</v>
      </c>
      <c r="E44" s="110">
        <v>1</v>
      </c>
      <c r="F44" s="293">
        <v>1.1100000000000001</v>
      </c>
      <c r="G44" s="293">
        <v>1.2</v>
      </c>
      <c r="H44" s="302"/>
      <c r="I44" s="264"/>
      <c r="J44" s="264"/>
      <c r="K44" s="264"/>
    </row>
    <row r="45" spans="1:11" s="12" customFormat="1" ht="11.25" hidden="1">
      <c r="B45" s="324" t="s">
        <v>75</v>
      </c>
      <c r="C45" s="491"/>
      <c r="D45" s="292">
        <v>67500</v>
      </c>
      <c r="E45" s="110">
        <v>1.5</v>
      </c>
      <c r="F45" s="293">
        <v>1.1100000000000001</v>
      </c>
      <c r="G45" s="293">
        <v>1.2</v>
      </c>
      <c r="H45" s="302"/>
      <c r="I45" s="264"/>
      <c r="J45" s="264"/>
      <c r="K45" s="264"/>
    </row>
    <row r="46" spans="1:11" s="12" customFormat="1" ht="11.25" hidden="1">
      <c r="B46" s="503" t="s">
        <v>74</v>
      </c>
      <c r="C46" s="491"/>
      <c r="D46" s="292">
        <v>32500</v>
      </c>
      <c r="E46" s="110">
        <v>0.5</v>
      </c>
      <c r="F46" s="293">
        <v>1.1100000000000001</v>
      </c>
      <c r="G46" s="293">
        <v>1.2</v>
      </c>
      <c r="H46" s="302"/>
      <c r="I46" s="264"/>
      <c r="J46" s="264"/>
      <c r="K46" s="264"/>
    </row>
    <row r="47" spans="1:11" s="12" customFormat="1" ht="11.25" hidden="1">
      <c r="B47" s="324" t="s">
        <v>73</v>
      </c>
      <c r="C47" s="492"/>
      <c r="D47" s="292">
        <v>5000</v>
      </c>
      <c r="E47" s="110"/>
      <c r="F47" s="293">
        <v>1.1100000000000001</v>
      </c>
      <c r="G47" s="293">
        <v>1.2</v>
      </c>
      <c r="H47" s="16"/>
      <c r="J47" s="264"/>
      <c r="K47" s="264"/>
    </row>
    <row r="48" spans="1:11" s="12" customFormat="1" ht="11.25" hidden="1">
      <c r="B48" s="16"/>
      <c r="C48" s="16"/>
      <c r="D48" s="47" t="s">
        <v>35</v>
      </c>
      <c r="E48" s="47" t="s">
        <v>34</v>
      </c>
      <c r="F48" s="47" t="s">
        <v>33</v>
      </c>
      <c r="K48" s="437"/>
    </row>
    <row r="49" spans="1:11" s="12" customFormat="1" hidden="1">
      <c r="B49" s="49" t="s">
        <v>101</v>
      </c>
      <c r="C49" s="16"/>
      <c r="D49" s="146">
        <f>SUM(D44:D47)</f>
        <v>130000</v>
      </c>
      <c r="E49" s="146">
        <f>SUMPRODUCT(D44:D47,F44:F47)</f>
        <v>144300</v>
      </c>
      <c r="F49" s="146">
        <f>SUMPRODUCT(D44:D47,G44:G47,F44:F47)</f>
        <v>173160.00000000003</v>
      </c>
      <c r="K49" s="437"/>
    </row>
    <row r="50" spans="1:11" s="12" customFormat="1" ht="11.25" hidden="1">
      <c r="B50" s="16"/>
      <c r="C50" s="16"/>
      <c r="K50" s="437"/>
    </row>
    <row r="51" spans="1:11" s="12" customFormat="1" ht="11.25" hidden="1">
      <c r="I51" s="35"/>
      <c r="K51" s="437"/>
    </row>
    <row r="52" spans="1:11" s="12" customFormat="1" ht="11.25" hidden="1">
      <c r="K52" s="437"/>
    </row>
    <row r="53" spans="1:11" s="12" customFormat="1" hidden="1">
      <c r="A53" s="49">
        <v>2.2000000000000002</v>
      </c>
      <c r="B53" s="11" t="s">
        <v>558</v>
      </c>
      <c r="K53" s="437"/>
    </row>
    <row r="54" spans="1:11" s="12" customFormat="1" ht="11.25" hidden="1">
      <c r="K54" s="437"/>
    </row>
    <row r="55" spans="1:11" s="12" customFormat="1" ht="11.25" hidden="1">
      <c r="B55" s="17" t="s">
        <v>329</v>
      </c>
      <c r="C55" s="428" t="s">
        <v>559</v>
      </c>
      <c r="D55" s="13" t="s">
        <v>157</v>
      </c>
      <c r="E55" s="13" t="s">
        <v>159</v>
      </c>
      <c r="F55" s="13" t="s">
        <v>158</v>
      </c>
      <c r="G55" s="13" t="s">
        <v>156</v>
      </c>
      <c r="K55" s="437"/>
    </row>
    <row r="56" spans="1:11" s="12" customFormat="1" ht="11.25" hidden="1">
      <c r="B56" s="112" t="s">
        <v>109</v>
      </c>
      <c r="C56" s="112" t="s">
        <v>560</v>
      </c>
      <c r="D56" s="504">
        <v>26000</v>
      </c>
      <c r="E56" s="504">
        <v>30000</v>
      </c>
      <c r="F56" s="504">
        <v>28000</v>
      </c>
      <c r="G56" s="504">
        <v>32000</v>
      </c>
      <c r="K56" s="437"/>
    </row>
    <row r="57" spans="1:11" s="12" customFormat="1" ht="11.25" hidden="1">
      <c r="B57" s="112" t="s">
        <v>109</v>
      </c>
      <c r="C57" s="112"/>
      <c r="D57" s="504">
        <v>23000</v>
      </c>
      <c r="E57" s="504">
        <v>24000</v>
      </c>
      <c r="F57" s="504">
        <v>25000</v>
      </c>
      <c r="G57" s="504">
        <v>27000</v>
      </c>
      <c r="K57" s="437"/>
    </row>
    <row r="58" spans="1:11" s="12" customFormat="1" ht="11.25" hidden="1">
      <c r="B58" s="112" t="s">
        <v>525</v>
      </c>
      <c r="C58" s="112" t="s">
        <v>560</v>
      </c>
      <c r="D58" s="504">
        <v>25000</v>
      </c>
      <c r="E58" s="504">
        <v>30000</v>
      </c>
      <c r="F58" s="504">
        <v>29000</v>
      </c>
      <c r="G58" s="504">
        <v>32000</v>
      </c>
      <c r="K58" s="437"/>
    </row>
    <row r="59" spans="1:11" s="12" customFormat="1" ht="11.25" hidden="1">
      <c r="B59" s="112" t="s">
        <v>525</v>
      </c>
      <c r="C59" s="112"/>
      <c r="D59" s="504">
        <v>15000</v>
      </c>
      <c r="E59" s="504">
        <v>20000</v>
      </c>
      <c r="F59" s="504">
        <v>20000</v>
      </c>
      <c r="G59" s="504">
        <v>22000</v>
      </c>
      <c r="K59" s="437"/>
    </row>
    <row r="60" spans="1:11" s="12" customFormat="1" ht="11.25" hidden="1">
      <c r="K60" s="437"/>
    </row>
    <row r="61" spans="1:11" s="12" customFormat="1" ht="11.25" hidden="1">
      <c r="K61" s="437"/>
    </row>
    <row r="62" spans="1:11" s="12" customFormat="1" ht="12.75" hidden="1" customHeight="1">
      <c r="A62" s="49">
        <v>2.2999999999999998</v>
      </c>
      <c r="B62" s="11" t="s">
        <v>454</v>
      </c>
    </row>
    <row r="63" spans="1:11" s="12" customFormat="1" ht="12.75" hidden="1" customHeight="1">
      <c r="A63" s="49"/>
      <c r="B63" s="11"/>
      <c r="D63" s="13" t="s">
        <v>333</v>
      </c>
      <c r="E63" s="1174" t="s">
        <v>334</v>
      </c>
      <c r="F63" s="1174"/>
    </row>
    <row r="64" spans="1:11" s="12" customFormat="1" ht="12.75" hidden="1" customHeight="1">
      <c r="A64" s="49"/>
      <c r="B64" s="11"/>
      <c r="D64" s="13" t="s">
        <v>35</v>
      </c>
      <c r="E64" s="13" t="s">
        <v>34</v>
      </c>
      <c r="F64" s="13" t="s">
        <v>33</v>
      </c>
    </row>
    <row r="65" spans="1:9" s="12" customFormat="1" ht="12.75" hidden="1" customHeight="1">
      <c r="A65" s="49"/>
      <c r="B65" s="324" t="s">
        <v>82</v>
      </c>
      <c r="C65" s="491"/>
      <c r="D65" s="292">
        <v>8000</v>
      </c>
      <c r="E65" s="293">
        <v>1.1100000000000001</v>
      </c>
      <c r="F65" s="293">
        <v>1.2</v>
      </c>
      <c r="G65" s="16"/>
      <c r="H65" s="16"/>
    </row>
    <row r="66" spans="1:9" s="12" customFormat="1" ht="12.75" hidden="1" customHeight="1">
      <c r="A66" s="49"/>
      <c r="B66" s="324" t="s">
        <v>81</v>
      </c>
      <c r="C66" s="491"/>
      <c r="D66" s="292">
        <v>4000</v>
      </c>
      <c r="E66" s="293">
        <v>1.1100000000000001</v>
      </c>
      <c r="F66" s="293">
        <v>1.2</v>
      </c>
      <c r="G66" s="16"/>
      <c r="H66" s="16"/>
      <c r="I66" s="264"/>
    </row>
    <row r="67" spans="1:9" s="12" customFormat="1" ht="12.75" hidden="1" customHeight="1">
      <c r="A67" s="49"/>
      <c r="B67" s="324" t="s">
        <v>80</v>
      </c>
      <c r="C67" s="491"/>
      <c r="D67" s="292">
        <v>7000</v>
      </c>
      <c r="E67" s="293">
        <v>1.1100000000000001</v>
      </c>
      <c r="F67" s="293">
        <v>1.2</v>
      </c>
      <c r="G67" s="16"/>
      <c r="H67" s="16"/>
      <c r="I67" s="264"/>
    </row>
    <row r="68" spans="1:9" s="12" customFormat="1" ht="12.75" hidden="1" customHeight="1">
      <c r="A68" s="49"/>
      <c r="B68" s="324" t="s">
        <v>77</v>
      </c>
      <c r="C68" s="491"/>
      <c r="D68" s="292">
        <v>7000</v>
      </c>
      <c r="E68" s="293">
        <v>1.1100000000000001</v>
      </c>
      <c r="F68" s="293">
        <v>1.2</v>
      </c>
      <c r="G68" s="16"/>
      <c r="H68" s="16"/>
      <c r="I68" s="291"/>
    </row>
    <row r="69" spans="1:9" s="12" customFormat="1" ht="12.75" hidden="1" customHeight="1">
      <c r="A69" s="49"/>
      <c r="B69" s="39" t="s">
        <v>76</v>
      </c>
      <c r="D69" s="290">
        <f>D103*D36</f>
        <v>7500</v>
      </c>
      <c r="E69" s="264">
        <f>E103/D103</f>
        <v>1.9</v>
      </c>
      <c r="F69" s="264">
        <f>F103/E103</f>
        <v>0.9</v>
      </c>
      <c r="G69" s="16"/>
      <c r="H69" s="16"/>
      <c r="I69" s="291"/>
    </row>
    <row r="70" spans="1:9" s="12" customFormat="1" ht="12.75" hidden="1" customHeight="1">
      <c r="A70" s="49"/>
      <c r="G70" s="16"/>
      <c r="H70" s="16"/>
      <c r="I70" s="291"/>
    </row>
    <row r="71" spans="1:9" s="12" customFormat="1" ht="12.75" hidden="1" customHeight="1">
      <c r="A71" s="49"/>
      <c r="D71" s="47" t="s">
        <v>35</v>
      </c>
      <c r="E71" s="47" t="s">
        <v>34</v>
      </c>
      <c r="F71" s="47" t="s">
        <v>33</v>
      </c>
      <c r="G71" s="16"/>
      <c r="H71" s="16"/>
      <c r="I71" s="291"/>
    </row>
    <row r="72" spans="1:9" s="12" customFormat="1" ht="12.75" hidden="1" customHeight="1">
      <c r="A72" s="49"/>
      <c r="B72" s="11" t="s">
        <v>101</v>
      </c>
      <c r="C72" s="35"/>
      <c r="D72" s="145">
        <f>SUM(D65:D70)</f>
        <v>33500</v>
      </c>
      <c r="E72" s="145">
        <f>SUMPRODUCT(D65:D70,E65:E70)</f>
        <v>43110</v>
      </c>
      <c r="F72" s="145">
        <f>SUMPRODUCT(E65:E70,F65:F70,D65:D70)</f>
        <v>47457</v>
      </c>
      <c r="G72" s="16"/>
      <c r="H72" s="16"/>
      <c r="I72" s="291"/>
    </row>
    <row r="73" spans="1:9" s="12" customFormat="1" ht="12.75" hidden="1" customHeight="1">
      <c r="A73" s="49"/>
      <c r="D73" s="438"/>
      <c r="G73" s="16"/>
      <c r="H73" s="16"/>
      <c r="I73" s="291"/>
    </row>
    <row r="74" spans="1:9" s="12" customFormat="1" ht="12.75" hidden="1" customHeight="1">
      <c r="A74" s="49"/>
      <c r="G74" s="16"/>
      <c r="H74" s="16"/>
      <c r="I74" s="291"/>
    </row>
    <row r="75" spans="1:9" s="12" customFormat="1" ht="12.75" hidden="1" customHeight="1">
      <c r="A75" s="49">
        <v>2.4</v>
      </c>
      <c r="B75" s="289" t="s">
        <v>365</v>
      </c>
      <c r="D75" s="290"/>
      <c r="E75" s="264"/>
      <c r="F75" s="264"/>
      <c r="G75" s="16"/>
      <c r="H75" s="16"/>
      <c r="I75" s="291"/>
    </row>
    <row r="76" spans="1:9" s="12" customFormat="1" ht="11.25" hidden="1">
      <c r="D76" s="13" t="s">
        <v>333</v>
      </c>
      <c r="E76" s="1174" t="s">
        <v>334</v>
      </c>
      <c r="F76" s="1174"/>
      <c r="G76" s="16"/>
      <c r="H76" s="16"/>
      <c r="I76" s="291"/>
    </row>
    <row r="77" spans="1:9" s="12" customFormat="1" ht="12.75" hidden="1" customHeight="1">
      <c r="A77" s="49"/>
      <c r="D77" s="13" t="s">
        <v>35</v>
      </c>
      <c r="E77" s="13" t="s">
        <v>34</v>
      </c>
      <c r="F77" s="13" t="s">
        <v>33</v>
      </c>
      <c r="G77" s="16"/>
      <c r="H77" s="16"/>
      <c r="I77" s="291"/>
    </row>
    <row r="78" spans="1:9" s="12" customFormat="1" ht="12.75" hidden="1" customHeight="1">
      <c r="A78" s="49"/>
      <c r="B78" s="324" t="s">
        <v>79</v>
      </c>
      <c r="C78" s="491"/>
      <c r="D78" s="292">
        <v>35000</v>
      </c>
      <c r="E78" s="293">
        <v>1.1100000000000001</v>
      </c>
      <c r="F78" s="293">
        <v>1.2</v>
      </c>
    </row>
    <row r="79" spans="1:9" s="12" customFormat="1" ht="12.75" hidden="1" customHeight="1">
      <c r="A79" s="49"/>
      <c r="B79" s="324" t="s">
        <v>78</v>
      </c>
      <c r="C79" s="491"/>
      <c r="D79" s="292">
        <v>3000</v>
      </c>
      <c r="E79" s="293">
        <v>1.1100000000000001</v>
      </c>
      <c r="F79" s="293">
        <v>1.2</v>
      </c>
    </row>
    <row r="80" spans="1:9" s="12" customFormat="1" ht="12.75" hidden="1" customHeight="1">
      <c r="A80" s="49"/>
      <c r="B80" s="39"/>
      <c r="D80" s="290"/>
      <c r="E80" s="264"/>
      <c r="F80" s="264"/>
    </row>
    <row r="81" spans="1:11" s="12" customFormat="1" ht="12.75" hidden="1" customHeight="1">
      <c r="A81" s="49"/>
      <c r="B81" s="11" t="s">
        <v>101</v>
      </c>
      <c r="C81" s="35"/>
      <c r="D81" s="145">
        <f>SUM(D78:D80)</f>
        <v>38000</v>
      </c>
      <c r="E81" s="145">
        <f>SUMPRODUCT(D78:D80,E78:E80)</f>
        <v>42180</v>
      </c>
      <c r="F81" s="145">
        <f>SUMPRODUCT(D78:D80,E78:E80,F78:F80)</f>
        <v>50616</v>
      </c>
    </row>
    <row r="82" spans="1:11" s="12" customFormat="1" ht="12.75" hidden="1" customHeight="1">
      <c r="A82" s="49"/>
      <c r="B82" s="39"/>
      <c r="D82" s="290"/>
      <c r="E82" s="264"/>
      <c r="F82" s="264"/>
    </row>
    <row r="83" spans="1:11" s="12" customFormat="1" ht="12.75" hidden="1" customHeight="1">
      <c r="A83" s="49"/>
      <c r="B83" s="39"/>
      <c r="D83" s="290"/>
      <c r="E83" s="264"/>
      <c r="F83" s="264"/>
    </row>
    <row r="84" spans="1:11" s="12" customFormat="1" ht="12.75" hidden="1" customHeight="1">
      <c r="A84" s="49">
        <v>2.5</v>
      </c>
      <c r="B84" s="11" t="s">
        <v>83</v>
      </c>
      <c r="K84" s="439"/>
    </row>
    <row r="85" spans="1:11" s="12" customFormat="1" ht="12.75" hidden="1" customHeight="1">
      <c r="A85" s="49"/>
      <c r="F85" s="1174" t="s">
        <v>334</v>
      </c>
      <c r="G85" s="1174"/>
    </row>
    <row r="86" spans="1:11" s="12" customFormat="1" ht="12.75" hidden="1" customHeight="1">
      <c r="A86" s="49"/>
      <c r="D86" s="115" t="s">
        <v>333</v>
      </c>
      <c r="E86" s="114" t="s">
        <v>367</v>
      </c>
      <c r="F86" s="115" t="s">
        <v>34</v>
      </c>
      <c r="G86" s="115" t="s">
        <v>33</v>
      </c>
    </row>
    <row r="87" spans="1:11" s="12" customFormat="1" ht="11.25" hidden="1">
      <c r="B87" s="324" t="s">
        <v>332</v>
      </c>
      <c r="C87" s="491"/>
      <c r="D87" s="292">
        <v>5000</v>
      </c>
      <c r="E87" s="110">
        <v>200</v>
      </c>
      <c r="F87" s="293">
        <v>1.1100000000000001</v>
      </c>
      <c r="G87" s="293">
        <v>1.2</v>
      </c>
      <c r="H87" s="16"/>
      <c r="I87" s="291"/>
    </row>
    <row r="88" spans="1:11" s="12" customFormat="1" ht="11.25" hidden="1">
      <c r="B88" s="503" t="s">
        <v>331</v>
      </c>
      <c r="C88" s="491"/>
      <c r="D88" s="503"/>
      <c r="E88" s="503"/>
      <c r="F88" s="503"/>
      <c r="G88" s="503"/>
    </row>
    <row r="89" spans="1:11" s="12" customFormat="1" ht="11.25" hidden="1"/>
    <row r="90" spans="1:11" s="12" customFormat="1" ht="12.75" hidden="1" customHeight="1">
      <c r="A90" s="49"/>
      <c r="C90" s="440"/>
      <c r="D90" s="47" t="s">
        <v>35</v>
      </c>
      <c r="E90" s="47" t="s">
        <v>34</v>
      </c>
      <c r="F90" s="47" t="s">
        <v>33</v>
      </c>
    </row>
    <row r="91" spans="1:11" s="12" customFormat="1" hidden="1">
      <c r="B91" s="11" t="s">
        <v>101</v>
      </c>
      <c r="C91" s="35"/>
      <c r="D91" s="146">
        <f>SUM(D87:D89)</f>
        <v>5000</v>
      </c>
      <c r="E91" s="146">
        <f>SUMPRODUCT(D87:D89,F87:F89)</f>
        <v>5550.0000000000009</v>
      </c>
      <c r="F91" s="146">
        <f>SUMPRODUCT(D87:D89,G87:G89,F87:F89)</f>
        <v>6660.0000000000009</v>
      </c>
    </row>
    <row r="92" spans="1:11" s="12" customFormat="1" ht="11.25" hidden="1"/>
    <row r="93" spans="1:11" s="12" customFormat="1" ht="11.25" hidden="1"/>
    <row r="94" spans="1:11" s="12" customFormat="1" ht="12.75" hidden="1" customHeight="1">
      <c r="A94" s="49">
        <v>2.6</v>
      </c>
      <c r="B94" s="11" t="s">
        <v>335</v>
      </c>
      <c r="K94" s="315"/>
    </row>
    <row r="95" spans="1:11" s="12" customFormat="1" ht="11.25" hidden="1">
      <c r="B95" s="1169" t="s">
        <v>340</v>
      </c>
      <c r="C95" s="1171"/>
      <c r="D95" s="115" t="s">
        <v>641</v>
      </c>
      <c r="E95" s="115" t="s">
        <v>336</v>
      </c>
      <c r="F95" s="115" t="s">
        <v>341</v>
      </c>
      <c r="G95" s="115" t="s">
        <v>339</v>
      </c>
      <c r="H95" s="115" t="s">
        <v>342</v>
      </c>
    </row>
    <row r="96" spans="1:11" s="12" customFormat="1" ht="11.25" hidden="1">
      <c r="B96" s="503" t="s">
        <v>338</v>
      </c>
      <c r="C96" s="491"/>
      <c r="D96" s="505">
        <v>40000</v>
      </c>
      <c r="E96" s="506">
        <v>0.1</v>
      </c>
      <c r="F96" s="503">
        <v>36</v>
      </c>
      <c r="G96" s="503">
        <v>12</v>
      </c>
      <c r="H96" s="503" t="s">
        <v>370</v>
      </c>
      <c r="I96" s="16"/>
    </row>
    <row r="97" spans="1:9" s="12" customFormat="1" ht="11.25" hidden="1"/>
    <row r="98" spans="1:9" s="12" customFormat="1" ht="11.25" hidden="1">
      <c r="C98" s="440"/>
      <c r="D98" s="47" t="s">
        <v>35</v>
      </c>
      <c r="E98" s="47" t="s">
        <v>34</v>
      </c>
      <c r="F98" s="47" t="s">
        <v>33</v>
      </c>
      <c r="G98" s="47" t="s">
        <v>678</v>
      </c>
    </row>
    <row r="99" spans="1:9" s="12" customFormat="1" hidden="1">
      <c r="B99" s="11" t="s">
        <v>101</v>
      </c>
      <c r="C99" s="35"/>
      <c r="D99" s="146">
        <f>debtAnnualPaymentsFY1(DebtRange)</f>
        <v>15391.295580719105</v>
      </c>
      <c r="E99" s="146">
        <f>debtAnnualPaymentsFY2(DebtRange)</f>
        <v>15391.295580719105</v>
      </c>
      <c r="F99" s="146">
        <f>debtAnnualPaymentsFY3(DebtRange)</f>
        <v>15391.295580719105</v>
      </c>
      <c r="G99" s="925">
        <f>SUM(D96:D97)</f>
        <v>40000</v>
      </c>
    </row>
    <row r="100" spans="1:9" s="12" customFormat="1" ht="11.25" hidden="1"/>
    <row r="101" spans="1:9" s="12" customFormat="1" ht="11.25" hidden="1"/>
    <row r="102" spans="1:9" s="12" customFormat="1" hidden="1">
      <c r="A102" s="49">
        <v>2.7</v>
      </c>
      <c r="B102" s="11" t="s">
        <v>76</v>
      </c>
      <c r="D102" s="115" t="s">
        <v>35</v>
      </c>
      <c r="E102" s="114" t="s">
        <v>34</v>
      </c>
      <c r="F102" s="115" t="s">
        <v>33</v>
      </c>
      <c r="I102" s="16"/>
    </row>
    <row r="103" spans="1:9" s="12" customFormat="1" hidden="1">
      <c r="A103" s="49"/>
      <c r="B103" s="112" t="s">
        <v>459</v>
      </c>
      <c r="C103" s="112"/>
      <c r="D103" s="507">
        <v>0.05</v>
      </c>
      <c r="E103" s="507">
        <v>9.5000000000000001E-2</v>
      </c>
      <c r="F103" s="507">
        <v>8.5500000000000007E-2</v>
      </c>
      <c r="I103" s="16"/>
    </row>
    <row r="104" spans="1:9" s="12" customFormat="1" ht="11.25" hidden="1">
      <c r="B104" s="35" t="s">
        <v>460</v>
      </c>
      <c r="C104" s="35"/>
      <c r="D104" s="441">
        <f>D113*D38*D103</f>
        <v>2625</v>
      </c>
      <c r="E104" s="442">
        <f>D113*D38*E103</f>
        <v>4987.5</v>
      </c>
      <c r="F104" s="442">
        <f>D113*D38*F103</f>
        <v>4488.75</v>
      </c>
      <c r="I104" s="16"/>
    </row>
    <row r="105" spans="1:9" s="12" customFormat="1" ht="11.25" hidden="1">
      <c r="B105" s="35"/>
      <c r="C105" s="35"/>
      <c r="D105" s="441"/>
      <c r="E105" s="442"/>
      <c r="F105" s="442"/>
      <c r="I105" s="16"/>
    </row>
    <row r="106" spans="1:9" s="12" customFormat="1" hidden="1">
      <c r="A106" s="49">
        <v>2.8</v>
      </c>
      <c r="B106" s="11" t="s">
        <v>625</v>
      </c>
      <c r="C106" s="35"/>
      <c r="D106" s="441"/>
      <c r="E106" s="740" t="s">
        <v>345</v>
      </c>
      <c r="F106" s="442"/>
      <c r="I106" s="16"/>
    </row>
    <row r="107" spans="1:9" s="12" customFormat="1" ht="11.25" hidden="1">
      <c r="B107" s="112" t="s">
        <v>626</v>
      </c>
      <c r="C107" s="738"/>
      <c r="D107" s="739"/>
      <c r="E107" s="741">
        <v>0.05</v>
      </c>
      <c r="F107" s="442"/>
      <c r="I107" s="16"/>
    </row>
    <row r="108" spans="1:9" s="12" customFormat="1" ht="11.25" hidden="1">
      <c r="B108" s="112" t="s">
        <v>627</v>
      </c>
      <c r="C108" s="738"/>
      <c r="D108" s="739"/>
      <c r="E108" s="741">
        <v>0.01</v>
      </c>
      <c r="F108" s="442"/>
      <c r="I108" s="16"/>
    </row>
    <row r="109" spans="1:9" s="12" customFormat="1" ht="11.25" hidden="1"/>
    <row r="110" spans="1:9" s="12" customFormat="1" ht="15.75" hidden="1">
      <c r="A110" s="431">
        <v>3</v>
      </c>
      <c r="B110" s="946" t="s">
        <v>506</v>
      </c>
      <c r="C110" s="431"/>
    </row>
    <row r="111" spans="1:9" s="12" customFormat="1" hidden="1">
      <c r="A111" s="49">
        <v>3.1</v>
      </c>
      <c r="B111" s="11" t="s">
        <v>343</v>
      </c>
    </row>
    <row r="112" spans="1:9" s="12" customFormat="1" ht="11.25" hidden="1">
      <c r="B112" s="114" t="s">
        <v>344</v>
      </c>
      <c r="C112" s="116"/>
      <c r="D112" s="116" t="s">
        <v>345</v>
      </c>
    </row>
    <row r="113" spans="1:19" s="12" customFormat="1" ht="11.25" hidden="1">
      <c r="B113" s="112" t="s">
        <v>118</v>
      </c>
      <c r="C113" s="112"/>
      <c r="D113" s="508">
        <v>0.35</v>
      </c>
    </row>
    <row r="114" spans="1:19" s="12" customFormat="1" ht="12.75" hidden="1" customHeight="1">
      <c r="A114" s="49"/>
      <c r="C114" s="440"/>
    </row>
    <row r="115" spans="1:19" s="12" customFormat="1" ht="12.75" hidden="1" customHeight="1">
      <c r="A115" s="49"/>
      <c r="C115" s="440"/>
    </row>
    <row r="116" spans="1:19" s="12" customFormat="1" ht="12.75" hidden="1" customHeight="1">
      <c r="A116" s="49">
        <v>3.2</v>
      </c>
      <c r="B116" s="11" t="s">
        <v>356</v>
      </c>
      <c r="C116" s="440"/>
    </row>
    <row r="117" spans="1:19" s="12" customFormat="1" ht="11.25" hidden="1">
      <c r="B117" s="114" t="s">
        <v>357</v>
      </c>
      <c r="C117" s="116"/>
      <c r="D117" s="443" t="s">
        <v>337</v>
      </c>
    </row>
    <row r="118" spans="1:19" s="12" customFormat="1" ht="11.25" hidden="1">
      <c r="B118" s="503" t="s">
        <v>358</v>
      </c>
      <c r="C118" s="493"/>
      <c r="D118" s="503"/>
    </row>
    <row r="119" spans="1:19" s="12" customFormat="1" ht="11.25" hidden="1"/>
    <row r="120" spans="1:19" s="12" customFormat="1" hidden="1">
      <c r="B120" s="11" t="s">
        <v>101</v>
      </c>
      <c r="D120" s="12" t="str">
        <f>IF(SUM(D118:D119)=0,"",SUM(D118:D119))</f>
        <v/>
      </c>
    </row>
    <row r="121" spans="1:19" s="12" customFormat="1" ht="11.25" hidden="1"/>
    <row r="122" spans="1:19" s="12" customFormat="1" ht="11.25" hidden="1"/>
    <row r="123" spans="1:19" ht="15.75" hidden="1">
      <c r="A123" s="431">
        <v>4</v>
      </c>
      <c r="B123" s="423" t="s">
        <v>72</v>
      </c>
      <c r="C123" s="444"/>
      <c r="D123" s="425"/>
    </row>
    <row r="124" spans="1:19" s="12" customFormat="1" ht="15" hidden="1">
      <c r="A124" s="49" t="s">
        <v>355</v>
      </c>
      <c r="B124" s="11" t="s">
        <v>71</v>
      </c>
      <c r="C124" s="1"/>
      <c r="D124" s="11"/>
    </row>
    <row r="125" spans="1:19" s="12" customFormat="1" hidden="1">
      <c r="A125" s="49"/>
      <c r="B125" s="11"/>
      <c r="C125" s="1"/>
      <c r="D125" s="105"/>
      <c r="E125" s="1169" t="s">
        <v>189</v>
      </c>
      <c r="F125" s="1170"/>
      <c r="G125" s="1171"/>
      <c r="H125" s="115"/>
      <c r="M125" s="1172"/>
      <c r="N125" s="1172"/>
      <c r="O125" s="1172"/>
    </row>
    <row r="126" spans="1:19" s="12" customFormat="1" hidden="1">
      <c r="A126" s="4"/>
      <c r="B126" s="121"/>
      <c r="C126" s="121"/>
      <c r="D126" s="220"/>
      <c r="E126" s="221" t="s">
        <v>432</v>
      </c>
      <c r="F126" s="120" t="s">
        <v>64</v>
      </c>
      <c r="G126" s="222" t="s">
        <v>63</v>
      </c>
      <c r="H126" s="223" t="s">
        <v>368</v>
      </c>
      <c r="I126" s="120" t="s">
        <v>351</v>
      </c>
      <c r="J126" s="120" t="s">
        <v>638</v>
      </c>
      <c r="K126" s="120" t="s">
        <v>70</v>
      </c>
      <c r="L126" s="120" t="s">
        <v>348</v>
      </c>
      <c r="M126" s="120" t="s">
        <v>347</v>
      </c>
      <c r="N126" s="120" t="s">
        <v>639</v>
      </c>
      <c r="O126" s="16"/>
      <c r="P126" s="16"/>
    </row>
    <row r="127" spans="1:19" s="12" customFormat="1" hidden="1">
      <c r="A127" s="4"/>
      <c r="B127" s="112" t="s">
        <v>66</v>
      </c>
      <c r="C127" s="112" t="s">
        <v>431</v>
      </c>
      <c r="D127" s="185" t="s">
        <v>346</v>
      </c>
      <c r="E127" s="224" t="s">
        <v>354</v>
      </c>
      <c r="F127" s="113" t="s">
        <v>354</v>
      </c>
      <c r="G127" s="217" t="s">
        <v>354</v>
      </c>
      <c r="H127" s="225" t="s">
        <v>354</v>
      </c>
      <c r="I127" s="113" t="s">
        <v>350</v>
      </c>
      <c r="J127" s="113"/>
      <c r="K127" s="113" t="s">
        <v>352</v>
      </c>
      <c r="L127" s="113" t="s">
        <v>352</v>
      </c>
      <c r="M127" s="113" t="s">
        <v>353</v>
      </c>
      <c r="N127" s="113" t="s">
        <v>353</v>
      </c>
      <c r="O127" s="16"/>
    </row>
    <row r="128" spans="1:19" s="12" customFormat="1" hidden="1">
      <c r="A128" s="4"/>
      <c r="B128" s="324" t="s">
        <v>583</v>
      </c>
      <c r="C128" s="16" t="s">
        <v>409</v>
      </c>
      <c r="D128" s="297" t="s">
        <v>69</v>
      </c>
      <c r="E128" s="111">
        <v>0.56000000000000005</v>
      </c>
      <c r="F128" s="111">
        <v>0.3</v>
      </c>
      <c r="G128" s="111">
        <v>0.3</v>
      </c>
      <c r="H128" s="298">
        <v>4</v>
      </c>
      <c r="I128" s="110">
        <v>1</v>
      </c>
      <c r="J128" s="110">
        <v>0.8</v>
      </c>
      <c r="K128" s="110">
        <v>1.05</v>
      </c>
      <c r="L128" s="110">
        <v>1.3</v>
      </c>
      <c r="M128" s="110">
        <v>0</v>
      </c>
      <c r="N128" s="110">
        <v>0</v>
      </c>
      <c r="O128" s="16"/>
      <c r="P128" s="43"/>
      <c r="Q128" s="46" t="s">
        <v>60</v>
      </c>
      <c r="R128" s="43"/>
      <c r="S128" s="43"/>
    </row>
    <row r="129" spans="1:19" s="12" customFormat="1" hidden="1">
      <c r="A129" s="4"/>
      <c r="B129" s="324" t="s">
        <v>584</v>
      </c>
      <c r="C129" s="16" t="s">
        <v>409</v>
      </c>
      <c r="D129" s="297" t="s">
        <v>68</v>
      </c>
      <c r="E129" s="111">
        <v>0.5</v>
      </c>
      <c r="F129" s="111">
        <v>0.3</v>
      </c>
      <c r="G129" s="111">
        <v>0.3</v>
      </c>
      <c r="H129" s="298">
        <v>4</v>
      </c>
      <c r="I129" s="110">
        <v>1</v>
      </c>
      <c r="J129" s="110">
        <f t="shared" ref="J129:J135" si="0">cutoff</f>
        <v>0.8</v>
      </c>
      <c r="K129" s="110">
        <v>1.05</v>
      </c>
      <c r="L129" s="110">
        <v>1.3</v>
      </c>
      <c r="M129" s="110">
        <v>0</v>
      </c>
      <c r="N129" s="110">
        <v>0</v>
      </c>
      <c r="O129" s="16"/>
      <c r="P129" s="45" t="s">
        <v>58</v>
      </c>
      <c r="Q129" s="43" t="s">
        <v>57</v>
      </c>
      <c r="R129" s="43"/>
      <c r="S129" s="43"/>
    </row>
    <row r="130" spans="1:19" s="12" customFormat="1" hidden="1">
      <c r="A130" s="4"/>
      <c r="B130" s="324" t="s">
        <v>585</v>
      </c>
      <c r="C130" s="16" t="s">
        <v>409</v>
      </c>
      <c r="D130" s="297" t="s">
        <v>433</v>
      </c>
      <c r="E130" s="111">
        <v>0.5</v>
      </c>
      <c r="F130" s="111">
        <v>0.3</v>
      </c>
      <c r="G130" s="111">
        <v>0.3</v>
      </c>
      <c r="H130" s="298">
        <v>3.5</v>
      </c>
      <c r="I130" s="110">
        <v>1</v>
      </c>
      <c r="J130" s="110">
        <f t="shared" si="0"/>
        <v>0.8</v>
      </c>
      <c r="K130" s="110">
        <v>1.05</v>
      </c>
      <c r="L130" s="110">
        <v>1.3</v>
      </c>
      <c r="M130" s="110">
        <v>0</v>
      </c>
      <c r="N130" s="110">
        <v>0</v>
      </c>
      <c r="P130" s="299" t="s">
        <v>56</v>
      </c>
      <c r="Q130" s="300" t="s">
        <v>55</v>
      </c>
      <c r="R130" s="300"/>
      <c r="S130" s="43"/>
    </row>
    <row r="131" spans="1:19" s="12" customFormat="1" hidden="1">
      <c r="A131" s="4"/>
      <c r="B131" s="324" t="s">
        <v>586</v>
      </c>
      <c r="C131" s="16" t="s">
        <v>409</v>
      </c>
      <c r="D131" s="297" t="s">
        <v>434</v>
      </c>
      <c r="E131" s="111">
        <v>0.5</v>
      </c>
      <c r="F131" s="111">
        <v>0.3</v>
      </c>
      <c r="G131" s="111">
        <v>0.3</v>
      </c>
      <c r="H131" s="298">
        <v>3.5</v>
      </c>
      <c r="I131" s="110">
        <v>1</v>
      </c>
      <c r="J131" s="110">
        <f t="shared" si="0"/>
        <v>0.8</v>
      </c>
      <c r="K131" s="110">
        <v>1.05</v>
      </c>
      <c r="L131" s="110">
        <v>1.3</v>
      </c>
      <c r="M131" s="110">
        <v>0</v>
      </c>
      <c r="N131" s="110">
        <v>0</v>
      </c>
      <c r="P131" s="299" t="s">
        <v>54</v>
      </c>
      <c r="Q131" s="301" t="s">
        <v>53</v>
      </c>
      <c r="R131" s="301"/>
      <c r="S131" s="43"/>
    </row>
    <row r="132" spans="1:19" s="12" customFormat="1" hidden="1">
      <c r="A132" s="4"/>
      <c r="B132" s="324" t="s">
        <v>587</v>
      </c>
      <c r="C132" s="16" t="s">
        <v>409</v>
      </c>
      <c r="D132" s="297" t="s">
        <v>435</v>
      </c>
      <c r="E132" s="111">
        <v>0.5</v>
      </c>
      <c r="F132" s="111">
        <v>0.3</v>
      </c>
      <c r="G132" s="111">
        <v>0.3</v>
      </c>
      <c r="H132" s="298">
        <v>3.5</v>
      </c>
      <c r="I132" s="110">
        <v>1</v>
      </c>
      <c r="J132" s="110">
        <f t="shared" si="0"/>
        <v>0.8</v>
      </c>
      <c r="K132" s="110">
        <v>1.05</v>
      </c>
      <c r="L132" s="110">
        <v>1.3</v>
      </c>
      <c r="M132" s="110">
        <v>0</v>
      </c>
      <c r="N132" s="110">
        <v>0</v>
      </c>
      <c r="P132" s="299"/>
      <c r="Q132" s="301"/>
      <c r="R132" s="301"/>
      <c r="S132" s="43"/>
    </row>
    <row r="133" spans="1:19" s="12" customFormat="1" hidden="1">
      <c r="A133" s="4"/>
      <c r="B133" s="324" t="s">
        <v>588</v>
      </c>
      <c r="C133" s="16" t="s">
        <v>409</v>
      </c>
      <c r="D133" s="297" t="s">
        <v>436</v>
      </c>
      <c r="E133" s="111">
        <v>0.5</v>
      </c>
      <c r="F133" s="111">
        <v>0.3</v>
      </c>
      <c r="G133" s="111">
        <v>0.3</v>
      </c>
      <c r="H133" s="298">
        <v>3.5</v>
      </c>
      <c r="I133" s="110">
        <v>1</v>
      </c>
      <c r="J133" s="110">
        <f t="shared" si="0"/>
        <v>0.8</v>
      </c>
      <c r="K133" s="110">
        <v>1.05</v>
      </c>
      <c r="L133" s="110">
        <v>1.3</v>
      </c>
      <c r="M133" s="110">
        <v>0</v>
      </c>
      <c r="N133" s="110">
        <v>0</v>
      </c>
      <c r="P133" s="299"/>
      <c r="Q133" s="301"/>
      <c r="R133" s="301"/>
      <c r="S133" s="43"/>
    </row>
    <row r="134" spans="1:19" s="12" customFormat="1" hidden="1">
      <c r="A134" s="4"/>
      <c r="B134" s="324" t="s">
        <v>589</v>
      </c>
      <c r="C134" s="16" t="s">
        <v>410</v>
      </c>
      <c r="D134" s="297" t="s">
        <v>69</v>
      </c>
      <c r="E134" s="111">
        <v>0.56000000000000005</v>
      </c>
      <c r="F134" s="111">
        <v>0.24</v>
      </c>
      <c r="G134" s="111">
        <v>0.26</v>
      </c>
      <c r="H134" s="298">
        <v>1.25</v>
      </c>
      <c r="I134" s="110">
        <v>124</v>
      </c>
      <c r="J134" s="110">
        <f t="shared" si="0"/>
        <v>0.8</v>
      </c>
      <c r="K134" s="110">
        <v>130.80000000000001</v>
      </c>
      <c r="L134" s="110">
        <v>160.5</v>
      </c>
      <c r="M134" s="110" t="s">
        <v>349</v>
      </c>
      <c r="N134" s="110">
        <v>16</v>
      </c>
      <c r="O134" s="226"/>
      <c r="P134" s="299"/>
      <c r="Q134" s="301"/>
      <c r="R134" s="301"/>
      <c r="S134" s="43"/>
    </row>
    <row r="135" spans="1:19" s="12" customFormat="1" hidden="1">
      <c r="A135" s="4"/>
      <c r="B135" s="324" t="s">
        <v>590</v>
      </c>
      <c r="C135" s="16" t="s">
        <v>410</v>
      </c>
      <c r="D135" s="297" t="s">
        <v>68</v>
      </c>
      <c r="E135" s="111">
        <v>0.56000000000000005</v>
      </c>
      <c r="F135" s="111">
        <v>0.24</v>
      </c>
      <c r="G135" s="111">
        <v>0.26</v>
      </c>
      <c r="H135" s="298">
        <v>1.28</v>
      </c>
      <c r="I135" s="110">
        <v>124</v>
      </c>
      <c r="J135" s="110">
        <f t="shared" si="0"/>
        <v>0.8</v>
      </c>
      <c r="K135" s="110">
        <v>130.80000000000001</v>
      </c>
      <c r="L135" s="110">
        <v>160.5</v>
      </c>
      <c r="M135" s="110">
        <v>23.3</v>
      </c>
      <c r="N135" s="110">
        <v>16</v>
      </c>
      <c r="O135" s="226"/>
      <c r="P135" s="299"/>
      <c r="Q135" s="301"/>
      <c r="R135" s="301"/>
      <c r="S135" s="43"/>
    </row>
    <row r="136" spans="1:19" s="12" customFormat="1" hidden="1">
      <c r="A136" s="4"/>
      <c r="B136" s="324" t="s">
        <v>591</v>
      </c>
      <c r="C136" s="16" t="s">
        <v>409</v>
      </c>
      <c r="D136" s="297" t="s">
        <v>446</v>
      </c>
      <c r="E136" s="111">
        <f>AVERAGE(E128:E135)</f>
        <v>0.52249999999999996</v>
      </c>
      <c r="F136" s="111">
        <f>AVERAGE(F128:F135)</f>
        <v>0.28500000000000003</v>
      </c>
      <c r="G136" s="111">
        <f>AVERAGE(G128:G135)</f>
        <v>0.29000000000000004</v>
      </c>
      <c r="H136" s="298">
        <f>MIN(H128:H135)</f>
        <v>1.25</v>
      </c>
      <c r="I136" s="110">
        <v>1</v>
      </c>
      <c r="J136" s="110">
        <v>1</v>
      </c>
      <c r="K136" s="110">
        <v>1.05</v>
      </c>
      <c r="L136" s="110">
        <v>1.3</v>
      </c>
      <c r="M136" s="110">
        <v>0</v>
      </c>
      <c r="N136" s="110">
        <v>0</v>
      </c>
      <c r="O136" s="226"/>
      <c r="P136" s="299"/>
      <c r="Q136" s="301"/>
      <c r="R136" s="301"/>
      <c r="S136" s="43"/>
    </row>
    <row r="137" spans="1:19" s="12" customFormat="1" hidden="1">
      <c r="A137" s="4"/>
      <c r="C137" s="39"/>
      <c r="D137" s="16"/>
      <c r="E137" s="16"/>
      <c r="F137" s="16"/>
      <c r="G137" s="16"/>
      <c r="H137" s="16"/>
      <c r="I137" s="16"/>
      <c r="J137" s="16"/>
      <c r="K137" s="16"/>
      <c r="L137" s="16"/>
      <c r="M137" s="16"/>
      <c r="N137" s="16"/>
      <c r="O137" s="16"/>
      <c r="P137" s="299" t="s">
        <v>52</v>
      </c>
      <c r="Q137" s="300" t="s">
        <v>51</v>
      </c>
      <c r="R137" s="301"/>
      <c r="S137" s="43"/>
    </row>
    <row r="138" spans="1:19" s="12" customFormat="1" ht="11.25" hidden="1">
      <c r="A138" s="40"/>
      <c r="C138" s="16"/>
      <c r="E138" s="39"/>
      <c r="H138" s="264"/>
      <c r="I138" s="264"/>
      <c r="J138" s="302"/>
      <c r="K138" s="16"/>
      <c r="L138" s="16"/>
    </row>
    <row r="139" spans="1:19" s="12" customFormat="1" ht="11.25" hidden="1">
      <c r="A139" s="40"/>
      <c r="C139" s="16"/>
      <c r="E139" s="39"/>
      <c r="H139" s="264"/>
      <c r="I139" s="264"/>
      <c r="J139" s="302"/>
      <c r="K139" s="16"/>
    </row>
    <row r="140" spans="1:19" s="12" customFormat="1" ht="15.75" hidden="1">
      <c r="A140" s="431">
        <v>5</v>
      </c>
      <c r="B140" s="1173" t="s">
        <v>430</v>
      </c>
      <c r="C140" s="1173"/>
      <c r="D140" s="1173"/>
      <c r="E140" s="1173"/>
      <c r="F140" s="1173"/>
      <c r="G140" s="1173"/>
      <c r="H140" s="264"/>
      <c r="I140" s="264"/>
      <c r="J140" s="302"/>
      <c r="K140" s="16"/>
      <c r="L140" s="16"/>
      <c r="N140" s="201"/>
      <c r="P140" s="201"/>
    </row>
    <row r="141" spans="1:19" s="12" customFormat="1" ht="11.25" hidden="1">
      <c r="A141" s="50"/>
      <c r="C141" s="16"/>
      <c r="D141" s="56"/>
      <c r="E141" s="39"/>
      <c r="H141" s="264"/>
      <c r="I141" s="264"/>
      <c r="J141" s="302"/>
      <c r="K141" s="16"/>
      <c r="L141" s="16"/>
      <c r="N141" s="201"/>
      <c r="P141" s="201"/>
    </row>
    <row r="142" spans="1:19" s="12" customFormat="1" ht="11.25" hidden="1">
      <c r="A142" s="50"/>
      <c r="B142" s="121"/>
      <c r="C142" s="120"/>
      <c r="D142" s="202"/>
      <c r="E142" s="203" t="s">
        <v>35</v>
      </c>
      <c r="F142" s="204"/>
      <c r="G142" s="205"/>
      <c r="H142" s="202"/>
      <c r="I142" s="203" t="s">
        <v>34</v>
      </c>
      <c r="J142" s="204"/>
      <c r="K142" s="205"/>
      <c r="L142" s="202"/>
      <c r="M142" s="203" t="s">
        <v>33</v>
      </c>
      <c r="N142" s="206"/>
      <c r="O142" s="205"/>
      <c r="P142" s="201"/>
    </row>
    <row r="143" spans="1:19" s="12" customFormat="1" ht="11.25" hidden="1">
      <c r="A143" s="50"/>
      <c r="B143" s="121"/>
      <c r="C143" s="207" t="s">
        <v>61</v>
      </c>
      <c r="D143" s="208">
        <f>SUM(D146:D156)</f>
        <v>1</v>
      </c>
      <c r="E143" s="209">
        <f>H24</f>
        <v>52745.061599999994</v>
      </c>
      <c r="F143" s="210"/>
      <c r="G143" s="211"/>
      <c r="H143" s="208">
        <f>SUM(H146:H156)</f>
        <v>1</v>
      </c>
      <c r="I143" s="209">
        <f>I24</f>
        <v>57053.581200000001</v>
      </c>
      <c r="J143" s="210"/>
      <c r="K143" s="211"/>
      <c r="L143" s="208">
        <f>SUM(L146:L156)</f>
        <v>1</v>
      </c>
      <c r="M143" s="209">
        <f>J24</f>
        <v>63228.211200000005</v>
      </c>
      <c r="N143" s="212"/>
      <c r="O143" s="211"/>
      <c r="P143" s="201"/>
    </row>
    <row r="144" spans="1:19" s="12" customFormat="1" ht="11.25" hidden="1">
      <c r="A144" s="50"/>
      <c r="B144" s="121"/>
      <c r="C144" s="210" t="s">
        <v>62</v>
      </c>
      <c r="D144" s="213"/>
      <c r="E144" s="211"/>
      <c r="F144" s="214">
        <f>SUM(F146:F156)</f>
        <v>1</v>
      </c>
      <c r="G144" s="215">
        <f>H27</f>
        <v>117400.29839999999</v>
      </c>
      <c r="H144" s="213"/>
      <c r="I144" s="211"/>
      <c r="J144" s="214">
        <f>SUM(J146:J156)</f>
        <v>1</v>
      </c>
      <c r="K144" s="215">
        <f>I27</f>
        <v>124068.89880000001</v>
      </c>
      <c r="L144" s="213"/>
      <c r="M144" s="211"/>
      <c r="N144" s="214">
        <f>SUM(N146:N156)</f>
        <v>1</v>
      </c>
      <c r="O144" s="215">
        <f>J27</f>
        <v>134359.94879999998</v>
      </c>
      <c r="P144" s="201"/>
    </row>
    <row r="145" spans="1:48" s="12" customFormat="1" ht="11.25" hidden="1">
      <c r="A145" s="50"/>
      <c r="B145" s="112" t="s">
        <v>66</v>
      </c>
      <c r="C145" s="112" t="s">
        <v>431</v>
      </c>
      <c r="D145" s="216"/>
      <c r="E145" s="217"/>
      <c r="F145" s="112"/>
      <c r="G145" s="218"/>
      <c r="H145" s="216"/>
      <c r="I145" s="217"/>
      <c r="J145" s="112"/>
      <c r="K145" s="218"/>
      <c r="L145" s="216"/>
      <c r="M145" s="217"/>
      <c r="N145" s="219"/>
      <c r="O145" s="218"/>
      <c r="P145" s="201"/>
    </row>
    <row r="146" spans="1:48" s="12" customFormat="1" ht="11.25" hidden="1">
      <c r="A146" s="50"/>
      <c r="B146" s="12" t="str">
        <f>B128</f>
        <v>BR01-01</v>
      </c>
      <c r="C146" s="16" t="s">
        <v>409</v>
      </c>
      <c r="D146" s="509">
        <v>0.23</v>
      </c>
      <c r="E146" s="445">
        <f>E143*D146</f>
        <v>12131.364167999998</v>
      </c>
      <c r="F146" s="39"/>
      <c r="G146" s="446"/>
      <c r="H146" s="509">
        <v>0.24</v>
      </c>
      <c r="I146" s="445">
        <f>$I$143*H146</f>
        <v>13692.859488</v>
      </c>
      <c r="J146" s="39"/>
      <c r="K146" s="446"/>
      <c r="L146" s="509">
        <v>0.23</v>
      </c>
      <c r="M146" s="445">
        <f>M143*L146</f>
        <v>14542.488576000002</v>
      </c>
      <c r="N146" s="201"/>
      <c r="O146" s="446"/>
      <c r="P146" s="201"/>
    </row>
    <row r="147" spans="1:48" s="12" customFormat="1" ht="11.25" hidden="1">
      <c r="A147" s="50"/>
      <c r="B147" s="12" t="str">
        <f t="shared" ref="B147:B154" si="1">B129</f>
        <v>BR01-02</v>
      </c>
      <c r="C147" s="16" t="s">
        <v>409</v>
      </c>
      <c r="D147" s="509">
        <v>0.25</v>
      </c>
      <c r="E147" s="445">
        <f>E143*D147</f>
        <v>13186.265399999998</v>
      </c>
      <c r="F147" s="39"/>
      <c r="G147" s="446"/>
      <c r="H147" s="509">
        <v>0.23</v>
      </c>
      <c r="I147" s="445">
        <f>I143*H147</f>
        <v>13122.323676</v>
      </c>
      <c r="J147" s="39"/>
      <c r="K147" s="446"/>
      <c r="L147" s="509">
        <v>0.22</v>
      </c>
      <c r="M147" s="445">
        <f>M143*L147</f>
        <v>13910.206464000001</v>
      </c>
      <c r="N147" s="201"/>
      <c r="O147" s="446"/>
      <c r="P147" s="201"/>
    </row>
    <row r="148" spans="1:48" s="12" customFormat="1" ht="11.25" hidden="1">
      <c r="A148" s="50"/>
      <c r="B148" s="12" t="str">
        <f t="shared" si="1"/>
        <v>BR01-03</v>
      </c>
      <c r="C148" s="16" t="s">
        <v>409</v>
      </c>
      <c r="D148" s="509">
        <v>0.14000000000000001</v>
      </c>
      <c r="E148" s="445">
        <f>E143*D148</f>
        <v>7384.3086240000002</v>
      </c>
      <c r="F148" s="39"/>
      <c r="G148" s="446"/>
      <c r="H148" s="509">
        <v>0.14000000000000001</v>
      </c>
      <c r="I148" s="445">
        <f>I143*H148</f>
        <v>7987.5013680000011</v>
      </c>
      <c r="J148" s="39"/>
      <c r="K148" s="446"/>
      <c r="L148" s="509">
        <v>0.15</v>
      </c>
      <c r="M148" s="445">
        <f>M143*L148</f>
        <v>9484.2316800000008</v>
      </c>
      <c r="N148" s="201"/>
      <c r="O148" s="446"/>
      <c r="P148" s="201"/>
    </row>
    <row r="149" spans="1:48" s="12" customFormat="1" ht="11.25" hidden="1">
      <c r="A149" s="50"/>
      <c r="B149" s="12" t="str">
        <f t="shared" si="1"/>
        <v>BR01-04</v>
      </c>
      <c r="C149" s="16" t="s">
        <v>409</v>
      </c>
      <c r="D149" s="509">
        <v>0.12</v>
      </c>
      <c r="E149" s="445">
        <f>E143*D149</f>
        <v>6329.4073919999992</v>
      </c>
      <c r="F149" s="39"/>
      <c r="G149" s="446"/>
      <c r="H149" s="509">
        <v>0.13</v>
      </c>
      <c r="I149" s="445">
        <f>I143*H149</f>
        <v>7416.9655560000001</v>
      </c>
      <c r="J149" s="39"/>
      <c r="K149" s="446"/>
      <c r="L149" s="509">
        <v>0.13</v>
      </c>
      <c r="M149" s="445">
        <f>M143*L149</f>
        <v>8219.667456000001</v>
      </c>
      <c r="N149" s="201"/>
      <c r="O149" s="446"/>
      <c r="P149" s="201"/>
    </row>
    <row r="150" spans="1:48" s="12" customFormat="1" ht="11.25" hidden="1">
      <c r="A150" s="50"/>
      <c r="B150" s="12" t="str">
        <f t="shared" si="1"/>
        <v>BR01-05</v>
      </c>
      <c r="C150" s="16" t="s">
        <v>409</v>
      </c>
      <c r="D150" s="509">
        <v>0.12</v>
      </c>
      <c r="E150" s="445">
        <f>E143*D150</f>
        <v>6329.4073919999992</v>
      </c>
      <c r="G150" s="446"/>
      <c r="H150" s="509">
        <v>0.13</v>
      </c>
      <c r="I150" s="445">
        <f>I143*H150</f>
        <v>7416.9655560000001</v>
      </c>
      <c r="K150" s="446"/>
      <c r="L150" s="509">
        <v>0.13</v>
      </c>
      <c r="M150" s="445">
        <f>M143*L150</f>
        <v>8219.667456000001</v>
      </c>
      <c r="N150" s="201"/>
      <c r="O150" s="446"/>
      <c r="P150" s="201"/>
    </row>
    <row r="151" spans="1:48" s="12" customFormat="1" ht="11.25" hidden="1">
      <c r="A151" s="50"/>
      <c r="B151" s="12" t="str">
        <f t="shared" si="1"/>
        <v>BR01-06</v>
      </c>
      <c r="C151" s="16" t="s">
        <v>409</v>
      </c>
      <c r="D151" s="510">
        <v>0.14000000000000001</v>
      </c>
      <c r="E151" s="445">
        <f>E143*D151</f>
        <v>7384.3086240000002</v>
      </c>
      <c r="G151" s="447"/>
      <c r="H151" s="510">
        <v>0.13</v>
      </c>
      <c r="I151" s="445">
        <f>I143*H151</f>
        <v>7416.9655560000001</v>
      </c>
      <c r="K151" s="447"/>
      <c r="L151" s="510">
        <v>0.14000000000000001</v>
      </c>
      <c r="M151" s="445">
        <f>M143*L151</f>
        <v>8851.9495680000018</v>
      </c>
      <c r="N151" s="201"/>
      <c r="O151" s="447"/>
      <c r="P151" s="201"/>
    </row>
    <row r="152" spans="1:48" s="12" customFormat="1" ht="11.25" hidden="1">
      <c r="A152" s="50"/>
      <c r="B152" s="12" t="str">
        <f t="shared" si="1"/>
        <v>BR01-07</v>
      </c>
      <c r="C152" s="16" t="s">
        <v>410</v>
      </c>
      <c r="D152" s="56"/>
      <c r="F152" s="511">
        <v>0.45</v>
      </c>
      <c r="G152" s="448">
        <f>G144*F152</f>
        <v>52830.134279999991</v>
      </c>
      <c r="H152" s="56"/>
      <c r="J152" s="511">
        <v>0.48</v>
      </c>
      <c r="K152" s="449">
        <f>K144*J152</f>
        <v>59553.071424000002</v>
      </c>
      <c r="L152" s="56"/>
      <c r="N152" s="512">
        <v>0.5</v>
      </c>
      <c r="O152" s="448">
        <f>O144*N152</f>
        <v>67179.974399999992</v>
      </c>
      <c r="P152" s="201"/>
    </row>
    <row r="153" spans="1:48" s="12" customFormat="1" ht="11.25" hidden="1">
      <c r="A153" s="50"/>
      <c r="B153" s="12" t="str">
        <f t="shared" si="1"/>
        <v>BR01-08</v>
      </c>
      <c r="C153" s="16" t="s">
        <v>410</v>
      </c>
      <c r="D153" s="56"/>
      <c r="F153" s="513">
        <f>100%-F152</f>
        <v>0.55000000000000004</v>
      </c>
      <c r="G153" s="448">
        <f>G144*F153</f>
        <v>64570.164119999994</v>
      </c>
      <c r="H153" s="56"/>
      <c r="J153" s="513">
        <v>0.52</v>
      </c>
      <c r="K153" s="448">
        <f>K144*J153</f>
        <v>64515.827376000008</v>
      </c>
      <c r="L153" s="56"/>
      <c r="N153" s="514">
        <v>0.5</v>
      </c>
      <c r="O153" s="448">
        <f>O144*N153</f>
        <v>67179.974399999992</v>
      </c>
      <c r="P153" s="201"/>
    </row>
    <row r="154" spans="1:48" s="12" customFormat="1" ht="11.25" hidden="1">
      <c r="A154" s="50"/>
      <c r="B154" s="12" t="str">
        <f t="shared" si="1"/>
        <v>BR01-09</v>
      </c>
      <c r="C154" s="16" t="s">
        <v>409</v>
      </c>
      <c r="D154" s="510">
        <v>0</v>
      </c>
      <c r="E154" s="421">
        <f>E143*D154</f>
        <v>0</v>
      </c>
      <c r="F154" s="450"/>
      <c r="G154" s="448"/>
      <c r="H154" s="510">
        <v>0</v>
      </c>
      <c r="I154" s="12">
        <f>I144*H136</f>
        <v>0</v>
      </c>
      <c r="J154" s="450"/>
      <c r="K154" s="448"/>
      <c r="L154" s="510">
        <v>0</v>
      </c>
      <c r="M154" s="12">
        <f>M144*L136</f>
        <v>0</v>
      </c>
      <c r="N154" s="451"/>
      <c r="O154" s="448"/>
      <c r="P154" s="201"/>
    </row>
    <row r="155" spans="1:48" s="12" customFormat="1" ht="11.25" hidden="1">
      <c r="A155" s="40"/>
      <c r="C155" s="16"/>
      <c r="E155" s="452"/>
      <c r="H155" s="264"/>
      <c r="I155" s="264"/>
      <c r="J155" s="302"/>
      <c r="K155" s="16"/>
    </row>
    <row r="156" spans="1:48" ht="15.75" hidden="1">
      <c r="A156" s="431">
        <v>6</v>
      </c>
      <c r="B156" s="423" t="s">
        <v>48</v>
      </c>
      <c r="C156" s="423"/>
      <c r="D156" s="431"/>
      <c r="E156" s="431"/>
      <c r="F156" s="431"/>
      <c r="G156" s="431"/>
      <c r="H156" s="425"/>
      <c r="I156" s="425"/>
      <c r="J156" s="37"/>
    </row>
    <row r="157" spans="1:48" ht="12.75" hidden="1" customHeight="1">
      <c r="A157" s="453"/>
      <c r="B157" s="433"/>
      <c r="C157" s="433"/>
      <c r="D157" s="454"/>
      <c r="E157" s="182"/>
      <c r="F157" s="182"/>
      <c r="G157" s="182"/>
      <c r="H157" s="303"/>
      <c r="I157" s="303"/>
      <c r="J157" s="37"/>
      <c r="L157" s="37"/>
      <c r="M157" s="37"/>
    </row>
    <row r="158" spans="1:48" ht="12" hidden="1" customHeight="1">
      <c r="B158" s="455" t="s">
        <v>407</v>
      </c>
      <c r="C158" s="456" t="s">
        <v>85</v>
      </c>
      <c r="D158" s="457">
        <v>124</v>
      </c>
      <c r="E158" s="455" t="s">
        <v>408</v>
      </c>
      <c r="F158" s="515">
        <v>0.8</v>
      </c>
      <c r="G158" s="182"/>
      <c r="H158" s="303"/>
      <c r="I158" s="303"/>
      <c r="J158" s="37"/>
    </row>
    <row r="159" spans="1:48" s="32" customFormat="1" hidden="1">
      <c r="A159" s="183"/>
      <c r="D159" s="184"/>
      <c r="H159" s="16"/>
      <c r="I159" s="16"/>
      <c r="J159" s="16"/>
      <c r="K159" s="16"/>
      <c r="L159" s="16"/>
      <c r="M159" s="16"/>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row>
    <row r="160" spans="1:48" s="32" customFormat="1" hidden="1">
      <c r="A160" s="183"/>
      <c r="B160" s="32" t="s">
        <v>437</v>
      </c>
      <c r="D160" s="185" t="str">
        <f>B128</f>
        <v>BR01-01</v>
      </c>
      <c r="E160" s="113" t="str">
        <f>IF(B129="","",B129)</f>
        <v>BR01-02</v>
      </c>
      <c r="F160" s="113" t="str">
        <f>IF(B130="","",B130)</f>
        <v>BR01-03</v>
      </c>
      <c r="G160" s="113" t="str">
        <f>IF(B131="","",B131)</f>
        <v>BR01-04</v>
      </c>
      <c r="H160" s="112" t="str">
        <f>IF(B132="","",B132)</f>
        <v>BR01-05</v>
      </c>
      <c r="I160" s="112" t="str">
        <f>IF(B133="","",B133)</f>
        <v>BR01-06</v>
      </c>
      <c r="J160" s="112" t="str">
        <f>IF(B134="","",B134)</f>
        <v>BR01-07</v>
      </c>
      <c r="K160" s="112" t="str">
        <f>IF(B135="","",B135)</f>
        <v>BR01-08</v>
      </c>
      <c r="L160" s="112" t="str">
        <f>IF(B136="","",B136)</f>
        <v>BR01-09</v>
      </c>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row>
    <row r="161" spans="1:48" s="32" customFormat="1" hidden="1">
      <c r="A161" s="183"/>
      <c r="D161" s="113" t="str">
        <f>C128</f>
        <v>[retail]</v>
      </c>
      <c r="E161" s="113" t="str">
        <f>C129</f>
        <v>[retail]</v>
      </c>
      <c r="F161" s="113" t="str">
        <f>C130</f>
        <v>[retail]</v>
      </c>
      <c r="G161" s="113" t="str">
        <f>C131</f>
        <v>[retail]</v>
      </c>
      <c r="H161" s="113" t="str">
        <f>C132</f>
        <v>[retail]</v>
      </c>
      <c r="I161" s="113" t="str">
        <f>C133</f>
        <v>[retail]</v>
      </c>
      <c r="J161" s="113" t="str">
        <f>C134</f>
        <v>[wholesale]</v>
      </c>
      <c r="K161" s="113" t="str">
        <f>C135</f>
        <v>[wholesale]</v>
      </c>
      <c r="L161" s="113" t="str">
        <f>C136</f>
        <v>[retail]</v>
      </c>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row>
    <row r="162" spans="1:48" s="32" customFormat="1" hidden="1">
      <c r="A162" s="183"/>
      <c r="B162" s="186" t="s">
        <v>35</v>
      </c>
      <c r="C162" s="186"/>
      <c r="D162" s="227" t="s">
        <v>411</v>
      </c>
      <c r="E162" s="186"/>
      <c r="F162" s="186"/>
      <c r="G162" s="186"/>
      <c r="H162" s="186"/>
      <c r="I162" s="186"/>
      <c r="J162" s="186"/>
      <c r="K162" s="186"/>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row>
    <row r="163" spans="1:48" s="32" customFormat="1" hidden="1">
      <c r="A163" s="304"/>
      <c r="B163" s="187" t="s">
        <v>47</v>
      </c>
      <c r="D163" s="305">
        <v>7.0000000000000007E-2</v>
      </c>
      <c r="E163" s="305">
        <v>0.06</v>
      </c>
      <c r="F163" s="305">
        <v>0.05</v>
      </c>
      <c r="G163" s="305">
        <v>0.05</v>
      </c>
      <c r="H163" s="305">
        <v>0.05</v>
      </c>
      <c r="I163" s="305">
        <v>0.05</v>
      </c>
      <c r="J163" s="305">
        <v>0.05</v>
      </c>
      <c r="K163" s="305">
        <v>0.05</v>
      </c>
      <c r="L163" s="305"/>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row>
    <row r="164" spans="1:48" s="32" customFormat="1" hidden="1">
      <c r="A164" s="306"/>
      <c r="B164" s="187" t="s">
        <v>46</v>
      </c>
      <c r="D164" s="305">
        <v>7.0000000000000007E-2</v>
      </c>
      <c r="E164" s="305">
        <v>0.06</v>
      </c>
      <c r="F164" s="305">
        <v>0.05</v>
      </c>
      <c r="G164" s="305">
        <v>0.05</v>
      </c>
      <c r="H164" s="305">
        <v>0.05</v>
      </c>
      <c r="I164" s="305">
        <v>0.05</v>
      </c>
      <c r="J164" s="305">
        <v>0.05</v>
      </c>
      <c r="K164" s="305">
        <v>0.05</v>
      </c>
      <c r="L164" s="305"/>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row>
    <row r="165" spans="1:48" s="32" customFormat="1" hidden="1">
      <c r="B165" s="190" t="s">
        <v>45</v>
      </c>
      <c r="D165" s="305">
        <v>7.0000000000000007E-2</v>
      </c>
      <c r="E165" s="305">
        <v>0.06</v>
      </c>
      <c r="F165" s="305">
        <v>0.06</v>
      </c>
      <c r="G165" s="305">
        <v>0.06</v>
      </c>
      <c r="H165" s="305">
        <v>0.06</v>
      </c>
      <c r="I165" s="305">
        <v>0.06</v>
      </c>
      <c r="J165" s="305">
        <v>0.06</v>
      </c>
      <c r="K165" s="305">
        <v>0.06</v>
      </c>
      <c r="L165" s="305"/>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row>
    <row r="166" spans="1:48" s="32" customFormat="1" hidden="1">
      <c r="B166" s="190" t="s">
        <v>44</v>
      </c>
      <c r="D166" s="305">
        <v>7.0000000000000007E-2</v>
      </c>
      <c r="E166" s="305">
        <v>7.0000000000000007E-2</v>
      </c>
      <c r="F166" s="305">
        <v>7.0000000000000007E-2</v>
      </c>
      <c r="G166" s="305">
        <v>7.0000000000000007E-2</v>
      </c>
      <c r="H166" s="305">
        <v>7.0000000000000007E-2</v>
      </c>
      <c r="I166" s="305">
        <v>7.0000000000000007E-2</v>
      </c>
      <c r="J166" s="305">
        <v>7.0000000000000007E-2</v>
      </c>
      <c r="K166" s="305">
        <v>7.0000000000000007E-2</v>
      </c>
      <c r="L166" s="305"/>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row>
    <row r="167" spans="1:48" s="32" customFormat="1" hidden="1">
      <c r="B167" s="190" t="s">
        <v>43</v>
      </c>
      <c r="D167" s="305">
        <v>0.08</v>
      </c>
      <c r="E167" s="305">
        <v>0.08</v>
      </c>
      <c r="F167" s="305">
        <v>0.08</v>
      </c>
      <c r="G167" s="305">
        <v>0.08</v>
      </c>
      <c r="H167" s="305">
        <v>0.08</v>
      </c>
      <c r="I167" s="305">
        <v>0.08</v>
      </c>
      <c r="J167" s="305">
        <v>0.08</v>
      </c>
      <c r="K167" s="305">
        <v>0.08</v>
      </c>
      <c r="L167" s="305"/>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row>
    <row r="168" spans="1:48" s="32" customFormat="1" hidden="1">
      <c r="A168" s="1"/>
      <c r="B168" s="190" t="s">
        <v>42</v>
      </c>
      <c r="D168" s="305">
        <v>0.1</v>
      </c>
      <c r="E168" s="305">
        <v>0.1</v>
      </c>
      <c r="F168" s="305">
        <v>0.1</v>
      </c>
      <c r="G168" s="305">
        <v>0.1</v>
      </c>
      <c r="H168" s="305">
        <v>0.1</v>
      </c>
      <c r="I168" s="305">
        <v>0.1</v>
      </c>
      <c r="J168" s="305">
        <v>0.1</v>
      </c>
      <c r="K168" s="305">
        <v>0.1</v>
      </c>
      <c r="L168" s="305"/>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row>
    <row r="169" spans="1:48" s="32" customFormat="1" hidden="1">
      <c r="A169" s="1"/>
      <c r="B169" s="190" t="s">
        <v>41</v>
      </c>
      <c r="D169" s="305">
        <v>0.1</v>
      </c>
      <c r="E169" s="305">
        <v>0.1</v>
      </c>
      <c r="F169" s="305">
        <v>0.1</v>
      </c>
      <c r="G169" s="305">
        <v>0.1</v>
      </c>
      <c r="H169" s="305">
        <v>0.1</v>
      </c>
      <c r="I169" s="305">
        <v>0.1</v>
      </c>
      <c r="J169" s="305">
        <v>0.1</v>
      </c>
      <c r="K169" s="305">
        <v>0.1</v>
      </c>
      <c r="L169" s="305"/>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row>
    <row r="170" spans="1:48" s="32" customFormat="1" hidden="1">
      <c r="A170" s="1"/>
      <c r="B170" s="190" t="s">
        <v>40</v>
      </c>
      <c r="D170" s="305">
        <v>0.1</v>
      </c>
      <c r="E170" s="305">
        <v>0.11</v>
      </c>
      <c r="F170" s="305">
        <v>0.12</v>
      </c>
      <c r="G170" s="305">
        <v>0.12</v>
      </c>
      <c r="H170" s="305">
        <v>0.12</v>
      </c>
      <c r="I170" s="305">
        <v>0.12</v>
      </c>
      <c r="J170" s="305">
        <v>0.12</v>
      </c>
      <c r="K170" s="305">
        <v>0.12</v>
      </c>
      <c r="L170" s="305"/>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row>
    <row r="171" spans="1:48" s="32" customFormat="1" hidden="1">
      <c r="A171" s="1"/>
      <c r="B171" s="190" t="s">
        <v>39</v>
      </c>
      <c r="D171" s="305">
        <v>0.1</v>
      </c>
      <c r="E171" s="305">
        <v>0.11</v>
      </c>
      <c r="F171" s="305">
        <v>0.12</v>
      </c>
      <c r="G171" s="305">
        <v>0.12</v>
      </c>
      <c r="H171" s="305">
        <v>0.12</v>
      </c>
      <c r="I171" s="305">
        <v>0.12</v>
      </c>
      <c r="J171" s="305">
        <v>0.12</v>
      </c>
      <c r="K171" s="305">
        <v>0.12</v>
      </c>
      <c r="L171" s="305"/>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row>
    <row r="172" spans="1:48" s="32" customFormat="1" hidden="1">
      <c r="A172" s="1"/>
      <c r="B172" s="190" t="s">
        <v>38</v>
      </c>
      <c r="D172" s="305">
        <v>0.1</v>
      </c>
      <c r="E172" s="305">
        <v>0.11</v>
      </c>
      <c r="F172" s="305">
        <v>0.11</v>
      </c>
      <c r="G172" s="305">
        <v>0.11</v>
      </c>
      <c r="H172" s="305">
        <v>0.11</v>
      </c>
      <c r="I172" s="305">
        <v>0.11</v>
      </c>
      <c r="J172" s="305">
        <v>0.11</v>
      </c>
      <c r="K172" s="305">
        <v>0.11</v>
      </c>
      <c r="L172" s="305"/>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row>
    <row r="173" spans="1:48" s="32" customFormat="1" hidden="1">
      <c r="A173" s="1"/>
      <c r="B173" s="190" t="s">
        <v>37</v>
      </c>
      <c r="D173" s="305">
        <v>7.0000000000000007E-2</v>
      </c>
      <c r="E173" s="305">
        <v>7.0000000000000007E-2</v>
      </c>
      <c r="F173" s="305">
        <v>7.0000000000000007E-2</v>
      </c>
      <c r="G173" s="305">
        <v>7.0000000000000007E-2</v>
      </c>
      <c r="H173" s="305">
        <v>7.0000000000000007E-2</v>
      </c>
      <c r="I173" s="305">
        <v>7.0000000000000007E-2</v>
      </c>
      <c r="J173" s="305">
        <v>7.0000000000000007E-2</v>
      </c>
      <c r="K173" s="305">
        <v>7.0000000000000007E-2</v>
      </c>
      <c r="L173" s="305"/>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row>
    <row r="174" spans="1:48" s="32" customFormat="1" hidden="1">
      <c r="A174" s="1"/>
      <c r="B174" s="190" t="s">
        <v>36</v>
      </c>
      <c r="D174" s="305">
        <v>7.0000000000000007E-2</v>
      </c>
      <c r="E174" s="305">
        <v>7.0000000000000007E-2</v>
      </c>
      <c r="F174" s="305">
        <v>7.0000000000000007E-2</v>
      </c>
      <c r="G174" s="305">
        <v>7.0000000000000007E-2</v>
      </c>
      <c r="H174" s="305">
        <v>7.0000000000000007E-2</v>
      </c>
      <c r="I174" s="305">
        <v>7.0000000000000007E-2</v>
      </c>
      <c r="J174" s="305">
        <v>7.0000000000000007E-2</v>
      </c>
      <c r="K174" s="305">
        <v>0.06</v>
      </c>
      <c r="L174" s="305"/>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row>
    <row r="175" spans="1:48" s="32" customFormat="1" hidden="1">
      <c r="A175" s="1"/>
      <c r="B175" s="190" t="s">
        <v>412</v>
      </c>
      <c r="D175" s="192">
        <f>SUM(D163:D174)</f>
        <v>1</v>
      </c>
      <c r="E175" s="192">
        <f t="shared" ref="E175:K175" si="2">SUM(E163:E174)</f>
        <v>1</v>
      </c>
      <c r="F175" s="192">
        <f t="shared" si="2"/>
        <v>1</v>
      </c>
      <c r="G175" s="192">
        <f t="shared" si="2"/>
        <v>1</v>
      </c>
      <c r="H175" s="192">
        <f t="shared" si="2"/>
        <v>1</v>
      </c>
      <c r="I175" s="192">
        <f t="shared" si="2"/>
        <v>1</v>
      </c>
      <c r="J175" s="192">
        <f t="shared" si="2"/>
        <v>1</v>
      </c>
      <c r="K175" s="192">
        <f t="shared" si="2"/>
        <v>0.99</v>
      </c>
      <c r="L175" s="192">
        <f>SUM(L163:L174)</f>
        <v>0</v>
      </c>
      <c r="M175" s="1"/>
      <c r="N175" s="1"/>
      <c r="O175" s="1"/>
      <c r="P175" s="1"/>
      <c r="Q175" s="1"/>
      <c r="R175" s="1"/>
      <c r="S175" s="1"/>
      <c r="T175" s="1"/>
      <c r="U175" s="1"/>
      <c r="V175" s="1"/>
      <c r="W175" s="1"/>
      <c r="AG175" s="1"/>
      <c r="AH175" s="1"/>
      <c r="AI175" s="1"/>
      <c r="AJ175" s="1"/>
      <c r="AK175" s="1"/>
      <c r="AL175" s="1"/>
      <c r="AM175" s="1"/>
      <c r="AN175" s="1"/>
      <c r="AO175" s="1"/>
      <c r="AP175" s="1"/>
      <c r="AQ175" s="1"/>
      <c r="AR175" s="1"/>
      <c r="AS175" s="1"/>
      <c r="AT175" s="1"/>
      <c r="AU175" s="1"/>
      <c r="AV175" s="1"/>
    </row>
    <row r="176" spans="1:48" s="32" customFormat="1" hidden="1">
      <c r="A176" s="1"/>
      <c r="B176" s="190"/>
      <c r="D176" s="177" t="s">
        <v>413</v>
      </c>
      <c r="E176" s="176"/>
      <c r="F176" s="176"/>
      <c r="G176" s="176"/>
      <c r="H176" s="176"/>
      <c r="I176" s="176"/>
      <c r="J176" s="176"/>
      <c r="K176" s="176"/>
      <c r="L176" s="176"/>
      <c r="M176" s="1"/>
      <c r="N176" s="1"/>
      <c r="O176" s="1"/>
      <c r="P176" s="1"/>
      <c r="Q176" s="1"/>
      <c r="R176" s="1"/>
      <c r="S176" s="1"/>
      <c r="T176" s="1"/>
      <c r="U176" s="1"/>
      <c r="V176" s="1"/>
      <c r="W176" s="1"/>
      <c r="AG176" s="1"/>
      <c r="AH176" s="1"/>
      <c r="AI176" s="1"/>
      <c r="AJ176" s="1"/>
      <c r="AK176" s="1"/>
      <c r="AL176" s="1"/>
      <c r="AM176" s="1"/>
      <c r="AN176" s="1"/>
      <c r="AO176" s="1"/>
      <c r="AP176" s="1"/>
      <c r="AQ176" s="1"/>
      <c r="AR176" s="1"/>
      <c r="AS176" s="1"/>
      <c r="AT176" s="1"/>
      <c r="AU176" s="1"/>
      <c r="AV176" s="1"/>
    </row>
    <row r="177" spans="1:48" s="32" customFormat="1" hidden="1">
      <c r="A177" s="183"/>
      <c r="B177" s="187" t="s">
        <v>47</v>
      </c>
      <c r="D177" s="193">
        <f>D189*D163</f>
        <v>849.19549175999998</v>
      </c>
      <c r="E177" s="193">
        <f t="shared" ref="E177:K177" si="3">E189*E163</f>
        <v>791.1759239999999</v>
      </c>
      <c r="F177" s="193">
        <f t="shared" si="3"/>
        <v>369.21543120000001</v>
      </c>
      <c r="G177" s="193">
        <f t="shared" si="3"/>
        <v>316.47036959999997</v>
      </c>
      <c r="H177" s="193">
        <f t="shared" si="3"/>
        <v>316.47036959999997</v>
      </c>
      <c r="I177" s="193">
        <f t="shared" si="3"/>
        <v>369.21543120000001</v>
      </c>
      <c r="J177" s="193">
        <f t="shared" si="3"/>
        <v>2641.5067139999996</v>
      </c>
      <c r="K177" s="193">
        <f t="shared" si="3"/>
        <v>3228.508206</v>
      </c>
      <c r="L177" s="193">
        <f>L189*L163</f>
        <v>0</v>
      </c>
      <c r="M177" s="1"/>
      <c r="N177" s="1"/>
      <c r="O177" s="1"/>
      <c r="P177" s="1"/>
      <c r="Q177" s="1"/>
      <c r="R177" s="1"/>
      <c r="S177" s="1"/>
      <c r="T177" s="1"/>
      <c r="U177" s="1"/>
      <c r="V177" s="1"/>
      <c r="W177" s="1"/>
      <c r="AG177" s="1"/>
      <c r="AH177" s="1"/>
      <c r="AI177" s="1"/>
      <c r="AJ177" s="1"/>
      <c r="AK177" s="1"/>
      <c r="AL177" s="1"/>
      <c r="AM177" s="1"/>
      <c r="AN177" s="1"/>
      <c r="AO177" s="1"/>
      <c r="AP177" s="1"/>
      <c r="AQ177" s="1"/>
      <c r="AR177" s="1"/>
      <c r="AS177" s="1"/>
      <c r="AT177" s="1"/>
      <c r="AU177" s="1"/>
      <c r="AV177" s="1"/>
    </row>
    <row r="178" spans="1:48" s="32" customFormat="1" hidden="1">
      <c r="A178" s="183"/>
      <c r="B178" s="187" t="s">
        <v>46</v>
      </c>
      <c r="D178" s="193">
        <f>D189*D164</f>
        <v>849.19549175999998</v>
      </c>
      <c r="E178" s="193">
        <f t="shared" ref="E178:K178" si="4">E189*E164</f>
        <v>791.1759239999999</v>
      </c>
      <c r="F178" s="193">
        <f t="shared" si="4"/>
        <v>369.21543120000001</v>
      </c>
      <c r="G178" s="193">
        <f t="shared" si="4"/>
        <v>316.47036959999997</v>
      </c>
      <c r="H178" s="193">
        <f t="shared" si="4"/>
        <v>316.47036959999997</v>
      </c>
      <c r="I178" s="193">
        <f t="shared" si="4"/>
        <v>369.21543120000001</v>
      </c>
      <c r="J178" s="193">
        <f t="shared" si="4"/>
        <v>2641.5067139999996</v>
      </c>
      <c r="K178" s="193">
        <f t="shared" si="4"/>
        <v>3228.508206</v>
      </c>
      <c r="L178" s="193">
        <f>L189*L164</f>
        <v>0</v>
      </c>
      <c r="M178" s="1"/>
      <c r="N178" s="1"/>
      <c r="O178" s="1"/>
      <c r="P178" s="1"/>
      <c r="Q178" s="1"/>
      <c r="R178" s="1"/>
      <c r="S178" s="1"/>
      <c r="T178" s="1"/>
      <c r="U178" s="1"/>
      <c r="V178" s="1"/>
      <c r="W178" s="1"/>
      <c r="AG178" s="1"/>
      <c r="AH178" s="1"/>
      <c r="AI178" s="1"/>
      <c r="AJ178" s="1"/>
      <c r="AK178" s="1"/>
      <c r="AL178" s="1"/>
      <c r="AM178" s="1"/>
      <c r="AN178" s="1"/>
      <c r="AO178" s="1"/>
      <c r="AP178" s="1"/>
      <c r="AQ178" s="1"/>
      <c r="AR178" s="1"/>
      <c r="AS178" s="1"/>
      <c r="AT178" s="1"/>
      <c r="AU178" s="1"/>
      <c r="AV178" s="1"/>
    </row>
    <row r="179" spans="1:48" s="32" customFormat="1" hidden="1">
      <c r="A179" s="183"/>
      <c r="B179" s="190" t="s">
        <v>45</v>
      </c>
      <c r="D179" s="193">
        <f>D189*D165</f>
        <v>849.19549175999998</v>
      </c>
      <c r="E179" s="193">
        <f t="shared" ref="E179:K179" si="5">E189*E165</f>
        <v>791.1759239999999</v>
      </c>
      <c r="F179" s="193">
        <f t="shared" si="5"/>
        <v>443.05851744</v>
      </c>
      <c r="G179" s="193">
        <f t="shared" si="5"/>
        <v>379.76444351999993</v>
      </c>
      <c r="H179" s="193">
        <f t="shared" si="5"/>
        <v>379.76444351999993</v>
      </c>
      <c r="I179" s="193">
        <f t="shared" si="5"/>
        <v>443.05851744</v>
      </c>
      <c r="J179" s="193">
        <f t="shared" si="5"/>
        <v>3169.8080567999996</v>
      </c>
      <c r="K179" s="193">
        <f t="shared" si="5"/>
        <v>3874.2098471999993</v>
      </c>
      <c r="L179" s="193">
        <f>L189*L165</f>
        <v>0</v>
      </c>
      <c r="M179" s="1"/>
      <c r="N179" s="1"/>
      <c r="O179" s="1"/>
      <c r="P179" s="1"/>
      <c r="Q179" s="1"/>
      <c r="R179" s="1"/>
      <c r="S179" s="1"/>
      <c r="T179" s="1"/>
      <c r="U179" s="1"/>
      <c r="V179" s="1"/>
      <c r="W179" s="1"/>
      <c r="AG179" s="1"/>
      <c r="AH179" s="1"/>
      <c r="AI179" s="1"/>
      <c r="AJ179" s="1"/>
      <c r="AK179" s="1"/>
      <c r="AL179" s="1"/>
      <c r="AM179" s="1"/>
      <c r="AN179" s="1"/>
      <c r="AO179" s="1"/>
      <c r="AP179" s="1"/>
      <c r="AQ179" s="1"/>
      <c r="AR179" s="1"/>
      <c r="AS179" s="1"/>
      <c r="AT179" s="1"/>
      <c r="AU179" s="1"/>
      <c r="AV179" s="1"/>
    </row>
    <row r="180" spans="1:48" s="32" customFormat="1" hidden="1">
      <c r="A180" s="183"/>
      <c r="B180" s="190" t="s">
        <v>44</v>
      </c>
      <c r="D180" s="193">
        <f>D189*D166</f>
        <v>849.19549175999998</v>
      </c>
      <c r="E180" s="193">
        <f t="shared" ref="E180:K180" si="6">E189*E166</f>
        <v>923.03857800000003</v>
      </c>
      <c r="F180" s="193">
        <f t="shared" si="6"/>
        <v>516.90160368000011</v>
      </c>
      <c r="G180" s="193">
        <f t="shared" si="6"/>
        <v>443.05851744</v>
      </c>
      <c r="H180" s="193">
        <f t="shared" si="6"/>
        <v>443.05851744</v>
      </c>
      <c r="I180" s="193">
        <f t="shared" si="6"/>
        <v>516.90160368000011</v>
      </c>
      <c r="J180" s="193">
        <f t="shared" si="6"/>
        <v>3698.1093995999995</v>
      </c>
      <c r="K180" s="193">
        <f t="shared" si="6"/>
        <v>4519.9114884000001</v>
      </c>
      <c r="L180" s="193">
        <f>L189*L166</f>
        <v>0</v>
      </c>
      <c r="M180" s="1"/>
      <c r="N180" s="1"/>
      <c r="O180" s="1"/>
      <c r="P180" s="1"/>
      <c r="Q180" s="1"/>
      <c r="R180" s="1"/>
      <c r="S180" s="1"/>
      <c r="T180" s="1"/>
      <c r="U180" s="1"/>
    </row>
    <row r="181" spans="1:48" s="32" customFormat="1" hidden="1">
      <c r="A181" s="183"/>
      <c r="B181" s="190" t="s">
        <v>43</v>
      </c>
      <c r="D181" s="193">
        <f>D189*D167</f>
        <v>970.50913343999991</v>
      </c>
      <c r="E181" s="193">
        <f t="shared" ref="E181:K181" si="7">E189*E167</f>
        <v>1054.9012319999999</v>
      </c>
      <c r="F181" s="193">
        <f t="shared" si="7"/>
        <v>590.74468992000004</v>
      </c>
      <c r="G181" s="193">
        <f t="shared" si="7"/>
        <v>506.35259135999996</v>
      </c>
      <c r="H181" s="193">
        <f t="shared" si="7"/>
        <v>506.35259135999996</v>
      </c>
      <c r="I181" s="193">
        <f t="shared" si="7"/>
        <v>590.74468992000004</v>
      </c>
      <c r="J181" s="193">
        <f t="shared" si="7"/>
        <v>4226.4107423999994</v>
      </c>
      <c r="K181" s="193">
        <f t="shared" si="7"/>
        <v>5165.6131295999994</v>
      </c>
      <c r="L181" s="193">
        <f>L189*L167</f>
        <v>0</v>
      </c>
      <c r="M181" s="1"/>
      <c r="N181" s="1"/>
      <c r="O181" s="1"/>
      <c r="P181" s="1"/>
      <c r="Q181" s="1"/>
      <c r="R181" s="1"/>
      <c r="S181" s="1"/>
      <c r="T181" s="1"/>
      <c r="U181" s="1"/>
    </row>
    <row r="182" spans="1:48" s="32" customFormat="1" hidden="1">
      <c r="A182" s="183"/>
      <c r="B182" s="190" t="s">
        <v>42</v>
      </c>
      <c r="D182" s="193">
        <f>D189*D168</f>
        <v>1213.1364167999998</v>
      </c>
      <c r="E182" s="193">
        <f t="shared" ref="E182:K182" si="8">E189*E168</f>
        <v>1318.62654</v>
      </c>
      <c r="F182" s="193">
        <f t="shared" si="8"/>
        <v>738.43086240000002</v>
      </c>
      <c r="G182" s="193">
        <f t="shared" si="8"/>
        <v>632.94073919999994</v>
      </c>
      <c r="H182" s="193">
        <f t="shared" si="8"/>
        <v>632.94073919999994</v>
      </c>
      <c r="I182" s="193">
        <f t="shared" si="8"/>
        <v>738.43086240000002</v>
      </c>
      <c r="J182" s="193">
        <f t="shared" si="8"/>
        <v>5283.0134279999993</v>
      </c>
      <c r="K182" s="193">
        <f t="shared" si="8"/>
        <v>6457.0164119999999</v>
      </c>
      <c r="L182" s="193">
        <f>L189*L168</f>
        <v>0</v>
      </c>
      <c r="M182" s="1"/>
      <c r="N182" s="1"/>
      <c r="O182" s="1"/>
      <c r="P182" s="1"/>
      <c r="Q182" s="1"/>
      <c r="R182" s="1"/>
      <c r="S182" s="1"/>
      <c r="T182" s="1"/>
      <c r="U182" s="1"/>
    </row>
    <row r="183" spans="1:48" s="32" customFormat="1" hidden="1">
      <c r="A183" s="183"/>
      <c r="B183" s="190" t="s">
        <v>41</v>
      </c>
      <c r="D183" s="193">
        <f>D189*D169</f>
        <v>1213.1364167999998</v>
      </c>
      <c r="E183" s="193">
        <f t="shared" ref="E183:K183" si="9">E189*E169</f>
        <v>1318.62654</v>
      </c>
      <c r="F183" s="193">
        <f t="shared" si="9"/>
        <v>738.43086240000002</v>
      </c>
      <c r="G183" s="193">
        <f t="shared" si="9"/>
        <v>632.94073919999994</v>
      </c>
      <c r="H183" s="193">
        <f t="shared" si="9"/>
        <v>632.94073919999994</v>
      </c>
      <c r="I183" s="193">
        <f t="shared" si="9"/>
        <v>738.43086240000002</v>
      </c>
      <c r="J183" s="193">
        <f t="shared" si="9"/>
        <v>5283.0134279999993</v>
      </c>
      <c r="K183" s="193">
        <f t="shared" si="9"/>
        <v>6457.0164119999999</v>
      </c>
      <c r="L183" s="193">
        <f>L189*L169</f>
        <v>0</v>
      </c>
      <c r="M183" s="1"/>
      <c r="N183" s="1"/>
      <c r="O183" s="1"/>
      <c r="P183" s="1"/>
      <c r="Q183" s="1"/>
      <c r="R183" s="1"/>
      <c r="S183" s="1"/>
      <c r="T183" s="1"/>
      <c r="U183" s="1"/>
    </row>
    <row r="184" spans="1:48" s="32" customFormat="1" hidden="1">
      <c r="A184" s="183"/>
      <c r="B184" s="190" t="s">
        <v>40</v>
      </c>
      <c r="D184" s="193">
        <f>D189*D170</f>
        <v>1213.1364167999998</v>
      </c>
      <c r="E184" s="193">
        <f t="shared" ref="E184:K184" si="10">E189*E170</f>
        <v>1450.4891939999998</v>
      </c>
      <c r="F184" s="193">
        <f t="shared" si="10"/>
        <v>886.11703488000001</v>
      </c>
      <c r="G184" s="193">
        <f t="shared" si="10"/>
        <v>759.52888703999986</v>
      </c>
      <c r="H184" s="193">
        <f t="shared" si="10"/>
        <v>759.52888703999986</v>
      </c>
      <c r="I184" s="193">
        <f t="shared" si="10"/>
        <v>886.11703488000001</v>
      </c>
      <c r="J184" s="193">
        <f t="shared" si="10"/>
        <v>6339.6161135999992</v>
      </c>
      <c r="K184" s="193">
        <f t="shared" si="10"/>
        <v>7748.4196943999987</v>
      </c>
      <c r="L184" s="193">
        <f>L189*L170</f>
        <v>0</v>
      </c>
      <c r="M184" s="1"/>
      <c r="N184" s="1"/>
      <c r="O184" s="1"/>
      <c r="P184" s="1"/>
      <c r="Q184" s="1"/>
      <c r="R184" s="1"/>
      <c r="S184" s="1"/>
      <c r="T184" s="1"/>
      <c r="U184" s="1"/>
    </row>
    <row r="185" spans="1:48" s="32" customFormat="1" hidden="1">
      <c r="A185" s="183"/>
      <c r="B185" s="190" t="s">
        <v>39</v>
      </c>
      <c r="D185" s="193">
        <f>D189*D171</f>
        <v>1213.1364167999998</v>
      </c>
      <c r="E185" s="193">
        <f t="shared" ref="E185:K185" si="11">E189*E171</f>
        <v>1450.4891939999998</v>
      </c>
      <c r="F185" s="193">
        <f t="shared" si="11"/>
        <v>886.11703488000001</v>
      </c>
      <c r="G185" s="193">
        <f t="shared" si="11"/>
        <v>759.52888703999986</v>
      </c>
      <c r="H185" s="193">
        <f t="shared" si="11"/>
        <v>759.52888703999986</v>
      </c>
      <c r="I185" s="193">
        <f t="shared" si="11"/>
        <v>886.11703488000001</v>
      </c>
      <c r="J185" s="193">
        <f t="shared" si="11"/>
        <v>6339.6161135999992</v>
      </c>
      <c r="K185" s="193">
        <f t="shared" si="11"/>
        <v>7748.4196943999987</v>
      </c>
      <c r="L185" s="193">
        <f>L189*L171</f>
        <v>0</v>
      </c>
      <c r="M185" s="1"/>
      <c r="N185" s="1"/>
      <c r="O185" s="1"/>
      <c r="P185" s="1"/>
      <c r="Q185" s="1"/>
      <c r="R185" s="1"/>
      <c r="S185" s="1"/>
      <c r="T185" s="1"/>
      <c r="U185" s="1"/>
    </row>
    <row r="186" spans="1:48" s="32" customFormat="1" hidden="1">
      <c r="A186" s="183"/>
      <c r="B186" s="190" t="s">
        <v>38</v>
      </c>
      <c r="D186" s="193">
        <f>D189*D172</f>
        <v>1213.1364167999998</v>
      </c>
      <c r="E186" s="193">
        <f t="shared" ref="E186:K186" si="12">E189*E172</f>
        <v>1450.4891939999998</v>
      </c>
      <c r="F186" s="193">
        <f t="shared" si="12"/>
        <v>812.27394864000007</v>
      </c>
      <c r="G186" s="193">
        <f t="shared" si="12"/>
        <v>696.2348131199999</v>
      </c>
      <c r="H186" s="193">
        <f t="shared" si="12"/>
        <v>696.2348131199999</v>
      </c>
      <c r="I186" s="193">
        <f t="shared" si="12"/>
        <v>812.27394864000007</v>
      </c>
      <c r="J186" s="193">
        <f t="shared" si="12"/>
        <v>5811.3147707999988</v>
      </c>
      <c r="K186" s="193">
        <f t="shared" si="12"/>
        <v>7102.7180531999993</v>
      </c>
      <c r="L186" s="193">
        <f>L189*L172</f>
        <v>0</v>
      </c>
      <c r="M186" s="1"/>
      <c r="N186" s="1"/>
      <c r="O186" s="1"/>
      <c r="P186" s="1"/>
      <c r="Q186" s="1"/>
      <c r="R186" s="1"/>
      <c r="S186" s="1"/>
      <c r="T186" s="1"/>
      <c r="U186" s="1"/>
    </row>
    <row r="187" spans="1:48" s="32" customFormat="1" hidden="1">
      <c r="A187" s="183"/>
      <c r="B187" s="190" t="s">
        <v>37</v>
      </c>
      <c r="D187" s="193">
        <f>D189*D173</f>
        <v>849.19549175999998</v>
      </c>
      <c r="E187" s="193">
        <f t="shared" ref="E187:K187" si="13">E189*E173</f>
        <v>923.03857800000003</v>
      </c>
      <c r="F187" s="193">
        <f t="shared" si="13"/>
        <v>516.90160368000011</v>
      </c>
      <c r="G187" s="193">
        <f t="shared" si="13"/>
        <v>443.05851744</v>
      </c>
      <c r="H187" s="193">
        <f t="shared" si="13"/>
        <v>443.05851744</v>
      </c>
      <c r="I187" s="193">
        <f t="shared" si="13"/>
        <v>516.90160368000011</v>
      </c>
      <c r="J187" s="193">
        <f t="shared" si="13"/>
        <v>3698.1093995999995</v>
      </c>
      <c r="K187" s="193">
        <f t="shared" si="13"/>
        <v>4519.9114884000001</v>
      </c>
      <c r="L187" s="193">
        <f>L189*L173</f>
        <v>0</v>
      </c>
      <c r="M187" s="1"/>
      <c r="N187" s="1"/>
      <c r="O187" s="1"/>
      <c r="P187" s="1"/>
      <c r="Q187" s="1"/>
      <c r="R187" s="1"/>
      <c r="S187" s="1"/>
      <c r="T187" s="1"/>
      <c r="U187" s="1"/>
    </row>
    <row r="188" spans="1:48" s="32" customFormat="1" hidden="1">
      <c r="A188" s="183"/>
      <c r="B188" s="190" t="s">
        <v>36</v>
      </c>
      <c r="D188" s="193">
        <f>D189*D174</f>
        <v>849.19549175999998</v>
      </c>
      <c r="E188" s="193">
        <f t="shared" ref="E188:K188" si="14">E189*E174</f>
        <v>923.03857800000003</v>
      </c>
      <c r="F188" s="193">
        <f t="shared" si="14"/>
        <v>516.90160368000011</v>
      </c>
      <c r="G188" s="193">
        <f t="shared" si="14"/>
        <v>443.05851744</v>
      </c>
      <c r="H188" s="193">
        <f t="shared" si="14"/>
        <v>443.05851744</v>
      </c>
      <c r="I188" s="193">
        <f t="shared" si="14"/>
        <v>516.90160368000011</v>
      </c>
      <c r="J188" s="193">
        <f t="shared" si="14"/>
        <v>3698.1093995999995</v>
      </c>
      <c r="K188" s="193">
        <f t="shared" si="14"/>
        <v>3874.2098471999993</v>
      </c>
      <c r="L188" s="193">
        <f>L189*L174</f>
        <v>0</v>
      </c>
      <c r="M188" s="1"/>
      <c r="N188" s="1"/>
      <c r="O188" s="1"/>
      <c r="P188" s="1"/>
      <c r="Q188" s="1"/>
      <c r="R188" s="1"/>
      <c r="S188" s="1"/>
      <c r="T188" s="1"/>
      <c r="U188" s="1"/>
    </row>
    <row r="189" spans="1:48" s="32" customFormat="1" hidden="1">
      <c r="A189" s="183"/>
      <c r="B189" s="190" t="s">
        <v>412</v>
      </c>
      <c r="D189" s="193">
        <f>VLOOKUP(D160,TargetedMS,IF(D161="[retail]",4,6),FALSE)</f>
        <v>12131.364167999998</v>
      </c>
      <c r="E189" s="193">
        <f t="shared" ref="E189:K189" si="15">VLOOKUP(E160,TargetedMS,IF(E161="[retail]",4,6),FALSE)</f>
        <v>13186.265399999998</v>
      </c>
      <c r="F189" s="193">
        <f t="shared" si="15"/>
        <v>7384.3086240000002</v>
      </c>
      <c r="G189" s="193">
        <f t="shared" si="15"/>
        <v>6329.4073919999992</v>
      </c>
      <c r="H189" s="193">
        <f t="shared" si="15"/>
        <v>6329.4073919999992</v>
      </c>
      <c r="I189" s="193">
        <f t="shared" si="15"/>
        <v>7384.3086240000002</v>
      </c>
      <c r="J189" s="193">
        <f t="shared" si="15"/>
        <v>52830.134279999991</v>
      </c>
      <c r="K189" s="193">
        <f t="shared" si="15"/>
        <v>64570.164119999994</v>
      </c>
      <c r="L189" s="193">
        <f>VLOOKUP(L160,TargetedMS,IF(L161="[retail]",4,6),FALSE)</f>
        <v>0</v>
      </c>
      <c r="M189" s="1"/>
      <c r="N189" s="1"/>
      <c r="O189" s="1"/>
      <c r="P189" s="1"/>
      <c r="Q189" s="1"/>
      <c r="R189" s="1"/>
      <c r="S189" s="1"/>
      <c r="T189" s="1"/>
      <c r="U189" s="1"/>
    </row>
    <row r="190" spans="1:48" hidden="1">
      <c r="A190" s="183"/>
      <c r="B190" s="187" t="s">
        <v>414</v>
      </c>
      <c r="D190" s="307" t="str">
        <f t="shared" ref="D190:K190" si="16">IF(D161="[wholesale]",D189/capacity,"")</f>
        <v/>
      </c>
      <c r="E190" s="307" t="str">
        <f t="shared" si="16"/>
        <v/>
      </c>
      <c r="F190" s="307" t="str">
        <f t="shared" si="16"/>
        <v/>
      </c>
      <c r="G190" s="307" t="str">
        <f t="shared" si="16"/>
        <v/>
      </c>
      <c r="H190" s="307" t="str">
        <f t="shared" si="16"/>
        <v/>
      </c>
      <c r="I190" s="307" t="str">
        <f t="shared" si="16"/>
        <v/>
      </c>
      <c r="J190" s="307">
        <f t="shared" si="16"/>
        <v>42.604946999999996</v>
      </c>
      <c r="K190" s="307">
        <f t="shared" si="16"/>
        <v>52.072712999999993</v>
      </c>
      <c r="L190" s="307" t="str">
        <f>IF(L161="[wholesale]",L189/capacity,"")</f>
        <v/>
      </c>
    </row>
    <row r="191" spans="1:48" s="11" customFormat="1" hidden="1">
      <c r="A191" s="229"/>
      <c r="B191" s="230"/>
      <c r="C191" s="49" t="s">
        <v>101</v>
      </c>
      <c r="D191" s="177" t="s">
        <v>415</v>
      </c>
      <c r="E191" s="177"/>
      <c r="F191" s="177"/>
      <c r="G191" s="177"/>
      <c r="H191" s="177"/>
      <c r="I191" s="177"/>
      <c r="J191" s="177"/>
      <c r="K191" s="177"/>
      <c r="L191" s="177"/>
      <c r="O191" s="176"/>
      <c r="R191" s="176"/>
      <c r="S191" s="176"/>
    </row>
    <row r="192" spans="1:48" hidden="1">
      <c r="A192" s="304"/>
      <c r="B192" s="187" t="s">
        <v>47</v>
      </c>
      <c r="C192" s="308">
        <f>SUM(D192:Z192)</f>
        <v>6</v>
      </c>
      <c r="D192" s="309">
        <f t="shared" ref="D192:L192" si="17">ProductionFY1(1,D160,VLOOKUP(D160,ProductsRange,3,FALSE),D177)</f>
        <v>0.72982062780269064</v>
      </c>
      <c r="E192" s="309">
        <f t="shared" si="17"/>
        <v>0.59047619047619038</v>
      </c>
      <c r="F192" s="309">
        <f t="shared" si="17"/>
        <v>0</v>
      </c>
      <c r="G192" s="309">
        <f t="shared" si="17"/>
        <v>0</v>
      </c>
      <c r="H192" s="309">
        <f t="shared" si="17"/>
        <v>0</v>
      </c>
      <c r="I192" s="309">
        <f t="shared" si="17"/>
        <v>0</v>
      </c>
      <c r="J192" s="309">
        <f t="shared" si="17"/>
        <v>2.2701793721973096</v>
      </c>
      <c r="K192" s="309">
        <f t="shared" si="17"/>
        <v>2.4095238095238094</v>
      </c>
      <c r="L192" s="309">
        <f t="shared" si="17"/>
        <v>0</v>
      </c>
      <c r="M192" s="458"/>
      <c r="N192" s="194"/>
      <c r="O192" s="191"/>
      <c r="R192" s="191"/>
      <c r="S192" s="191"/>
    </row>
    <row r="193" spans="1:48" hidden="1">
      <c r="A193" s="306"/>
      <c r="B193" s="187" t="s">
        <v>46</v>
      </c>
      <c r="C193" s="308">
        <f t="shared" ref="C193:C203" si="18">SUM(D193:Z193)</f>
        <v>6</v>
      </c>
      <c r="D193" s="309">
        <f>ProductionFY1(2,D160,VLOOKUP(D160,ProductsRange,3,FALSE),D178)</f>
        <v>0.72982062780269064</v>
      </c>
      <c r="E193" s="309">
        <f t="shared" ref="E193:L193" si="19">ProductionFY1(2,E160,VLOOKUP(E160,ProductsRange,3,FALSE),E178)</f>
        <v>0.59047619047619038</v>
      </c>
      <c r="F193" s="309">
        <f t="shared" si="19"/>
        <v>0</v>
      </c>
      <c r="G193" s="309">
        <f t="shared" si="19"/>
        <v>0</v>
      </c>
      <c r="H193" s="309">
        <f t="shared" si="19"/>
        <v>0</v>
      </c>
      <c r="I193" s="309">
        <f t="shared" si="19"/>
        <v>0</v>
      </c>
      <c r="J193" s="309">
        <f t="shared" si="19"/>
        <v>2.2701793721973096</v>
      </c>
      <c r="K193" s="309">
        <f t="shared" si="19"/>
        <v>2.4095238095238094</v>
      </c>
      <c r="L193" s="309">
        <f t="shared" si="19"/>
        <v>0</v>
      </c>
      <c r="M193" s="304"/>
      <c r="O193" s="191"/>
      <c r="R193" s="191"/>
      <c r="S193" s="191"/>
    </row>
    <row r="194" spans="1:48" hidden="1">
      <c r="A194" s="32"/>
      <c r="B194" s="190" t="s">
        <v>45</v>
      </c>
      <c r="C194" s="308">
        <f t="shared" si="18"/>
        <v>6</v>
      </c>
      <c r="D194" s="309">
        <f>ProductionFY1(3,D160,VLOOKUP(D160,ProductsRange,3,FALSE),D179)</f>
        <v>0.63388510223953265</v>
      </c>
      <c r="E194" s="309">
        <f t="shared" ref="E194:L194" si="20">ProductionFY1(3,E160,VLOOKUP(E160,ProductsRange,3,FALSE),E179)</f>
        <v>0.50875273522975928</v>
      </c>
      <c r="F194" s="309">
        <f t="shared" si="20"/>
        <v>0</v>
      </c>
      <c r="G194" s="309">
        <f t="shared" si="20"/>
        <v>0</v>
      </c>
      <c r="H194" s="309">
        <f t="shared" si="20"/>
        <v>0</v>
      </c>
      <c r="I194" s="309">
        <f t="shared" si="20"/>
        <v>0</v>
      </c>
      <c r="J194" s="309">
        <f t="shared" si="20"/>
        <v>2.3661148977604669</v>
      </c>
      <c r="K194" s="309">
        <f t="shared" si="20"/>
        <v>2.4912472647702408</v>
      </c>
      <c r="L194" s="309">
        <f t="shared" si="20"/>
        <v>0</v>
      </c>
      <c r="M194" s="304"/>
      <c r="O194" s="191"/>
      <c r="R194" s="191"/>
      <c r="S194" s="191"/>
    </row>
    <row r="195" spans="1:48" hidden="1">
      <c r="A195" s="32"/>
      <c r="B195" s="190" t="s">
        <v>44</v>
      </c>
      <c r="C195" s="308">
        <f t="shared" si="18"/>
        <v>7</v>
      </c>
      <c r="D195" s="309">
        <f>ProductionFY1(4,D160,VLOOKUP(D160,ProductsRange,3,FALSE),D180)</f>
        <v>0.56024096385542166</v>
      </c>
      <c r="E195" s="309">
        <f t="shared" ref="E195:L195" si="21">ProductionFY1(4,E160,VLOOKUP(E160,ProductsRange,3,FALSE),E180)</f>
        <v>0.67833698030634582</v>
      </c>
      <c r="F195" s="309">
        <f t="shared" si="21"/>
        <v>0</v>
      </c>
      <c r="G195" s="309">
        <f t="shared" si="21"/>
        <v>0</v>
      </c>
      <c r="H195" s="309">
        <f t="shared" si="21"/>
        <v>0</v>
      </c>
      <c r="I195" s="309">
        <f t="shared" si="21"/>
        <v>0</v>
      </c>
      <c r="J195" s="309">
        <f t="shared" si="21"/>
        <v>2.439759036144578</v>
      </c>
      <c r="K195" s="309">
        <f t="shared" si="21"/>
        <v>3.3216630196936543</v>
      </c>
      <c r="L195" s="309">
        <f t="shared" si="21"/>
        <v>0</v>
      </c>
      <c r="M195" s="304"/>
      <c r="O195" s="191"/>
      <c r="R195" s="191"/>
      <c r="S195" s="191"/>
    </row>
    <row r="196" spans="1:48" hidden="1">
      <c r="A196" s="32"/>
      <c r="B196" s="190" t="s">
        <v>43</v>
      </c>
      <c r="C196" s="308">
        <f t="shared" si="18"/>
        <v>9</v>
      </c>
      <c r="D196" s="309">
        <f>ProductionFY1(5,D160,VLOOKUP(D160,ProductsRange,3,FALSE),D181)</f>
        <v>0.74698795180722888</v>
      </c>
      <c r="E196" s="309">
        <f t="shared" ref="E196:L196" si="22">ProductionFY1(5,E160,VLOOKUP(E160,ProductsRange,3,FALSE),E181)</f>
        <v>0.84792122538293224</v>
      </c>
      <c r="F196" s="309">
        <f t="shared" si="22"/>
        <v>0</v>
      </c>
      <c r="G196" s="309">
        <f t="shared" si="22"/>
        <v>0</v>
      </c>
      <c r="H196" s="309">
        <f t="shared" si="22"/>
        <v>0</v>
      </c>
      <c r="I196" s="309">
        <f t="shared" si="22"/>
        <v>0</v>
      </c>
      <c r="J196" s="309">
        <f t="shared" si="22"/>
        <v>3.2530120481927707</v>
      </c>
      <c r="K196" s="309">
        <f t="shared" si="22"/>
        <v>4.1520787746170678</v>
      </c>
      <c r="L196" s="309">
        <f t="shared" si="22"/>
        <v>0</v>
      </c>
      <c r="M196" s="304"/>
      <c r="O196" s="191"/>
      <c r="R196" s="191"/>
      <c r="S196" s="191"/>
    </row>
    <row r="197" spans="1:48" hidden="1">
      <c r="B197" s="190" t="s">
        <v>42</v>
      </c>
      <c r="C197" s="308">
        <f t="shared" si="18"/>
        <v>11</v>
      </c>
      <c r="D197" s="309">
        <f>ProductionFY1(6,D160,VLOOKUP(D160,ProductsRange,3,FALSE),D182)</f>
        <v>0.9337349397590361</v>
      </c>
      <c r="E197" s="309">
        <f t="shared" ref="E197:L197" si="23">ProductionFY1(6,E160,VLOOKUP(E160,ProductsRange,3,FALSE),E182)</f>
        <v>1.0175054704595186</v>
      </c>
      <c r="F197" s="309">
        <f t="shared" si="23"/>
        <v>0</v>
      </c>
      <c r="G197" s="309">
        <f t="shared" si="23"/>
        <v>0</v>
      </c>
      <c r="H197" s="309">
        <f t="shared" si="23"/>
        <v>0</v>
      </c>
      <c r="I197" s="309">
        <f t="shared" si="23"/>
        <v>0</v>
      </c>
      <c r="J197" s="309">
        <f t="shared" si="23"/>
        <v>4.0662650602409638</v>
      </c>
      <c r="K197" s="309">
        <f t="shared" si="23"/>
        <v>4.9824945295404808</v>
      </c>
      <c r="L197" s="309">
        <f t="shared" si="23"/>
        <v>0</v>
      </c>
      <c r="M197" s="304"/>
      <c r="O197" s="191"/>
      <c r="R197" s="191"/>
      <c r="S197" s="191"/>
    </row>
    <row r="198" spans="1:48" hidden="1">
      <c r="B198" s="190" t="s">
        <v>41</v>
      </c>
      <c r="C198" s="308">
        <f t="shared" si="18"/>
        <v>11</v>
      </c>
      <c r="D198" s="309">
        <f>ProductionFY1(7,D160,VLOOKUP(D160,ProductsRange,3,FALSE),D183)</f>
        <v>0.9337349397590361</v>
      </c>
      <c r="E198" s="309">
        <f t="shared" ref="E198:L198" si="24">ProductionFY1(7,E160,VLOOKUP(E160,ProductsRange,3,FALSE),E183)</f>
        <v>1.0175054704595186</v>
      </c>
      <c r="F198" s="309">
        <f t="shared" si="24"/>
        <v>0</v>
      </c>
      <c r="G198" s="309">
        <f t="shared" si="24"/>
        <v>0</v>
      </c>
      <c r="H198" s="309">
        <f t="shared" si="24"/>
        <v>0</v>
      </c>
      <c r="I198" s="309">
        <f t="shared" si="24"/>
        <v>0</v>
      </c>
      <c r="J198" s="309">
        <f t="shared" si="24"/>
        <v>4.0662650602409638</v>
      </c>
      <c r="K198" s="309">
        <f t="shared" si="24"/>
        <v>4.9824945295404808</v>
      </c>
      <c r="L198" s="309">
        <f t="shared" si="24"/>
        <v>0</v>
      </c>
      <c r="M198" s="304"/>
      <c r="O198" s="191"/>
      <c r="R198" s="191"/>
      <c r="S198" s="191"/>
    </row>
    <row r="199" spans="1:48" hidden="1">
      <c r="B199" s="190" t="s">
        <v>40</v>
      </c>
      <c r="C199" s="308">
        <f t="shared" si="18"/>
        <v>13</v>
      </c>
      <c r="D199" s="309">
        <f>ProductionFY1(8,D160,VLOOKUP(D160,ProductsRange,3,FALSE),D184)</f>
        <v>0.9637305699481864</v>
      </c>
      <c r="E199" s="309">
        <f t="shared" ref="E199:L199" si="25">ProductionFY1(8,E160,VLOOKUP(E160,ProductsRange,3,FALSE),E184)</f>
        <v>1.1037639877924721</v>
      </c>
      <c r="F199" s="309">
        <f t="shared" si="25"/>
        <v>0</v>
      </c>
      <c r="G199" s="309">
        <f t="shared" si="25"/>
        <v>0</v>
      </c>
      <c r="H199" s="309">
        <f t="shared" si="25"/>
        <v>0</v>
      </c>
      <c r="I199" s="309">
        <f t="shared" si="25"/>
        <v>0</v>
      </c>
      <c r="J199" s="309">
        <f t="shared" si="25"/>
        <v>5.0362694300518127</v>
      </c>
      <c r="K199" s="309">
        <f t="shared" si="25"/>
        <v>5.8962360122075284</v>
      </c>
      <c r="L199" s="309">
        <f t="shared" si="25"/>
        <v>0</v>
      </c>
      <c r="M199" s="304"/>
      <c r="O199" s="191"/>
      <c r="R199" s="191"/>
      <c r="S199" s="191"/>
    </row>
    <row r="200" spans="1:48" hidden="1">
      <c r="B200" s="190" t="s">
        <v>39</v>
      </c>
      <c r="C200" s="308">
        <f t="shared" si="18"/>
        <v>13</v>
      </c>
      <c r="D200" s="309">
        <f>ProductionFY1(9,D160,VLOOKUP(D160,ProductsRange,3,FALSE),D185)</f>
        <v>0.9637305699481864</v>
      </c>
      <c r="E200" s="309">
        <f t="shared" ref="E200:L200" si="26">ProductionFY1(9,E160,VLOOKUP(E160,ProductsRange,3,FALSE),E185)</f>
        <v>1.1037639877924721</v>
      </c>
      <c r="F200" s="309">
        <f t="shared" si="26"/>
        <v>0</v>
      </c>
      <c r="G200" s="309">
        <f t="shared" si="26"/>
        <v>0</v>
      </c>
      <c r="H200" s="309">
        <f t="shared" si="26"/>
        <v>0</v>
      </c>
      <c r="I200" s="309">
        <f t="shared" si="26"/>
        <v>0</v>
      </c>
      <c r="J200" s="309">
        <f t="shared" si="26"/>
        <v>5.0362694300518127</v>
      </c>
      <c r="K200" s="309">
        <f t="shared" si="26"/>
        <v>5.8962360122075284</v>
      </c>
      <c r="L200" s="309">
        <f t="shared" si="26"/>
        <v>0</v>
      </c>
      <c r="M200" s="304"/>
      <c r="O200" s="191"/>
      <c r="R200" s="191"/>
      <c r="S200" s="191"/>
    </row>
    <row r="201" spans="1:48" hidden="1">
      <c r="B201" s="190" t="s">
        <v>38</v>
      </c>
      <c r="C201" s="308">
        <f t="shared" si="18"/>
        <v>12</v>
      </c>
      <c r="D201" s="309">
        <f>ProductionFY1(10,D160,VLOOKUP(D160,ProductsRange,3,FALSE),D186)</f>
        <v>0.86350974930362123</v>
      </c>
      <c r="E201" s="309">
        <f t="shared" ref="E201:L201" si="27">ProductionFY1(10,E160,VLOOKUP(E160,ProductsRange,3,FALSE),E186)</f>
        <v>1.1870897155361049</v>
      </c>
      <c r="F201" s="309">
        <f t="shared" si="27"/>
        <v>0</v>
      </c>
      <c r="G201" s="309">
        <f t="shared" si="27"/>
        <v>0</v>
      </c>
      <c r="H201" s="309">
        <f t="shared" si="27"/>
        <v>0</v>
      </c>
      <c r="I201" s="309">
        <f t="shared" si="27"/>
        <v>0</v>
      </c>
      <c r="J201" s="309">
        <f t="shared" si="27"/>
        <v>4.1364902506963785</v>
      </c>
      <c r="K201" s="309">
        <f t="shared" si="27"/>
        <v>5.8129102844638947</v>
      </c>
      <c r="L201" s="309">
        <f t="shared" si="27"/>
        <v>0</v>
      </c>
      <c r="M201" s="304"/>
      <c r="O201" s="191"/>
      <c r="R201" s="191"/>
      <c r="S201" s="191"/>
    </row>
    <row r="202" spans="1:48" hidden="1">
      <c r="B202" s="190" t="s">
        <v>37</v>
      </c>
      <c r="C202" s="308">
        <f t="shared" si="18"/>
        <v>7</v>
      </c>
      <c r="D202" s="309">
        <f>ProductionFY1(11,D160,VLOOKUP(D160,ProductsRange,3,FALSE),D187)</f>
        <v>0.56024096385542166</v>
      </c>
      <c r="E202" s="309">
        <f t="shared" ref="E202:L202" si="28">ProductionFY1(11,E160,VLOOKUP(E160,ProductsRange,3,FALSE),E187)</f>
        <v>0.67833698030634582</v>
      </c>
      <c r="F202" s="309">
        <f t="shared" si="28"/>
        <v>0</v>
      </c>
      <c r="G202" s="309">
        <f t="shared" si="28"/>
        <v>0</v>
      </c>
      <c r="H202" s="309">
        <f t="shared" si="28"/>
        <v>0</v>
      </c>
      <c r="I202" s="309">
        <f t="shared" si="28"/>
        <v>0</v>
      </c>
      <c r="J202" s="309">
        <f t="shared" si="28"/>
        <v>2.439759036144578</v>
      </c>
      <c r="K202" s="309">
        <f t="shared" si="28"/>
        <v>3.3216630196936543</v>
      </c>
      <c r="L202" s="309">
        <f t="shared" si="28"/>
        <v>0</v>
      </c>
      <c r="M202" s="304"/>
      <c r="O202" s="191"/>
      <c r="R202" s="191"/>
      <c r="S202" s="191"/>
    </row>
    <row r="203" spans="1:48" hidden="1">
      <c r="B203" s="190" t="s">
        <v>36</v>
      </c>
      <c r="C203" s="308">
        <f t="shared" si="18"/>
        <v>7</v>
      </c>
      <c r="D203" s="309">
        <f>ProductionFY1(12,D160,VLOOKUP(D160,ProductsRange,3,FALSE),D188)</f>
        <v>0.56024096385542166</v>
      </c>
      <c r="E203" s="309">
        <f t="shared" ref="E203:L203" si="29">ProductionFY1(12,E160,VLOOKUP(E160,ProductsRange,3,FALSE),E188)</f>
        <v>0.76964000709345637</v>
      </c>
      <c r="F203" s="309">
        <f t="shared" si="29"/>
        <v>0</v>
      </c>
      <c r="G203" s="309">
        <f t="shared" si="29"/>
        <v>0</v>
      </c>
      <c r="H203" s="309">
        <f t="shared" si="29"/>
        <v>0</v>
      </c>
      <c r="I203" s="309">
        <f t="shared" si="29"/>
        <v>0</v>
      </c>
      <c r="J203" s="309">
        <f t="shared" si="29"/>
        <v>2.439759036144578</v>
      </c>
      <c r="K203" s="309">
        <f t="shared" si="29"/>
        <v>3.2303599929065436</v>
      </c>
      <c r="L203" s="309">
        <f t="shared" si="29"/>
        <v>0</v>
      </c>
      <c r="M203" s="304"/>
      <c r="O203" s="191"/>
      <c r="R203" s="191"/>
      <c r="S203" s="191"/>
    </row>
    <row r="204" spans="1:48" hidden="1">
      <c r="A204" s="195" t="s">
        <v>416</v>
      </c>
      <c r="B204" s="32"/>
      <c r="C204" s="187" t="s">
        <v>85</v>
      </c>
      <c r="D204" s="196">
        <f t="shared" ref="D204:I204" si="30">SUM(D177:D188)</f>
        <v>12131.364167999998</v>
      </c>
      <c r="E204" s="197">
        <f t="shared" si="30"/>
        <v>13186.265399999998</v>
      </c>
      <c r="F204" s="197">
        <f t="shared" si="30"/>
        <v>7384.3086240000011</v>
      </c>
      <c r="G204" s="197">
        <f t="shared" si="30"/>
        <v>6329.4073919999992</v>
      </c>
      <c r="H204" s="197">
        <f t="shared" si="30"/>
        <v>6329.4073919999992</v>
      </c>
      <c r="I204" s="197">
        <f t="shared" si="30"/>
        <v>7384.3086240000011</v>
      </c>
      <c r="J204" s="310">
        <f>J189</f>
        <v>52830.134279999991</v>
      </c>
      <c r="K204" s="310">
        <f>K189</f>
        <v>64570.164119999994</v>
      </c>
      <c r="L204" s="310">
        <f>L189</f>
        <v>0</v>
      </c>
      <c r="O204" s="191"/>
      <c r="R204" s="191"/>
      <c r="S204" s="191"/>
    </row>
    <row r="205" spans="1:48" hidden="1">
      <c r="A205" s="195" t="s">
        <v>417</v>
      </c>
      <c r="B205" s="32"/>
      <c r="C205" s="187" t="s">
        <v>85</v>
      </c>
      <c r="D205" s="196">
        <f t="shared" ref="D205:K205" si="31">SUM(D192:D203)*capacity</f>
        <v>11382.80068272123</v>
      </c>
      <c r="E205" s="196">
        <f t="shared" si="31"/>
        <v>12516.025487226021</v>
      </c>
      <c r="F205" s="196">
        <f t="shared" si="31"/>
        <v>0</v>
      </c>
      <c r="G205" s="196">
        <f t="shared" si="31"/>
        <v>0</v>
      </c>
      <c r="H205" s="196">
        <f t="shared" si="31"/>
        <v>0</v>
      </c>
      <c r="I205" s="196">
        <f t="shared" si="31"/>
        <v>0</v>
      </c>
      <c r="J205" s="196">
        <f t="shared" si="31"/>
        <v>49377.19931727877</v>
      </c>
      <c r="K205" s="196">
        <f t="shared" si="31"/>
        <v>60643.974512773981</v>
      </c>
      <c r="L205" s="196">
        <f>SUM(L192:L203)*capacity</f>
        <v>0</v>
      </c>
      <c r="O205" s="191"/>
      <c r="R205" s="191"/>
      <c r="S205" s="191"/>
    </row>
    <row r="206" spans="1:48" hidden="1">
      <c r="A206" s="195" t="s">
        <v>418</v>
      </c>
      <c r="B206" s="32"/>
      <c r="C206" s="187" t="s">
        <v>85</v>
      </c>
      <c r="D206" s="196">
        <f t="shared" ref="D206:K206" si="32">D204-D205</f>
        <v>748.56348527876798</v>
      </c>
      <c r="E206" s="197">
        <f t="shared" si="32"/>
        <v>670.23991277397727</v>
      </c>
      <c r="F206" s="197">
        <f t="shared" si="32"/>
        <v>7384.3086240000011</v>
      </c>
      <c r="G206" s="197">
        <f t="shared" si="32"/>
        <v>6329.4073919999992</v>
      </c>
      <c r="H206" s="197">
        <f t="shared" si="32"/>
        <v>6329.4073919999992</v>
      </c>
      <c r="I206" s="197">
        <f t="shared" si="32"/>
        <v>7384.3086240000011</v>
      </c>
      <c r="J206" s="197">
        <f t="shared" si="32"/>
        <v>3452.9349627212214</v>
      </c>
      <c r="K206" s="197">
        <f t="shared" si="32"/>
        <v>3926.1896072260133</v>
      </c>
      <c r="L206" s="197">
        <f>L204-L205</f>
        <v>0</v>
      </c>
      <c r="O206" s="191"/>
      <c r="R206" s="191"/>
      <c r="S206" s="191"/>
    </row>
    <row r="207" spans="1:48" s="32" customFormat="1" hidden="1">
      <c r="A207" s="183"/>
      <c r="B207" s="186" t="s">
        <v>34</v>
      </c>
      <c r="C207" s="186"/>
      <c r="D207" s="228" t="s">
        <v>411</v>
      </c>
      <c r="E207" s="228"/>
      <c r="F207" s="228"/>
      <c r="G207" s="228"/>
      <c r="H207" s="228"/>
      <c r="I207" s="228"/>
      <c r="J207" s="228"/>
      <c r="K207" s="228"/>
      <c r="L207" s="228"/>
      <c r="M207" s="1"/>
      <c r="N207" s="1"/>
      <c r="O207" s="1"/>
      <c r="P207" s="1"/>
      <c r="Q207" s="1"/>
      <c r="R207" s="1"/>
      <c r="S207" s="1"/>
      <c r="T207" s="1"/>
      <c r="U207" s="1"/>
      <c r="V207" s="1"/>
      <c r="W207" s="1"/>
      <c r="AG207" s="1"/>
      <c r="AH207" s="1"/>
      <c r="AI207" s="1"/>
      <c r="AJ207" s="1"/>
      <c r="AK207" s="1"/>
      <c r="AL207" s="1"/>
      <c r="AM207" s="1"/>
      <c r="AN207" s="1"/>
      <c r="AO207" s="1"/>
      <c r="AP207" s="1"/>
      <c r="AQ207" s="1"/>
      <c r="AR207" s="1"/>
      <c r="AS207" s="1"/>
      <c r="AT207" s="1"/>
      <c r="AU207" s="1"/>
      <c r="AV207" s="1"/>
    </row>
    <row r="208" spans="1:48" s="32" customFormat="1" hidden="1">
      <c r="A208" s="304"/>
      <c r="B208" s="187" t="s">
        <v>47</v>
      </c>
      <c r="D208" s="305">
        <v>7.0000000000000007E-2</v>
      </c>
      <c r="E208" s="305">
        <v>0.06</v>
      </c>
      <c r="F208" s="305">
        <v>0.05</v>
      </c>
      <c r="G208" s="305">
        <v>0.05</v>
      </c>
      <c r="H208" s="305">
        <v>0.05</v>
      </c>
      <c r="I208" s="305">
        <v>0.05</v>
      </c>
      <c r="J208" s="305">
        <v>0.05</v>
      </c>
      <c r="K208" s="305">
        <v>0.05</v>
      </c>
      <c r="L208" s="305"/>
      <c r="M208" s="1"/>
      <c r="N208" s="1"/>
      <c r="O208" s="1"/>
      <c r="P208" s="1"/>
      <c r="Q208" s="1"/>
      <c r="R208" s="1"/>
      <c r="S208" s="1"/>
      <c r="T208" s="1"/>
      <c r="U208" s="1"/>
      <c r="V208" s="1"/>
      <c r="W208" s="1"/>
      <c r="AG208" s="1"/>
      <c r="AH208" s="1"/>
      <c r="AI208" s="1"/>
      <c r="AJ208" s="1"/>
      <c r="AK208" s="1"/>
      <c r="AL208" s="1"/>
      <c r="AM208" s="1"/>
      <c r="AN208" s="1"/>
      <c r="AO208" s="1"/>
      <c r="AP208" s="1"/>
      <c r="AQ208" s="1"/>
      <c r="AR208" s="1"/>
      <c r="AS208" s="1"/>
      <c r="AT208" s="1"/>
      <c r="AU208" s="1"/>
      <c r="AV208" s="1"/>
    </row>
    <row r="209" spans="1:48" s="32" customFormat="1" hidden="1">
      <c r="A209" s="306"/>
      <c r="B209" s="187" t="s">
        <v>46</v>
      </c>
      <c r="D209" s="305">
        <v>7.0000000000000007E-2</v>
      </c>
      <c r="E209" s="305">
        <v>0.06</v>
      </c>
      <c r="F209" s="305">
        <v>0.05</v>
      </c>
      <c r="G209" s="305">
        <v>0.05</v>
      </c>
      <c r="H209" s="305">
        <v>0.05</v>
      </c>
      <c r="I209" s="305">
        <v>0.05</v>
      </c>
      <c r="J209" s="305">
        <v>0.05</v>
      </c>
      <c r="K209" s="305">
        <v>0.05</v>
      </c>
      <c r="L209" s="305"/>
      <c r="M209" s="1"/>
      <c r="N209" s="1"/>
      <c r="O209" s="1"/>
      <c r="P209" s="1"/>
      <c r="Q209" s="1"/>
      <c r="R209" s="1"/>
      <c r="S209" s="1"/>
      <c r="T209" s="1"/>
      <c r="U209" s="1"/>
      <c r="V209" s="1"/>
      <c r="W209" s="1"/>
      <c r="AG209" s="1"/>
      <c r="AH209" s="1"/>
      <c r="AI209" s="1"/>
      <c r="AJ209" s="1"/>
      <c r="AK209" s="1"/>
      <c r="AL209" s="1"/>
      <c r="AM209" s="1"/>
      <c r="AN209" s="1"/>
      <c r="AO209" s="1"/>
      <c r="AP209" s="1"/>
      <c r="AQ209" s="1"/>
      <c r="AR209" s="1"/>
      <c r="AS209" s="1"/>
      <c r="AT209" s="1"/>
      <c r="AU209" s="1"/>
      <c r="AV209" s="1"/>
    </row>
    <row r="210" spans="1:48" s="32" customFormat="1" hidden="1">
      <c r="B210" s="190" t="s">
        <v>45</v>
      </c>
      <c r="D210" s="305">
        <v>7.0000000000000007E-2</v>
      </c>
      <c r="E210" s="305">
        <v>0.06</v>
      </c>
      <c r="F210" s="305">
        <v>0.06</v>
      </c>
      <c r="G210" s="305">
        <v>0.06</v>
      </c>
      <c r="H210" s="305">
        <v>0.06</v>
      </c>
      <c r="I210" s="305">
        <v>0.06</v>
      </c>
      <c r="J210" s="305">
        <v>0.06</v>
      </c>
      <c r="K210" s="305">
        <v>0.06</v>
      </c>
      <c r="L210" s="305"/>
      <c r="M210" s="1"/>
      <c r="N210" s="1"/>
      <c r="O210" s="1"/>
      <c r="P210" s="1"/>
      <c r="Q210" s="1"/>
      <c r="R210" s="1"/>
      <c r="S210" s="1"/>
      <c r="T210" s="1"/>
      <c r="U210" s="1"/>
      <c r="V210" s="1"/>
      <c r="W210" s="1"/>
      <c r="AG210" s="1"/>
      <c r="AH210" s="1"/>
      <c r="AI210" s="1"/>
      <c r="AJ210" s="1"/>
      <c r="AK210" s="1"/>
      <c r="AL210" s="1"/>
      <c r="AM210" s="1"/>
      <c r="AN210" s="1"/>
      <c r="AO210" s="1"/>
      <c r="AP210" s="1"/>
      <c r="AQ210" s="1"/>
      <c r="AR210" s="1"/>
      <c r="AS210" s="1"/>
      <c r="AT210" s="1"/>
      <c r="AU210" s="1"/>
      <c r="AV210" s="1"/>
    </row>
    <row r="211" spans="1:48" s="32" customFormat="1" hidden="1">
      <c r="B211" s="190" t="s">
        <v>44</v>
      </c>
      <c r="D211" s="305">
        <v>7.0000000000000007E-2</v>
      </c>
      <c r="E211" s="305">
        <v>7.0000000000000007E-2</v>
      </c>
      <c r="F211" s="305">
        <v>7.0000000000000007E-2</v>
      </c>
      <c r="G211" s="305">
        <v>7.0000000000000007E-2</v>
      </c>
      <c r="H211" s="305">
        <v>7.0000000000000007E-2</v>
      </c>
      <c r="I211" s="305">
        <v>7.0000000000000007E-2</v>
      </c>
      <c r="J211" s="305">
        <v>7.0000000000000007E-2</v>
      </c>
      <c r="K211" s="305">
        <v>7.0000000000000007E-2</v>
      </c>
      <c r="L211" s="305"/>
      <c r="M211" s="1"/>
      <c r="N211" s="1"/>
      <c r="O211" s="1"/>
      <c r="P211" s="1"/>
      <c r="Q211" s="1"/>
      <c r="R211" s="1"/>
      <c r="S211" s="1"/>
      <c r="T211" s="1"/>
      <c r="U211" s="1"/>
      <c r="V211" s="1"/>
      <c r="W211" s="1"/>
      <c r="AG211" s="1"/>
      <c r="AH211" s="1"/>
      <c r="AI211" s="1"/>
      <c r="AJ211" s="1"/>
      <c r="AK211" s="1"/>
      <c r="AL211" s="1"/>
      <c r="AM211" s="1"/>
      <c r="AN211" s="1"/>
      <c r="AO211" s="1"/>
      <c r="AP211" s="1"/>
      <c r="AQ211" s="1"/>
      <c r="AR211" s="1"/>
      <c r="AS211" s="1"/>
      <c r="AT211" s="1"/>
      <c r="AU211" s="1"/>
      <c r="AV211" s="1"/>
    </row>
    <row r="212" spans="1:48" s="32" customFormat="1" hidden="1">
      <c r="B212" s="190" t="s">
        <v>43</v>
      </c>
      <c r="D212" s="305">
        <v>0.08</v>
      </c>
      <c r="E212" s="305">
        <v>0.08</v>
      </c>
      <c r="F212" s="305">
        <v>0.08</v>
      </c>
      <c r="G212" s="305">
        <v>0.08</v>
      </c>
      <c r="H212" s="305">
        <v>0.08</v>
      </c>
      <c r="I212" s="305">
        <v>0.08</v>
      </c>
      <c r="J212" s="305">
        <v>0.08</v>
      </c>
      <c r="K212" s="305">
        <v>0.08</v>
      </c>
      <c r="L212" s="305"/>
      <c r="M212" s="1"/>
      <c r="N212" s="1"/>
      <c r="O212" s="1"/>
      <c r="P212" s="1"/>
      <c r="Q212" s="1"/>
      <c r="R212" s="1"/>
      <c r="S212" s="1"/>
      <c r="T212" s="1"/>
      <c r="U212" s="1"/>
      <c r="V212" s="1"/>
      <c r="W212" s="1"/>
      <c r="AG212" s="1"/>
      <c r="AH212" s="1"/>
      <c r="AI212" s="1"/>
      <c r="AJ212" s="1"/>
      <c r="AK212" s="1"/>
      <c r="AL212" s="1"/>
      <c r="AM212" s="1"/>
      <c r="AN212" s="1"/>
      <c r="AO212" s="1"/>
      <c r="AP212" s="1"/>
      <c r="AQ212" s="1"/>
      <c r="AR212" s="1"/>
      <c r="AS212" s="1"/>
      <c r="AT212" s="1"/>
      <c r="AU212" s="1"/>
      <c r="AV212" s="1"/>
    </row>
    <row r="213" spans="1:48" s="32" customFormat="1" hidden="1">
      <c r="A213" s="1"/>
      <c r="B213" s="190" t="s">
        <v>42</v>
      </c>
      <c r="D213" s="305">
        <v>0.1</v>
      </c>
      <c r="E213" s="305">
        <v>0.1</v>
      </c>
      <c r="F213" s="305">
        <v>0.1</v>
      </c>
      <c r="G213" s="305">
        <v>0.1</v>
      </c>
      <c r="H213" s="305">
        <v>0.1</v>
      </c>
      <c r="I213" s="305">
        <v>0.1</v>
      </c>
      <c r="J213" s="305">
        <v>0.1</v>
      </c>
      <c r="K213" s="305">
        <v>0.1</v>
      </c>
      <c r="L213" s="305"/>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row>
    <row r="214" spans="1:48" s="32" customFormat="1" hidden="1">
      <c r="A214" s="1"/>
      <c r="B214" s="190" t="s">
        <v>41</v>
      </c>
      <c r="D214" s="305">
        <v>0.1</v>
      </c>
      <c r="E214" s="305">
        <v>0.1</v>
      </c>
      <c r="F214" s="305">
        <v>0.1</v>
      </c>
      <c r="G214" s="305">
        <v>0.1</v>
      </c>
      <c r="H214" s="305">
        <v>0.1</v>
      </c>
      <c r="I214" s="305">
        <v>0.1</v>
      </c>
      <c r="J214" s="305">
        <v>0.1</v>
      </c>
      <c r="K214" s="305">
        <v>0.1</v>
      </c>
      <c r="L214" s="305"/>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row>
    <row r="215" spans="1:48" s="32" customFormat="1" hidden="1">
      <c r="A215" s="1"/>
      <c r="B215" s="190" t="s">
        <v>40</v>
      </c>
      <c r="D215" s="305">
        <v>0.1</v>
      </c>
      <c r="E215" s="305">
        <v>0.11</v>
      </c>
      <c r="F215" s="305">
        <v>0.12</v>
      </c>
      <c r="G215" s="305">
        <v>0.12</v>
      </c>
      <c r="H215" s="305">
        <v>0.12</v>
      </c>
      <c r="I215" s="305">
        <v>0.12</v>
      </c>
      <c r="J215" s="305">
        <v>0.12</v>
      </c>
      <c r="K215" s="305">
        <v>0.12</v>
      </c>
      <c r="L215" s="305"/>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row>
    <row r="216" spans="1:48" s="32" customFormat="1" hidden="1">
      <c r="A216" s="1"/>
      <c r="B216" s="190" t="s">
        <v>39</v>
      </c>
      <c r="D216" s="305">
        <v>0.1</v>
      </c>
      <c r="E216" s="305">
        <v>0.11</v>
      </c>
      <c r="F216" s="305">
        <v>0.12</v>
      </c>
      <c r="G216" s="305">
        <v>0.12</v>
      </c>
      <c r="H216" s="305">
        <v>0.12</v>
      </c>
      <c r="I216" s="305">
        <v>0.12</v>
      </c>
      <c r="J216" s="305">
        <v>0.12</v>
      </c>
      <c r="K216" s="305">
        <v>0.12</v>
      </c>
      <c r="L216" s="305"/>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row>
    <row r="217" spans="1:48" s="32" customFormat="1" hidden="1">
      <c r="A217" s="1"/>
      <c r="B217" s="190" t="s">
        <v>38</v>
      </c>
      <c r="D217" s="305">
        <v>0.1</v>
      </c>
      <c r="E217" s="305">
        <v>0.11</v>
      </c>
      <c r="F217" s="305">
        <v>0.11</v>
      </c>
      <c r="G217" s="305">
        <v>0.11</v>
      </c>
      <c r="H217" s="305">
        <v>0.11</v>
      </c>
      <c r="I217" s="305">
        <v>0.11</v>
      </c>
      <c r="J217" s="305">
        <v>0.11</v>
      </c>
      <c r="K217" s="305">
        <v>0.11</v>
      </c>
      <c r="L217" s="305"/>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row>
    <row r="218" spans="1:48" s="32" customFormat="1" hidden="1">
      <c r="A218" s="1"/>
      <c r="B218" s="190" t="s">
        <v>37</v>
      </c>
      <c r="D218" s="305">
        <v>7.0000000000000007E-2</v>
      </c>
      <c r="E218" s="305">
        <v>7.0000000000000007E-2</v>
      </c>
      <c r="F218" s="305">
        <v>7.0000000000000007E-2</v>
      </c>
      <c r="G218" s="305">
        <v>7.0000000000000007E-2</v>
      </c>
      <c r="H218" s="305">
        <v>7.0000000000000007E-2</v>
      </c>
      <c r="I218" s="305">
        <v>7.0000000000000007E-2</v>
      </c>
      <c r="J218" s="305">
        <v>7.0000000000000007E-2</v>
      </c>
      <c r="K218" s="305">
        <v>7.0000000000000007E-2</v>
      </c>
      <c r="L218" s="305"/>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row>
    <row r="219" spans="1:48" s="32" customFormat="1" hidden="1">
      <c r="A219" s="1"/>
      <c r="B219" s="190" t="s">
        <v>36</v>
      </c>
      <c r="D219" s="305">
        <v>7.0000000000000007E-2</v>
      </c>
      <c r="E219" s="305">
        <v>7.0000000000000007E-2</v>
      </c>
      <c r="F219" s="305">
        <v>7.0000000000000007E-2</v>
      </c>
      <c r="G219" s="305">
        <v>7.0000000000000007E-2</v>
      </c>
      <c r="H219" s="305">
        <v>7.0000000000000007E-2</v>
      </c>
      <c r="I219" s="305">
        <v>7.0000000000000007E-2</v>
      </c>
      <c r="J219" s="305">
        <v>7.0000000000000007E-2</v>
      </c>
      <c r="K219" s="305">
        <v>7.0000000000000007E-2</v>
      </c>
      <c r="L219" s="305"/>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row>
    <row r="220" spans="1:48" s="32" customFormat="1" hidden="1">
      <c r="A220" s="1"/>
      <c r="B220" s="190" t="s">
        <v>412</v>
      </c>
      <c r="D220" s="192">
        <f>SUM(D208:D219)</f>
        <v>1</v>
      </c>
      <c r="E220" s="192">
        <f t="shared" ref="E220:K220" si="33">SUM(E208:E219)</f>
        <v>1</v>
      </c>
      <c r="F220" s="192">
        <f t="shared" si="33"/>
        <v>1</v>
      </c>
      <c r="G220" s="192">
        <f t="shared" si="33"/>
        <v>1</v>
      </c>
      <c r="H220" s="192">
        <f t="shared" si="33"/>
        <v>1</v>
      </c>
      <c r="I220" s="192">
        <f t="shared" si="33"/>
        <v>1</v>
      </c>
      <c r="J220" s="192">
        <f t="shared" si="33"/>
        <v>1</v>
      </c>
      <c r="K220" s="192">
        <f t="shared" si="33"/>
        <v>1</v>
      </c>
      <c r="L220" s="192">
        <f>SUM(L208:L219)</f>
        <v>0</v>
      </c>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row>
    <row r="221" spans="1:48" s="32" customFormat="1" hidden="1">
      <c r="A221" s="1"/>
      <c r="B221" s="190"/>
      <c r="D221" s="177" t="s">
        <v>413</v>
      </c>
      <c r="E221" s="177"/>
      <c r="F221" s="177"/>
      <c r="G221" s="177"/>
      <c r="H221" s="177"/>
      <c r="I221" s="177"/>
      <c r="J221" s="177"/>
      <c r="K221" s="177"/>
      <c r="L221" s="177"/>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row>
    <row r="222" spans="1:48" hidden="1">
      <c r="A222" s="183"/>
      <c r="B222" s="187" t="s">
        <v>47</v>
      </c>
      <c r="D222" s="193">
        <f>D208*D234</f>
        <v>958.50016416000005</v>
      </c>
      <c r="E222" s="193">
        <f>E208*E234</f>
        <v>787.33942056000001</v>
      </c>
      <c r="F222" s="193">
        <f t="shared" ref="F222:K222" si="34">F208*F234</f>
        <v>399.37506840000009</v>
      </c>
      <c r="G222" s="193">
        <f t="shared" si="34"/>
        <v>370.84827780000001</v>
      </c>
      <c r="H222" s="193">
        <f t="shared" si="34"/>
        <v>370.84827780000001</v>
      </c>
      <c r="I222" s="193">
        <f t="shared" si="34"/>
        <v>370.84827780000001</v>
      </c>
      <c r="J222" s="193">
        <f t="shared" si="34"/>
        <v>2977.6535712000004</v>
      </c>
      <c r="K222" s="193">
        <f t="shared" si="34"/>
        <v>3225.7913688000008</v>
      </c>
      <c r="L222" s="193">
        <f>L208*L234</f>
        <v>0</v>
      </c>
    </row>
    <row r="223" spans="1:48" hidden="1">
      <c r="A223" s="183"/>
      <c r="B223" s="187" t="s">
        <v>46</v>
      </c>
      <c r="D223" s="193">
        <f>D209*D234</f>
        <v>958.50016416000005</v>
      </c>
      <c r="E223" s="193">
        <f t="shared" ref="E223:K223" si="35">E209*E234</f>
        <v>787.33942056000001</v>
      </c>
      <c r="F223" s="193">
        <f t="shared" si="35"/>
        <v>399.37506840000009</v>
      </c>
      <c r="G223" s="193">
        <f t="shared" si="35"/>
        <v>370.84827780000001</v>
      </c>
      <c r="H223" s="193">
        <f t="shared" si="35"/>
        <v>370.84827780000001</v>
      </c>
      <c r="I223" s="193">
        <f t="shared" si="35"/>
        <v>370.84827780000001</v>
      </c>
      <c r="J223" s="193">
        <f t="shared" si="35"/>
        <v>2977.6535712000004</v>
      </c>
      <c r="K223" s="193">
        <f t="shared" si="35"/>
        <v>3225.7913688000008</v>
      </c>
      <c r="L223" s="193">
        <f>L209*L234</f>
        <v>0</v>
      </c>
    </row>
    <row r="224" spans="1:48" hidden="1">
      <c r="A224" s="183"/>
      <c r="B224" s="190" t="s">
        <v>45</v>
      </c>
      <c r="D224" s="193">
        <f>D210*D234</f>
        <v>958.50016416000005</v>
      </c>
      <c r="E224" s="193">
        <f t="shared" ref="E224:K224" si="36">E210*E234</f>
        <v>787.33942056000001</v>
      </c>
      <c r="F224" s="193">
        <f t="shared" si="36"/>
        <v>479.25008208000003</v>
      </c>
      <c r="G224" s="193">
        <f t="shared" si="36"/>
        <v>445.01793335999997</v>
      </c>
      <c r="H224" s="193">
        <f t="shared" si="36"/>
        <v>445.01793335999997</v>
      </c>
      <c r="I224" s="193">
        <f t="shared" si="36"/>
        <v>445.01793335999997</v>
      </c>
      <c r="J224" s="193">
        <f t="shared" si="36"/>
        <v>3573.1842854400002</v>
      </c>
      <c r="K224" s="193">
        <f t="shared" si="36"/>
        <v>3870.9496425600005</v>
      </c>
      <c r="L224" s="193">
        <f>L210*L234</f>
        <v>0</v>
      </c>
    </row>
    <row r="225" spans="1:21" hidden="1">
      <c r="A225" s="183"/>
      <c r="B225" s="190" t="s">
        <v>44</v>
      </c>
      <c r="D225" s="193">
        <f>D211*D234</f>
        <v>958.50016416000005</v>
      </c>
      <c r="E225" s="193">
        <f t="shared" ref="E225:K225" si="37">E211*E234</f>
        <v>918.56265732000008</v>
      </c>
      <c r="F225" s="193">
        <f t="shared" si="37"/>
        <v>559.12509576000014</v>
      </c>
      <c r="G225" s="193">
        <f t="shared" si="37"/>
        <v>519.18758892000005</v>
      </c>
      <c r="H225" s="193">
        <f t="shared" si="37"/>
        <v>519.18758892000005</v>
      </c>
      <c r="I225" s="193">
        <f t="shared" si="37"/>
        <v>519.18758892000005</v>
      </c>
      <c r="J225" s="193">
        <f t="shared" si="37"/>
        <v>4168.7149996800008</v>
      </c>
      <c r="K225" s="193">
        <f t="shared" si="37"/>
        <v>4516.1079163200011</v>
      </c>
      <c r="L225" s="193">
        <f>L211*L234</f>
        <v>0</v>
      </c>
    </row>
    <row r="226" spans="1:21" hidden="1">
      <c r="A226" s="56"/>
      <c r="B226" s="190" t="s">
        <v>43</v>
      </c>
      <c r="D226" s="193">
        <f>D212*D234</f>
        <v>1095.4287590399999</v>
      </c>
      <c r="E226" s="193">
        <f t="shared" ref="E226:K226" si="38">E212*E234</f>
        <v>1049.7858940799999</v>
      </c>
      <c r="F226" s="193">
        <f t="shared" si="38"/>
        <v>639.00010944000007</v>
      </c>
      <c r="G226" s="193">
        <f t="shared" si="38"/>
        <v>593.35724448000008</v>
      </c>
      <c r="H226" s="193">
        <f t="shared" si="38"/>
        <v>593.35724448000008</v>
      </c>
      <c r="I226" s="193">
        <f t="shared" si="38"/>
        <v>593.35724448000008</v>
      </c>
      <c r="J226" s="193">
        <f t="shared" si="38"/>
        <v>4764.2457139200005</v>
      </c>
      <c r="K226" s="193">
        <f t="shared" si="38"/>
        <v>5161.2661900800003</v>
      </c>
      <c r="L226" s="193">
        <f>L212*L234</f>
        <v>0</v>
      </c>
    </row>
    <row r="227" spans="1:21" hidden="1">
      <c r="A227" s="184"/>
      <c r="B227" s="190" t="s">
        <v>42</v>
      </c>
      <c r="D227" s="193">
        <f>D213*D234</f>
        <v>1369.2859488000001</v>
      </c>
      <c r="E227" s="193">
        <f t="shared" ref="E227:K227" si="39">E213*E234</f>
        <v>1312.2323676000001</v>
      </c>
      <c r="F227" s="193">
        <f t="shared" si="39"/>
        <v>798.75013680000018</v>
      </c>
      <c r="G227" s="193">
        <f t="shared" si="39"/>
        <v>741.69655560000001</v>
      </c>
      <c r="H227" s="193">
        <f t="shared" si="39"/>
        <v>741.69655560000001</v>
      </c>
      <c r="I227" s="193">
        <f t="shared" si="39"/>
        <v>741.69655560000001</v>
      </c>
      <c r="J227" s="193">
        <f t="shared" si="39"/>
        <v>5955.3071424000009</v>
      </c>
      <c r="K227" s="193">
        <f t="shared" si="39"/>
        <v>6451.5827376000016</v>
      </c>
      <c r="L227" s="193">
        <f>L213*L$232</f>
        <v>0</v>
      </c>
    </row>
    <row r="228" spans="1:21" hidden="1">
      <c r="A228" s="184"/>
      <c r="B228" s="190" t="s">
        <v>41</v>
      </c>
      <c r="D228" s="193">
        <f>D214*D234</f>
        <v>1369.2859488000001</v>
      </c>
      <c r="E228" s="193">
        <f t="shared" ref="E228:K228" si="40">E214*E234</f>
        <v>1312.2323676000001</v>
      </c>
      <c r="F228" s="193">
        <f t="shared" si="40"/>
        <v>798.75013680000018</v>
      </c>
      <c r="G228" s="193">
        <f t="shared" si="40"/>
        <v>741.69655560000001</v>
      </c>
      <c r="H228" s="193">
        <f t="shared" si="40"/>
        <v>741.69655560000001</v>
      </c>
      <c r="I228" s="193">
        <f t="shared" si="40"/>
        <v>741.69655560000001</v>
      </c>
      <c r="J228" s="193">
        <f t="shared" si="40"/>
        <v>5955.3071424000009</v>
      </c>
      <c r="K228" s="193">
        <f t="shared" si="40"/>
        <v>6451.5827376000016</v>
      </c>
      <c r="L228" s="193">
        <f>L214*L234</f>
        <v>0</v>
      </c>
    </row>
    <row r="229" spans="1:21" hidden="1">
      <c r="A229" s="184"/>
      <c r="B229" s="190" t="s">
        <v>40</v>
      </c>
      <c r="D229" s="193">
        <f>D215*D234</f>
        <v>1369.2859488000001</v>
      </c>
      <c r="E229" s="193">
        <f t="shared" ref="E229:K229" si="41">E215*E234</f>
        <v>1443.4556043600001</v>
      </c>
      <c r="F229" s="193">
        <f t="shared" si="41"/>
        <v>958.50016416000005</v>
      </c>
      <c r="G229" s="193">
        <f t="shared" si="41"/>
        <v>890.03586671999994</v>
      </c>
      <c r="H229" s="193">
        <f t="shared" si="41"/>
        <v>890.03586671999994</v>
      </c>
      <c r="I229" s="193">
        <f t="shared" si="41"/>
        <v>890.03586671999994</v>
      </c>
      <c r="J229" s="193">
        <f t="shared" si="41"/>
        <v>7146.3685708800003</v>
      </c>
      <c r="K229" s="193">
        <f t="shared" si="41"/>
        <v>7741.899285120001</v>
      </c>
      <c r="L229" s="193">
        <f>L215*L234</f>
        <v>0</v>
      </c>
    </row>
    <row r="230" spans="1:21" hidden="1">
      <c r="A230" s="198"/>
      <c r="B230" s="190" t="s">
        <v>39</v>
      </c>
      <c r="D230" s="193">
        <f>D216*D234</f>
        <v>1369.2859488000001</v>
      </c>
      <c r="E230" s="193">
        <f t="shared" ref="E230:K230" si="42">E216*E234</f>
        <v>1443.4556043600001</v>
      </c>
      <c r="F230" s="193">
        <f t="shared" si="42"/>
        <v>958.50016416000005</v>
      </c>
      <c r="G230" s="193">
        <f t="shared" si="42"/>
        <v>890.03586671999994</v>
      </c>
      <c r="H230" s="193">
        <f t="shared" si="42"/>
        <v>890.03586671999994</v>
      </c>
      <c r="I230" s="193">
        <f t="shared" si="42"/>
        <v>890.03586671999994</v>
      </c>
      <c r="J230" s="193">
        <f t="shared" si="42"/>
        <v>7146.3685708800003</v>
      </c>
      <c r="K230" s="193">
        <f t="shared" si="42"/>
        <v>7741.899285120001</v>
      </c>
      <c r="L230" s="193">
        <f>L216*L234</f>
        <v>0</v>
      </c>
    </row>
    <row r="231" spans="1:21" hidden="1">
      <c r="A231" s="198"/>
      <c r="B231" s="190" t="s">
        <v>38</v>
      </c>
      <c r="D231" s="193">
        <f>D217*D234</f>
        <v>1369.2859488000001</v>
      </c>
      <c r="E231" s="193">
        <f t="shared" ref="E231:K231" si="43">E217*E234</f>
        <v>1443.4556043600001</v>
      </c>
      <c r="F231" s="193">
        <f t="shared" si="43"/>
        <v>878.62515048000012</v>
      </c>
      <c r="G231" s="193">
        <f t="shared" si="43"/>
        <v>815.86621116000003</v>
      </c>
      <c r="H231" s="193">
        <f t="shared" si="43"/>
        <v>815.86621116000003</v>
      </c>
      <c r="I231" s="193">
        <f t="shared" si="43"/>
        <v>815.86621116000003</v>
      </c>
      <c r="J231" s="193">
        <f t="shared" si="43"/>
        <v>6550.8378566400006</v>
      </c>
      <c r="K231" s="193">
        <f t="shared" si="43"/>
        <v>7096.7410113600008</v>
      </c>
      <c r="L231" s="193">
        <f>L217*L234</f>
        <v>0</v>
      </c>
    </row>
    <row r="232" spans="1:21" hidden="1">
      <c r="A232" s="198"/>
      <c r="B232" s="190" t="s">
        <v>37</v>
      </c>
      <c r="D232" s="193">
        <f>D218*D234</f>
        <v>958.50016416000005</v>
      </c>
      <c r="E232" s="193">
        <f t="shared" ref="E232:K232" si="44">E218*E234</f>
        <v>918.56265732000008</v>
      </c>
      <c r="F232" s="193">
        <f t="shared" si="44"/>
        <v>559.12509576000014</v>
      </c>
      <c r="G232" s="193">
        <f t="shared" si="44"/>
        <v>519.18758892000005</v>
      </c>
      <c r="H232" s="193">
        <f t="shared" si="44"/>
        <v>519.18758892000005</v>
      </c>
      <c r="I232" s="193">
        <f t="shared" si="44"/>
        <v>519.18758892000005</v>
      </c>
      <c r="J232" s="193">
        <f t="shared" si="44"/>
        <v>4168.7149996800008</v>
      </c>
      <c r="K232" s="193">
        <f t="shared" si="44"/>
        <v>4516.1079163200011</v>
      </c>
      <c r="L232" s="193">
        <f>L218*L234</f>
        <v>0</v>
      </c>
    </row>
    <row r="233" spans="1:21" s="32" customFormat="1" hidden="1">
      <c r="A233" s="198"/>
      <c r="B233" s="190" t="s">
        <v>36</v>
      </c>
      <c r="D233" s="193">
        <f>D219*D234</f>
        <v>958.50016416000005</v>
      </c>
      <c r="E233" s="193">
        <f t="shared" ref="E233:K233" si="45">E219*E234</f>
        <v>918.56265732000008</v>
      </c>
      <c r="F233" s="193">
        <f t="shared" si="45"/>
        <v>559.12509576000014</v>
      </c>
      <c r="G233" s="193">
        <f t="shared" si="45"/>
        <v>519.18758892000005</v>
      </c>
      <c r="H233" s="193">
        <f t="shared" si="45"/>
        <v>519.18758892000005</v>
      </c>
      <c r="I233" s="193">
        <f t="shared" si="45"/>
        <v>519.18758892000005</v>
      </c>
      <c r="J233" s="193">
        <f t="shared" si="45"/>
        <v>4168.7149996800008</v>
      </c>
      <c r="K233" s="193">
        <f t="shared" si="45"/>
        <v>4516.1079163200011</v>
      </c>
      <c r="L233" s="193">
        <f>L219*L234</f>
        <v>0</v>
      </c>
      <c r="M233" s="1"/>
      <c r="N233" s="1"/>
      <c r="O233" s="1"/>
      <c r="P233" s="1"/>
      <c r="Q233" s="1"/>
      <c r="R233" s="1"/>
      <c r="S233" s="1"/>
      <c r="T233" s="1"/>
      <c r="U233" s="1"/>
    </row>
    <row r="234" spans="1:21" s="32" customFormat="1" hidden="1">
      <c r="A234" s="198"/>
      <c r="B234" s="190" t="s">
        <v>412</v>
      </c>
      <c r="D234" s="193">
        <f t="shared" ref="D234:L234" si="46">VLOOKUP(D160,TargetedMS,IF(D161="[retail]",8,10),FALSE)</f>
        <v>13692.859488</v>
      </c>
      <c r="E234" s="193">
        <f t="shared" si="46"/>
        <v>13122.323676</v>
      </c>
      <c r="F234" s="193">
        <f t="shared" si="46"/>
        <v>7987.5013680000011</v>
      </c>
      <c r="G234" s="193">
        <f t="shared" si="46"/>
        <v>7416.9655560000001</v>
      </c>
      <c r="H234" s="193">
        <f t="shared" si="46"/>
        <v>7416.9655560000001</v>
      </c>
      <c r="I234" s="193">
        <f t="shared" si="46"/>
        <v>7416.9655560000001</v>
      </c>
      <c r="J234" s="193">
        <f t="shared" si="46"/>
        <v>59553.071424000002</v>
      </c>
      <c r="K234" s="193">
        <f t="shared" si="46"/>
        <v>64515.827376000008</v>
      </c>
      <c r="L234" s="193">
        <f t="shared" si="46"/>
        <v>0</v>
      </c>
      <c r="M234" s="1"/>
      <c r="N234" s="1"/>
      <c r="O234" s="1"/>
      <c r="P234" s="1"/>
      <c r="Q234" s="1"/>
      <c r="R234" s="1"/>
      <c r="S234" s="1"/>
      <c r="T234" s="1"/>
      <c r="U234" s="1"/>
    </row>
    <row r="235" spans="1:21" s="32" customFormat="1" hidden="1">
      <c r="A235" s="183"/>
      <c r="B235" s="187" t="s">
        <v>414</v>
      </c>
      <c r="D235" s="307" t="str">
        <f t="shared" ref="D235:L235" si="47">IF(D161="[wholesale]",D234/capacity,"")</f>
        <v/>
      </c>
      <c r="E235" s="307" t="str">
        <f t="shared" si="47"/>
        <v/>
      </c>
      <c r="F235" s="307" t="str">
        <f t="shared" si="47"/>
        <v/>
      </c>
      <c r="G235" s="307" t="str">
        <f t="shared" si="47"/>
        <v/>
      </c>
      <c r="H235" s="307" t="str">
        <f t="shared" si="47"/>
        <v/>
      </c>
      <c r="I235" s="307" t="str">
        <f t="shared" si="47"/>
        <v/>
      </c>
      <c r="J235" s="307">
        <f t="shared" si="47"/>
        <v>48.026670503225809</v>
      </c>
      <c r="K235" s="307">
        <f t="shared" si="47"/>
        <v>52.028893045161297</v>
      </c>
      <c r="L235" s="307" t="str">
        <f t="shared" si="47"/>
        <v/>
      </c>
      <c r="M235" s="1"/>
      <c r="N235" s="1"/>
      <c r="O235" s="1"/>
      <c r="P235" s="1"/>
      <c r="Q235" s="1"/>
      <c r="R235" s="1"/>
      <c r="S235" s="1"/>
      <c r="T235" s="1"/>
      <c r="U235" s="1"/>
    </row>
    <row r="236" spans="1:21" hidden="1">
      <c r="A236" s="183"/>
      <c r="B236" s="187"/>
      <c r="C236" s="37" t="s">
        <v>101</v>
      </c>
      <c r="D236" s="177" t="s">
        <v>415</v>
      </c>
      <c r="E236" s="177"/>
      <c r="F236" s="177"/>
      <c r="G236" s="177"/>
      <c r="H236" s="177"/>
      <c r="I236" s="177"/>
      <c r="J236" s="177"/>
      <c r="K236" s="177"/>
      <c r="L236" s="177"/>
      <c r="O236" s="191"/>
      <c r="P236" s="191"/>
      <c r="R236" s="191"/>
      <c r="S236" s="191"/>
    </row>
    <row r="237" spans="1:21" hidden="1">
      <c r="A237" s="304"/>
      <c r="B237" s="187" t="s">
        <v>47</v>
      </c>
      <c r="C237" s="308">
        <f t="shared" ref="C237:C248" si="48">SUM(D237:Z237)</f>
        <v>6</v>
      </c>
      <c r="D237" s="311">
        <f>ProductionFY2(1,D160,VLOOKUP(D160,ProductsRange,3,FALSE),D222)</f>
        <v>0.73053561568194358</v>
      </c>
      <c r="E237" s="311">
        <f t="shared" ref="E237:K237" si="49">ProductionFY2(1,E160,VLOOKUP(E160,ProductsRange,3,FALSE),E222)</f>
        <v>0.58857246017060072</v>
      </c>
      <c r="F237" s="311">
        <f t="shared" si="49"/>
        <v>0</v>
      </c>
      <c r="G237" s="311">
        <f t="shared" si="49"/>
        <v>0</v>
      </c>
      <c r="H237" s="311">
        <f t="shared" si="49"/>
        <v>0</v>
      </c>
      <c r="I237" s="311">
        <f t="shared" si="49"/>
        <v>0</v>
      </c>
      <c r="J237" s="311">
        <f t="shared" si="49"/>
        <v>2.2694643843180562</v>
      </c>
      <c r="K237" s="311">
        <f t="shared" si="49"/>
        <v>2.4114275398293996</v>
      </c>
      <c r="L237" s="311">
        <f>ProductionFY2(1,L160,VLOOKUP(L160,ProductsRange,3,FALSE),L222)</f>
        <v>0</v>
      </c>
      <c r="M237" s="304"/>
      <c r="O237" s="191"/>
      <c r="P237" s="191"/>
      <c r="R237" s="191"/>
      <c r="S237" s="191"/>
    </row>
    <row r="238" spans="1:21" hidden="1">
      <c r="A238" s="306"/>
      <c r="B238" s="187" t="s">
        <v>46</v>
      </c>
      <c r="C238" s="308">
        <f t="shared" si="48"/>
        <v>6</v>
      </c>
      <c r="D238" s="311">
        <f>ProductionFY2(2,D160,VLOOKUP(D160,ProductsRange,3,FALSE),D223)</f>
        <v>0.73053561568194358</v>
      </c>
      <c r="E238" s="311">
        <f>ProductionFY2(2,E160,VLOOKUP(E160,ProductsRange,3,FALSE),E223)</f>
        <v>0.58857246017060072</v>
      </c>
      <c r="F238" s="311">
        <f t="shared" ref="F238:L238" si="50">ProductionFY2(2,F160,VLOOKUP(F160,ProductsRange,3,FALSE),F223)</f>
        <v>0</v>
      </c>
      <c r="G238" s="311">
        <f t="shared" si="50"/>
        <v>0</v>
      </c>
      <c r="H238" s="311">
        <f t="shared" si="50"/>
        <v>0</v>
      </c>
      <c r="I238" s="311">
        <f t="shared" si="50"/>
        <v>0</v>
      </c>
      <c r="J238" s="311">
        <f t="shared" si="50"/>
        <v>2.2694643843180562</v>
      </c>
      <c r="K238" s="311">
        <f t="shared" si="50"/>
        <v>2.4114275398293996</v>
      </c>
      <c r="L238" s="311">
        <f t="shared" si="50"/>
        <v>0</v>
      </c>
      <c r="M238" s="304"/>
      <c r="O238" s="191"/>
      <c r="P238" s="191"/>
      <c r="R238" s="191"/>
      <c r="S238" s="191"/>
    </row>
    <row r="239" spans="1:21" hidden="1">
      <c r="A239" s="32"/>
      <c r="B239" s="190" t="s">
        <v>45</v>
      </c>
      <c r="C239" s="308">
        <f t="shared" si="48"/>
        <v>6</v>
      </c>
      <c r="D239" s="311">
        <f>ProductionFY2(3,D160,VLOOKUP(D160,ProductsRange,3,FALSE),D224)</f>
        <v>0.63453237410071939</v>
      </c>
      <c r="E239" s="311">
        <f t="shared" ref="E239:L239" si="51">ProductionFY2(3,E160,VLOOKUP(E160,ProductsRange,3,FALSE),E224)</f>
        <v>0.5070570395427505</v>
      </c>
      <c r="F239" s="311">
        <f t="shared" si="51"/>
        <v>0</v>
      </c>
      <c r="G239" s="311">
        <f t="shared" si="51"/>
        <v>0</v>
      </c>
      <c r="H239" s="311">
        <f t="shared" si="51"/>
        <v>0</v>
      </c>
      <c r="I239" s="311">
        <f t="shared" si="51"/>
        <v>0</v>
      </c>
      <c r="J239" s="311">
        <f t="shared" si="51"/>
        <v>2.3654676258992806</v>
      </c>
      <c r="K239" s="311">
        <f t="shared" si="51"/>
        <v>2.4929429604572495</v>
      </c>
      <c r="L239" s="311">
        <f t="shared" si="51"/>
        <v>0</v>
      </c>
      <c r="M239" s="304"/>
      <c r="O239" s="191"/>
      <c r="P239" s="191"/>
      <c r="R239" s="191"/>
      <c r="S239" s="191"/>
    </row>
    <row r="240" spans="1:21" hidden="1">
      <c r="A240" s="32"/>
      <c r="B240" s="190" t="s">
        <v>44</v>
      </c>
      <c r="C240" s="308">
        <f t="shared" si="48"/>
        <v>8</v>
      </c>
      <c r="D240" s="311">
        <f>ProductionFY2(4,D160,VLOOKUP(D160,ProductsRange,3,FALSE),D225)</f>
        <v>0.74777448071216612</v>
      </c>
      <c r="E240" s="311">
        <f t="shared" ref="E240:L240" si="52">ProductionFY2(4,E160,VLOOKUP(E160,ProductsRange,3,FALSE),E225)</f>
        <v>0.67607605272366733</v>
      </c>
      <c r="F240" s="311">
        <f t="shared" si="52"/>
        <v>0</v>
      </c>
      <c r="G240" s="311">
        <f t="shared" si="52"/>
        <v>0</v>
      </c>
      <c r="H240" s="311">
        <f t="shared" si="52"/>
        <v>0</v>
      </c>
      <c r="I240" s="311">
        <f t="shared" si="52"/>
        <v>0</v>
      </c>
      <c r="J240" s="311">
        <f t="shared" si="52"/>
        <v>3.2522255192878338</v>
      </c>
      <c r="K240" s="311">
        <f t="shared" si="52"/>
        <v>3.3239239472763331</v>
      </c>
      <c r="L240" s="311">
        <f t="shared" si="52"/>
        <v>0</v>
      </c>
      <c r="M240" s="304"/>
      <c r="O240" s="191"/>
      <c r="P240" s="191"/>
      <c r="R240" s="191"/>
      <c r="S240" s="191"/>
    </row>
    <row r="241" spans="1:48" hidden="1">
      <c r="A241" s="32"/>
      <c r="B241" s="190" t="s">
        <v>43</v>
      </c>
      <c r="C241" s="308">
        <f t="shared" si="48"/>
        <v>9</v>
      </c>
      <c r="D241" s="311">
        <f>ProductionFY2(5,D160,VLOOKUP(D160,ProductsRange,3,FALSE),D226)</f>
        <v>0.74777448071216601</v>
      </c>
      <c r="E241" s="311">
        <f t="shared" ref="E241:L241" si="53">ProductionFY2(5,E160,VLOOKUP(E160,ProductsRange,3,FALSE),E226)</f>
        <v>0.84509506590458405</v>
      </c>
      <c r="F241" s="311">
        <f t="shared" si="53"/>
        <v>0</v>
      </c>
      <c r="G241" s="311">
        <f t="shared" si="53"/>
        <v>0</v>
      </c>
      <c r="H241" s="311">
        <f t="shared" si="53"/>
        <v>0</v>
      </c>
      <c r="I241" s="311">
        <f t="shared" si="53"/>
        <v>0</v>
      </c>
      <c r="J241" s="311">
        <f t="shared" si="53"/>
        <v>3.2522255192878338</v>
      </c>
      <c r="K241" s="311">
        <f t="shared" si="53"/>
        <v>4.1549049340954163</v>
      </c>
      <c r="L241" s="311">
        <f t="shared" si="53"/>
        <v>0</v>
      </c>
      <c r="M241" s="304"/>
      <c r="O241" s="191"/>
      <c r="P241" s="191"/>
      <c r="R241" s="191"/>
      <c r="S241" s="191"/>
    </row>
    <row r="242" spans="1:48" hidden="1">
      <c r="B242" s="190" t="s">
        <v>42</v>
      </c>
      <c r="C242" s="308">
        <f t="shared" si="48"/>
        <v>12</v>
      </c>
      <c r="D242" s="311">
        <f>ProductionFY2(6,D160,VLOOKUP(D160,ProductsRange,3,FALSE),D227)</f>
        <v>1.1216617210682491</v>
      </c>
      <c r="E242" s="311">
        <f t="shared" ref="E242:L242" si="54">ProductionFY2(6,E160,VLOOKUP(E160,ProductsRange,3,FALSE),E227)</f>
        <v>1.014114079085501</v>
      </c>
      <c r="F242" s="311">
        <f t="shared" si="54"/>
        <v>0</v>
      </c>
      <c r="G242" s="311">
        <f t="shared" si="54"/>
        <v>0</v>
      </c>
      <c r="H242" s="311">
        <f t="shared" si="54"/>
        <v>0</v>
      </c>
      <c r="I242" s="311">
        <f t="shared" si="54"/>
        <v>0</v>
      </c>
      <c r="J242" s="311">
        <f t="shared" si="54"/>
        <v>4.8783382789317509</v>
      </c>
      <c r="K242" s="311">
        <f t="shared" si="54"/>
        <v>4.9858859209144999</v>
      </c>
      <c r="L242" s="311">
        <f t="shared" si="54"/>
        <v>0</v>
      </c>
      <c r="M242" s="304"/>
      <c r="O242" s="191"/>
      <c r="P242" s="191"/>
      <c r="R242" s="191"/>
      <c r="S242" s="191"/>
    </row>
    <row r="243" spans="1:48" hidden="1">
      <c r="B243" s="190" t="s">
        <v>41</v>
      </c>
      <c r="C243" s="308">
        <f t="shared" si="48"/>
        <v>12</v>
      </c>
      <c r="D243" s="311">
        <f>ProductionFY2(7,D160,VLOOKUP(D160,ProductsRange,3,FALSE),D228)</f>
        <v>1.1216617210682491</v>
      </c>
      <c r="E243" s="311">
        <f t="shared" ref="E243:L243" si="55">ProductionFY2(7,E160,VLOOKUP(E160,ProductsRange,3,FALSE),E228)</f>
        <v>1.014114079085501</v>
      </c>
      <c r="F243" s="311">
        <f t="shared" si="55"/>
        <v>0</v>
      </c>
      <c r="G243" s="311">
        <f t="shared" si="55"/>
        <v>0</v>
      </c>
      <c r="H243" s="311">
        <f t="shared" si="55"/>
        <v>0</v>
      </c>
      <c r="I243" s="311">
        <f t="shared" si="55"/>
        <v>0</v>
      </c>
      <c r="J243" s="311">
        <f t="shared" si="55"/>
        <v>4.8783382789317509</v>
      </c>
      <c r="K243" s="311">
        <f t="shared" si="55"/>
        <v>4.9858859209144999</v>
      </c>
      <c r="L243" s="311">
        <f t="shared" si="55"/>
        <v>0</v>
      </c>
      <c r="M243" s="304"/>
      <c r="O243" s="191"/>
      <c r="P243" s="191"/>
      <c r="R243" s="191"/>
      <c r="S243" s="191"/>
    </row>
    <row r="244" spans="1:48" hidden="1">
      <c r="B244" s="190" t="s">
        <v>40</v>
      </c>
      <c r="C244" s="308">
        <f t="shared" si="48"/>
        <v>14</v>
      </c>
      <c r="D244" s="311">
        <f>ProductionFY2(8,D160,VLOOKUP(D160,ProductsRange,3,FALSE),D229)</f>
        <v>1.1255742725880553</v>
      </c>
      <c r="E244" s="311">
        <f t="shared" ref="E244:L244" si="56">ProductionFY2(8,E160,VLOOKUP(E160,ProductsRange,3,FALSE),E229)</f>
        <v>1.100032535715342</v>
      </c>
      <c r="F244" s="311">
        <f t="shared" si="56"/>
        <v>0</v>
      </c>
      <c r="G244" s="311">
        <f t="shared" si="56"/>
        <v>0</v>
      </c>
      <c r="H244" s="311">
        <f t="shared" si="56"/>
        <v>0</v>
      </c>
      <c r="I244" s="311">
        <f t="shared" si="56"/>
        <v>0</v>
      </c>
      <c r="J244" s="311">
        <f t="shared" si="56"/>
        <v>5.8744257274119445</v>
      </c>
      <c r="K244" s="311">
        <f t="shared" si="56"/>
        <v>5.899967464284658</v>
      </c>
      <c r="L244" s="311">
        <f t="shared" si="56"/>
        <v>0</v>
      </c>
      <c r="M244" s="304"/>
      <c r="O244" s="191"/>
      <c r="P244" s="191"/>
      <c r="R244" s="191"/>
      <c r="S244" s="191"/>
    </row>
    <row r="245" spans="1:48" hidden="1">
      <c r="B245" s="190" t="s">
        <v>39</v>
      </c>
      <c r="C245" s="308">
        <f t="shared" si="48"/>
        <v>14</v>
      </c>
      <c r="D245" s="311">
        <f>ProductionFY2(9,D160,VLOOKUP(D160,ProductsRange,3,FALSE),D230)</f>
        <v>1.1255742725880553</v>
      </c>
      <c r="E245" s="311">
        <f t="shared" ref="E245:L245" si="57">ProductionFY2(9,E160,VLOOKUP(E160,ProductsRange,3,FALSE),E230)</f>
        <v>1.100032535715342</v>
      </c>
      <c r="F245" s="311">
        <f t="shared" si="57"/>
        <v>0</v>
      </c>
      <c r="G245" s="311">
        <f t="shared" si="57"/>
        <v>0</v>
      </c>
      <c r="H245" s="311">
        <f t="shared" si="57"/>
        <v>0</v>
      </c>
      <c r="I245" s="311">
        <f t="shared" si="57"/>
        <v>0</v>
      </c>
      <c r="J245" s="311">
        <f t="shared" si="57"/>
        <v>5.8744257274119445</v>
      </c>
      <c r="K245" s="311">
        <f t="shared" si="57"/>
        <v>5.899967464284658</v>
      </c>
      <c r="L245" s="311">
        <f t="shared" si="57"/>
        <v>0</v>
      </c>
      <c r="M245" s="304"/>
      <c r="O245" s="191"/>
      <c r="P245" s="191"/>
      <c r="R245" s="191"/>
      <c r="S245" s="191"/>
    </row>
    <row r="246" spans="1:48" hidden="1">
      <c r="B246" s="190" t="s">
        <v>38</v>
      </c>
      <c r="C246" s="308">
        <f t="shared" si="48"/>
        <v>13</v>
      </c>
      <c r="D246" s="311">
        <f>ProductionFY2(10,D160,VLOOKUP(D160,ProductsRange,3,FALSE),D231)</f>
        <v>1.0373216245883643</v>
      </c>
      <c r="E246" s="311">
        <f t="shared" ref="E246:L246" si="58">ProductionFY2(10,E160,VLOOKUP(E160,ProductsRange,3,FALSE),E231)</f>
        <v>1.1831330922664178</v>
      </c>
      <c r="F246" s="311">
        <f t="shared" si="58"/>
        <v>0</v>
      </c>
      <c r="G246" s="311">
        <f t="shared" si="58"/>
        <v>0</v>
      </c>
      <c r="H246" s="311">
        <f t="shared" si="58"/>
        <v>0</v>
      </c>
      <c r="I246" s="311">
        <f t="shared" si="58"/>
        <v>0</v>
      </c>
      <c r="J246" s="311">
        <f t="shared" si="58"/>
        <v>4.9626783754116355</v>
      </c>
      <c r="K246" s="311">
        <f t="shared" si="58"/>
        <v>5.8168669077335826</v>
      </c>
      <c r="L246" s="311">
        <f t="shared" si="58"/>
        <v>0</v>
      </c>
      <c r="M246" s="304"/>
      <c r="O246" s="191"/>
      <c r="P246" s="191"/>
      <c r="R246" s="191"/>
      <c r="S246" s="191"/>
    </row>
    <row r="247" spans="1:48" hidden="1">
      <c r="B247" s="190" t="s">
        <v>37</v>
      </c>
      <c r="C247" s="308">
        <f t="shared" si="48"/>
        <v>8</v>
      </c>
      <c r="D247" s="311">
        <f>ProductionFY2(11,D160,VLOOKUP(D160,ProductsRange,3,FALSE),D232)</f>
        <v>0.74777448071216612</v>
      </c>
      <c r="E247" s="311">
        <f t="shared" ref="E247:L247" si="59">ProductionFY2(11,E160,VLOOKUP(E160,ProductsRange,3,FALSE),E232)</f>
        <v>0.67607605272366733</v>
      </c>
      <c r="F247" s="311">
        <f t="shared" si="59"/>
        <v>0</v>
      </c>
      <c r="G247" s="311">
        <f t="shared" si="59"/>
        <v>0</v>
      </c>
      <c r="H247" s="311">
        <f t="shared" si="59"/>
        <v>0</v>
      </c>
      <c r="I247" s="311">
        <f t="shared" si="59"/>
        <v>0</v>
      </c>
      <c r="J247" s="311">
        <f t="shared" si="59"/>
        <v>3.2522255192878338</v>
      </c>
      <c r="K247" s="311">
        <f t="shared" si="59"/>
        <v>3.3239239472763331</v>
      </c>
      <c r="L247" s="311">
        <f t="shared" si="59"/>
        <v>0</v>
      </c>
      <c r="M247" s="304"/>
      <c r="O247" s="191"/>
      <c r="P247" s="191"/>
      <c r="R247" s="191"/>
      <c r="S247" s="191"/>
    </row>
    <row r="248" spans="1:48" hidden="1">
      <c r="B248" s="190" t="s">
        <v>36</v>
      </c>
      <c r="C248" s="308">
        <f t="shared" si="48"/>
        <v>8</v>
      </c>
      <c r="D248" s="311">
        <f>ProductionFY2(12,D160,VLOOKUP(D160,ProductsRange,3,FALSE),D233)</f>
        <v>0.74777448071216612</v>
      </c>
      <c r="E248" s="311">
        <f t="shared" ref="E248:L248" si="60">ProductionFY2(12,E160,VLOOKUP(E160,ProductsRange,3,FALSE),E233)</f>
        <v>0.67607605272366733</v>
      </c>
      <c r="F248" s="311">
        <f t="shared" si="60"/>
        <v>0</v>
      </c>
      <c r="G248" s="311">
        <f t="shared" si="60"/>
        <v>0</v>
      </c>
      <c r="H248" s="311">
        <f t="shared" si="60"/>
        <v>0</v>
      </c>
      <c r="I248" s="311">
        <f t="shared" si="60"/>
        <v>0</v>
      </c>
      <c r="J248" s="311">
        <f t="shared" si="60"/>
        <v>3.2522255192878338</v>
      </c>
      <c r="K248" s="311">
        <f t="shared" si="60"/>
        <v>3.3239239472763331</v>
      </c>
      <c r="L248" s="311">
        <f t="shared" si="60"/>
        <v>0</v>
      </c>
      <c r="M248" s="304"/>
      <c r="O248" s="191"/>
      <c r="P248" s="191"/>
      <c r="R248" s="191"/>
      <c r="S248" s="191"/>
    </row>
    <row r="249" spans="1:48" s="32" customFormat="1" hidden="1">
      <c r="A249" s="195" t="s">
        <v>416</v>
      </c>
      <c r="C249" s="187" t="s">
        <v>85</v>
      </c>
      <c r="D249" s="196">
        <f t="shared" ref="D249:I249" si="61">SUM(D222:D233)</f>
        <v>13692.859487999998</v>
      </c>
      <c r="E249" s="197">
        <f t="shared" si="61"/>
        <v>13122.323676000004</v>
      </c>
      <c r="F249" s="197">
        <f t="shared" si="61"/>
        <v>7987.501368000002</v>
      </c>
      <c r="G249" s="197">
        <f t="shared" si="61"/>
        <v>7416.9655560000001</v>
      </c>
      <c r="H249" s="197">
        <f t="shared" si="61"/>
        <v>7416.9655560000001</v>
      </c>
      <c r="I249" s="197">
        <f t="shared" si="61"/>
        <v>7416.9655560000001</v>
      </c>
      <c r="J249" s="310">
        <f>J234</f>
        <v>59553.071424000002</v>
      </c>
      <c r="K249" s="310">
        <f>K234</f>
        <v>64515.827376000008</v>
      </c>
      <c r="L249" s="310">
        <f>L234</f>
        <v>0</v>
      </c>
      <c r="M249" s="1"/>
      <c r="N249" s="1"/>
      <c r="O249" s="191"/>
      <c r="P249" s="191"/>
      <c r="Q249" s="1"/>
      <c r="R249" s="191"/>
      <c r="S249" s="191"/>
    </row>
    <row r="250" spans="1:48" s="32" customFormat="1" hidden="1">
      <c r="A250" s="195" t="s">
        <v>417</v>
      </c>
      <c r="C250" s="187" t="s">
        <v>85</v>
      </c>
      <c r="D250" s="196">
        <f t="shared" ref="D250:K250" si="62">SUM(D237:D248)*capacity</f>
        <v>13166.933973865664</v>
      </c>
      <c r="E250" s="196">
        <f t="shared" si="62"/>
        <v>12361.499867226275</v>
      </c>
      <c r="F250" s="196">
        <f t="shared" si="62"/>
        <v>0</v>
      </c>
      <c r="G250" s="196">
        <f t="shared" si="62"/>
        <v>0</v>
      </c>
      <c r="H250" s="196">
        <f t="shared" si="62"/>
        <v>0</v>
      </c>
      <c r="I250" s="196">
        <f t="shared" si="62"/>
        <v>0</v>
      </c>
      <c r="J250" s="196">
        <f t="shared" si="62"/>
        <v>57513.066026134329</v>
      </c>
      <c r="K250" s="196">
        <f t="shared" si="62"/>
        <v>60798.500132773726</v>
      </c>
      <c r="L250" s="196">
        <f>SUM(L237:L248)*capacity</f>
        <v>0</v>
      </c>
      <c r="M250" s="1"/>
      <c r="N250" s="1"/>
      <c r="O250" s="191"/>
      <c r="P250" s="191"/>
      <c r="Q250" s="1"/>
      <c r="R250" s="191"/>
      <c r="S250" s="191"/>
    </row>
    <row r="251" spans="1:48" s="32" customFormat="1" hidden="1">
      <c r="A251" s="195" t="s">
        <v>418</v>
      </c>
      <c r="C251" s="187" t="s">
        <v>85</v>
      </c>
      <c r="D251" s="196">
        <f t="shared" ref="D251:K251" si="63">D249-D250</f>
        <v>525.92551413433466</v>
      </c>
      <c r="E251" s="197">
        <f t="shared" si="63"/>
        <v>760.82380877372816</v>
      </c>
      <c r="F251" s="197">
        <f t="shared" si="63"/>
        <v>7987.501368000002</v>
      </c>
      <c r="G251" s="197">
        <f t="shared" si="63"/>
        <v>7416.9655560000001</v>
      </c>
      <c r="H251" s="197">
        <f t="shared" si="63"/>
        <v>7416.9655560000001</v>
      </c>
      <c r="I251" s="197">
        <f t="shared" si="63"/>
        <v>7416.9655560000001</v>
      </c>
      <c r="J251" s="197">
        <f t="shared" si="63"/>
        <v>2040.0053978656724</v>
      </c>
      <c r="K251" s="197">
        <f t="shared" si="63"/>
        <v>3717.327243226282</v>
      </c>
      <c r="L251" s="197">
        <f>L249-L250</f>
        <v>0</v>
      </c>
      <c r="M251" s="1"/>
      <c r="N251" s="1"/>
      <c r="O251" s="191"/>
      <c r="P251" s="191"/>
      <c r="Q251" s="1"/>
      <c r="R251" s="191"/>
      <c r="S251" s="191"/>
    </row>
    <row r="252" spans="1:48" s="32" customFormat="1" hidden="1">
      <c r="A252" s="183"/>
      <c r="B252" s="186" t="s">
        <v>33</v>
      </c>
      <c r="C252" s="186"/>
      <c r="D252" s="227" t="s">
        <v>411</v>
      </c>
      <c r="E252" s="227"/>
      <c r="F252" s="227"/>
      <c r="G252" s="227"/>
      <c r="H252" s="227"/>
      <c r="I252" s="227"/>
      <c r="J252" s="227"/>
      <c r="K252" s="227"/>
      <c r="L252" s="227"/>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row>
    <row r="253" spans="1:48" s="32" customFormat="1" hidden="1">
      <c r="A253" s="304"/>
      <c r="B253" s="187" t="s">
        <v>47</v>
      </c>
      <c r="D253" s="305">
        <v>7.0000000000000007E-2</v>
      </c>
      <c r="E253" s="305">
        <v>0.06</v>
      </c>
      <c r="F253" s="305">
        <v>0.05</v>
      </c>
      <c r="G253" s="305">
        <v>0.05</v>
      </c>
      <c r="H253" s="305">
        <v>0.05</v>
      </c>
      <c r="I253" s="305">
        <v>0.05</v>
      </c>
      <c r="J253" s="305">
        <v>0.05</v>
      </c>
      <c r="K253" s="305">
        <v>0.05</v>
      </c>
      <c r="L253" s="305"/>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row>
    <row r="254" spans="1:48" s="32" customFormat="1" hidden="1">
      <c r="A254" s="306"/>
      <c r="B254" s="187" t="s">
        <v>46</v>
      </c>
      <c r="D254" s="305">
        <v>7.0000000000000007E-2</v>
      </c>
      <c r="E254" s="305">
        <v>0.06</v>
      </c>
      <c r="F254" s="305">
        <v>0.05</v>
      </c>
      <c r="G254" s="305">
        <v>0.05</v>
      </c>
      <c r="H254" s="305">
        <v>0.05</v>
      </c>
      <c r="I254" s="305">
        <v>0.05</v>
      </c>
      <c r="J254" s="305">
        <v>0.05</v>
      </c>
      <c r="K254" s="305">
        <v>0.05</v>
      </c>
      <c r="L254" s="305"/>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row>
    <row r="255" spans="1:48" s="32" customFormat="1" hidden="1">
      <c r="B255" s="190" t="s">
        <v>45</v>
      </c>
      <c r="D255" s="305">
        <v>7.0000000000000007E-2</v>
      </c>
      <c r="E255" s="305">
        <v>0.06</v>
      </c>
      <c r="F255" s="305">
        <v>0.06</v>
      </c>
      <c r="G255" s="305">
        <v>0.06</v>
      </c>
      <c r="H255" s="305">
        <v>0.06</v>
      </c>
      <c r="I255" s="305">
        <v>0.06</v>
      </c>
      <c r="J255" s="305">
        <v>0.06</v>
      </c>
      <c r="K255" s="305">
        <v>0.06</v>
      </c>
      <c r="L255" s="305"/>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row>
    <row r="256" spans="1:48" s="32" customFormat="1" hidden="1">
      <c r="B256" s="190" t="s">
        <v>44</v>
      </c>
      <c r="D256" s="305">
        <v>7.0000000000000007E-2</v>
      </c>
      <c r="E256" s="305">
        <v>7.0000000000000007E-2</v>
      </c>
      <c r="F256" s="305">
        <v>7.0000000000000007E-2</v>
      </c>
      <c r="G256" s="305">
        <v>7.0000000000000007E-2</v>
      </c>
      <c r="H256" s="305">
        <v>7.0000000000000007E-2</v>
      </c>
      <c r="I256" s="305">
        <v>7.0000000000000007E-2</v>
      </c>
      <c r="J256" s="305">
        <v>7.0000000000000007E-2</v>
      </c>
      <c r="K256" s="305">
        <v>7.0000000000000007E-2</v>
      </c>
      <c r="L256" s="305"/>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row>
    <row r="257" spans="1:48" s="32" customFormat="1" hidden="1">
      <c r="B257" s="190" t="s">
        <v>43</v>
      </c>
      <c r="D257" s="305">
        <v>0.08</v>
      </c>
      <c r="E257" s="305">
        <v>0.08</v>
      </c>
      <c r="F257" s="305">
        <v>0.08</v>
      </c>
      <c r="G257" s="305">
        <v>0.08</v>
      </c>
      <c r="H257" s="305">
        <v>0.08</v>
      </c>
      <c r="I257" s="305">
        <v>0.08</v>
      </c>
      <c r="J257" s="305">
        <v>0.08</v>
      </c>
      <c r="K257" s="305">
        <v>0.08</v>
      </c>
      <c r="L257" s="305"/>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row>
    <row r="258" spans="1:48" s="32" customFormat="1" hidden="1">
      <c r="A258" s="1"/>
      <c r="B258" s="190" t="s">
        <v>42</v>
      </c>
      <c r="D258" s="305">
        <v>0.1</v>
      </c>
      <c r="E258" s="305">
        <v>0.1</v>
      </c>
      <c r="F258" s="305">
        <v>0.1</v>
      </c>
      <c r="G258" s="305">
        <v>0.1</v>
      </c>
      <c r="H258" s="305">
        <v>0.1</v>
      </c>
      <c r="I258" s="305">
        <v>0.1</v>
      </c>
      <c r="J258" s="305">
        <v>0.1</v>
      </c>
      <c r="K258" s="305">
        <v>0.1</v>
      </c>
      <c r="L258" s="305"/>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row>
    <row r="259" spans="1:48" s="32" customFormat="1" hidden="1">
      <c r="A259" s="1"/>
      <c r="B259" s="190" t="s">
        <v>41</v>
      </c>
      <c r="D259" s="305">
        <v>0.1</v>
      </c>
      <c r="E259" s="305">
        <v>0.1</v>
      </c>
      <c r="F259" s="305">
        <v>0.1</v>
      </c>
      <c r="G259" s="305">
        <v>0.1</v>
      </c>
      <c r="H259" s="305">
        <v>0.1</v>
      </c>
      <c r="I259" s="305">
        <v>0.1</v>
      </c>
      <c r="J259" s="305">
        <v>0.1</v>
      </c>
      <c r="K259" s="305">
        <v>0.1</v>
      </c>
      <c r="L259" s="305"/>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row>
    <row r="260" spans="1:48" s="32" customFormat="1" hidden="1">
      <c r="A260" s="1"/>
      <c r="B260" s="190" t="s">
        <v>40</v>
      </c>
      <c r="D260" s="305">
        <v>0.1</v>
      </c>
      <c r="E260" s="305">
        <v>0.11</v>
      </c>
      <c r="F260" s="305">
        <v>0.12</v>
      </c>
      <c r="G260" s="305">
        <v>0.12</v>
      </c>
      <c r="H260" s="305">
        <v>0.12</v>
      </c>
      <c r="I260" s="305">
        <v>0.12</v>
      </c>
      <c r="J260" s="305">
        <v>0.12</v>
      </c>
      <c r="K260" s="305">
        <v>0.12</v>
      </c>
      <c r="L260" s="305"/>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row>
    <row r="261" spans="1:48" s="32" customFormat="1" hidden="1">
      <c r="A261" s="1"/>
      <c r="B261" s="190" t="s">
        <v>39</v>
      </c>
      <c r="D261" s="305">
        <v>0.1</v>
      </c>
      <c r="E261" s="305">
        <v>0.11</v>
      </c>
      <c r="F261" s="305">
        <v>0.12</v>
      </c>
      <c r="G261" s="305">
        <v>0.12</v>
      </c>
      <c r="H261" s="305">
        <v>0.12</v>
      </c>
      <c r="I261" s="305">
        <v>0.12</v>
      </c>
      <c r="J261" s="305">
        <v>0.12</v>
      </c>
      <c r="K261" s="305">
        <v>0.12</v>
      </c>
      <c r="L261" s="305"/>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row>
    <row r="262" spans="1:48" s="32" customFormat="1" hidden="1">
      <c r="A262" s="1"/>
      <c r="B262" s="190" t="s">
        <v>38</v>
      </c>
      <c r="D262" s="305">
        <v>0.1</v>
      </c>
      <c r="E262" s="305">
        <v>0.11</v>
      </c>
      <c r="F262" s="305">
        <v>0.11</v>
      </c>
      <c r="G262" s="305">
        <v>0.11</v>
      </c>
      <c r="H262" s="305">
        <v>0.11</v>
      </c>
      <c r="I262" s="305">
        <v>0.11</v>
      </c>
      <c r="J262" s="305">
        <v>0.11</v>
      </c>
      <c r="K262" s="305">
        <v>0.11</v>
      </c>
      <c r="L262" s="305"/>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row>
    <row r="263" spans="1:48" s="32" customFormat="1" hidden="1">
      <c r="A263" s="1"/>
      <c r="B263" s="190" t="s">
        <v>37</v>
      </c>
      <c r="D263" s="305">
        <v>7.0000000000000007E-2</v>
      </c>
      <c r="E263" s="305">
        <v>7.0000000000000007E-2</v>
      </c>
      <c r="F263" s="305">
        <v>7.0000000000000007E-2</v>
      </c>
      <c r="G263" s="305">
        <v>7.0000000000000007E-2</v>
      </c>
      <c r="H263" s="305">
        <v>7.0000000000000007E-2</v>
      </c>
      <c r="I263" s="305">
        <v>7.0000000000000007E-2</v>
      </c>
      <c r="J263" s="305">
        <v>7.0000000000000007E-2</v>
      </c>
      <c r="K263" s="305">
        <v>7.0000000000000007E-2</v>
      </c>
      <c r="L263" s="305"/>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row>
    <row r="264" spans="1:48" s="32" customFormat="1" hidden="1">
      <c r="A264" s="1"/>
      <c r="B264" s="190" t="s">
        <v>36</v>
      </c>
      <c r="D264" s="305">
        <v>7.0000000000000007E-2</v>
      </c>
      <c r="E264" s="305">
        <v>7.0000000000000007E-2</v>
      </c>
      <c r="F264" s="305">
        <v>7.0000000000000007E-2</v>
      </c>
      <c r="G264" s="305">
        <v>7.0000000000000007E-2</v>
      </c>
      <c r="H264" s="305">
        <v>7.0000000000000007E-2</v>
      </c>
      <c r="I264" s="305">
        <v>7.0000000000000007E-2</v>
      </c>
      <c r="J264" s="305">
        <v>7.0000000000000007E-2</v>
      </c>
      <c r="K264" s="305">
        <v>7.0000000000000007E-2</v>
      </c>
      <c r="L264" s="305"/>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row>
    <row r="265" spans="1:48" s="32" customFormat="1" hidden="1">
      <c r="A265" s="1"/>
      <c r="B265" s="190" t="s">
        <v>412</v>
      </c>
      <c r="D265" s="192">
        <f>SUM(D253:D264)</f>
        <v>1</v>
      </c>
      <c r="E265" s="192">
        <f t="shared" ref="E265:K265" si="64">SUM(E253:E264)</f>
        <v>1</v>
      </c>
      <c r="F265" s="192">
        <f t="shared" si="64"/>
        <v>1</v>
      </c>
      <c r="G265" s="192">
        <f t="shared" si="64"/>
        <v>1</v>
      </c>
      <c r="H265" s="192">
        <f t="shared" si="64"/>
        <v>1</v>
      </c>
      <c r="I265" s="192">
        <f t="shared" si="64"/>
        <v>1</v>
      </c>
      <c r="J265" s="192">
        <f t="shared" si="64"/>
        <v>1</v>
      </c>
      <c r="K265" s="192">
        <f t="shared" si="64"/>
        <v>1</v>
      </c>
      <c r="L265" s="192">
        <f>SUM(L253:L264)</f>
        <v>0</v>
      </c>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row>
    <row r="266" spans="1:48" s="32" customFormat="1" hidden="1">
      <c r="A266" s="1"/>
      <c r="B266" s="190"/>
      <c r="D266" s="177" t="s">
        <v>413</v>
      </c>
      <c r="E266" s="177"/>
      <c r="F266" s="177"/>
      <c r="G266" s="177"/>
      <c r="H266" s="177"/>
      <c r="I266" s="177"/>
      <c r="J266" s="177"/>
      <c r="K266" s="177"/>
      <c r="L266" s="177"/>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row>
    <row r="267" spans="1:48" s="32" customFormat="1" hidden="1">
      <c r="A267" s="198"/>
      <c r="B267" s="187" t="s">
        <v>47</v>
      </c>
      <c r="D267" s="193">
        <f>D279*D253</f>
        <v>1017.9742003200003</v>
      </c>
      <c r="E267" s="193">
        <f t="shared" ref="E267:K267" si="65">E279*E253</f>
        <v>834.61238784</v>
      </c>
      <c r="F267" s="193">
        <f t="shared" si="65"/>
        <v>474.21158400000007</v>
      </c>
      <c r="G267" s="193">
        <f t="shared" si="65"/>
        <v>410.9833728000001</v>
      </c>
      <c r="H267" s="193">
        <f t="shared" si="65"/>
        <v>410.9833728000001</v>
      </c>
      <c r="I267" s="193">
        <f t="shared" si="65"/>
        <v>442.59747840000011</v>
      </c>
      <c r="J267" s="193">
        <f t="shared" si="65"/>
        <v>3358.9987199999996</v>
      </c>
      <c r="K267" s="193">
        <f t="shared" si="65"/>
        <v>3358.9987199999996</v>
      </c>
      <c r="L267" s="193">
        <f>L279*L253</f>
        <v>0</v>
      </c>
      <c r="M267" s="1"/>
      <c r="N267" s="1"/>
      <c r="O267" s="1"/>
      <c r="P267" s="1"/>
      <c r="Q267" s="1"/>
      <c r="R267" s="1"/>
      <c r="S267" s="1"/>
      <c r="T267" s="1"/>
      <c r="U267" s="1"/>
    </row>
    <row r="268" spans="1:48" s="32" customFormat="1" hidden="1">
      <c r="A268" s="198"/>
      <c r="B268" s="187" t="s">
        <v>46</v>
      </c>
      <c r="D268" s="193">
        <f>D279*D254</f>
        <v>1017.9742003200003</v>
      </c>
      <c r="E268" s="193">
        <f t="shared" ref="E268:K268" si="66">E279*E254</f>
        <v>834.61238784</v>
      </c>
      <c r="F268" s="193">
        <f t="shared" si="66"/>
        <v>474.21158400000007</v>
      </c>
      <c r="G268" s="193">
        <f t="shared" si="66"/>
        <v>410.9833728000001</v>
      </c>
      <c r="H268" s="193">
        <f t="shared" si="66"/>
        <v>410.9833728000001</v>
      </c>
      <c r="I268" s="193">
        <f t="shared" si="66"/>
        <v>442.59747840000011</v>
      </c>
      <c r="J268" s="193">
        <f t="shared" si="66"/>
        <v>3358.9987199999996</v>
      </c>
      <c r="K268" s="193">
        <f t="shared" si="66"/>
        <v>3358.9987199999996</v>
      </c>
      <c r="L268" s="193">
        <f>L279*L254</f>
        <v>0</v>
      </c>
      <c r="M268" s="1"/>
      <c r="N268" s="1"/>
      <c r="O268" s="1"/>
      <c r="P268" s="1"/>
      <c r="Q268" s="1"/>
      <c r="R268" s="1"/>
      <c r="S268" s="1"/>
      <c r="T268" s="1"/>
      <c r="U268" s="1"/>
    </row>
    <row r="269" spans="1:48" s="32" customFormat="1" hidden="1">
      <c r="A269" s="198"/>
      <c r="B269" s="190" t="s">
        <v>45</v>
      </c>
      <c r="D269" s="193">
        <f>D279*D255</f>
        <v>1017.9742003200003</v>
      </c>
      <c r="E269" s="193">
        <f t="shared" ref="E269:K269" si="67">E279*E255</f>
        <v>834.61238784</v>
      </c>
      <c r="F269" s="193">
        <f t="shared" si="67"/>
        <v>569.05390080000006</v>
      </c>
      <c r="G269" s="193">
        <f t="shared" si="67"/>
        <v>493.18004736000006</v>
      </c>
      <c r="H269" s="193">
        <f t="shared" si="67"/>
        <v>493.18004736000006</v>
      </c>
      <c r="I269" s="193">
        <f t="shared" si="67"/>
        <v>531.11697408000009</v>
      </c>
      <c r="J269" s="193">
        <f t="shared" si="67"/>
        <v>4030.7984639999995</v>
      </c>
      <c r="K269" s="193">
        <f t="shared" si="67"/>
        <v>4030.7984639999995</v>
      </c>
      <c r="L269" s="193">
        <f>L$277*L255</f>
        <v>0</v>
      </c>
      <c r="M269" s="1"/>
      <c r="N269" s="1"/>
      <c r="O269" s="1"/>
      <c r="P269" s="1"/>
      <c r="Q269" s="1"/>
      <c r="R269" s="1"/>
      <c r="S269" s="1"/>
      <c r="T269" s="1"/>
      <c r="U269" s="1"/>
    </row>
    <row r="270" spans="1:48" s="32" customFormat="1" hidden="1">
      <c r="A270" s="198"/>
      <c r="B270" s="190" t="s">
        <v>44</v>
      </c>
      <c r="D270" s="193">
        <f>D279*D256</f>
        <v>1017.9742003200003</v>
      </c>
      <c r="E270" s="193">
        <f t="shared" ref="E270:K270" si="68">E279*E256</f>
        <v>973.71445248000009</v>
      </c>
      <c r="F270" s="193">
        <f t="shared" si="68"/>
        <v>663.89621760000011</v>
      </c>
      <c r="G270" s="193">
        <f t="shared" si="68"/>
        <v>575.37672192000014</v>
      </c>
      <c r="H270" s="193">
        <f t="shared" si="68"/>
        <v>575.37672192000014</v>
      </c>
      <c r="I270" s="193">
        <f t="shared" si="68"/>
        <v>619.63646976000018</v>
      </c>
      <c r="J270" s="193">
        <f t="shared" si="68"/>
        <v>4702.5982079999994</v>
      </c>
      <c r="K270" s="193">
        <f t="shared" si="68"/>
        <v>4702.5982079999994</v>
      </c>
      <c r="L270" s="193">
        <f>L279*L256</f>
        <v>0</v>
      </c>
      <c r="M270" s="1"/>
      <c r="N270" s="1"/>
      <c r="O270" s="1"/>
      <c r="P270" s="1"/>
      <c r="Q270" s="1"/>
      <c r="R270" s="1"/>
      <c r="S270" s="1"/>
      <c r="T270" s="1"/>
      <c r="U270" s="1"/>
    </row>
    <row r="271" spans="1:48" s="32" customFormat="1" hidden="1">
      <c r="A271" s="198"/>
      <c r="B271" s="190" t="s">
        <v>43</v>
      </c>
      <c r="D271" s="193">
        <f>D279*D257</f>
        <v>1163.3990860800002</v>
      </c>
      <c r="E271" s="193">
        <f t="shared" ref="E271:K271" si="69">E279*E257</f>
        <v>1112.8165171200001</v>
      </c>
      <c r="F271" s="193">
        <f t="shared" si="69"/>
        <v>758.73853440000005</v>
      </c>
      <c r="G271" s="193">
        <f t="shared" si="69"/>
        <v>657.57339648000004</v>
      </c>
      <c r="H271" s="193">
        <f t="shared" si="69"/>
        <v>657.57339648000004</v>
      </c>
      <c r="I271" s="193">
        <f t="shared" si="69"/>
        <v>708.15596544000016</v>
      </c>
      <c r="J271" s="193">
        <f t="shared" si="69"/>
        <v>5374.3979519999993</v>
      </c>
      <c r="K271" s="193">
        <f t="shared" si="69"/>
        <v>5374.3979519999993</v>
      </c>
      <c r="L271" s="193">
        <f>L279*L257</f>
        <v>0</v>
      </c>
      <c r="M271" s="1"/>
      <c r="N271" s="1"/>
      <c r="O271" s="1"/>
      <c r="P271" s="1"/>
      <c r="Q271" s="1"/>
      <c r="R271" s="1"/>
      <c r="S271" s="1"/>
      <c r="T271" s="1"/>
      <c r="U271" s="1"/>
    </row>
    <row r="272" spans="1:48" s="32" customFormat="1" hidden="1">
      <c r="A272" s="198"/>
      <c r="B272" s="190" t="s">
        <v>42</v>
      </c>
      <c r="D272" s="193">
        <f>D279*D258</f>
        <v>1454.2488576000003</v>
      </c>
      <c r="E272" s="193">
        <f t="shared" ref="E272:K272" si="70">E279*E258</f>
        <v>1391.0206464000003</v>
      </c>
      <c r="F272" s="193">
        <f t="shared" si="70"/>
        <v>948.42316800000015</v>
      </c>
      <c r="G272" s="193">
        <f t="shared" si="70"/>
        <v>821.96674560000019</v>
      </c>
      <c r="H272" s="193">
        <f t="shared" si="70"/>
        <v>821.96674560000019</v>
      </c>
      <c r="I272" s="193">
        <f t="shared" si="70"/>
        <v>885.19495680000023</v>
      </c>
      <c r="J272" s="193">
        <f t="shared" si="70"/>
        <v>6717.9974399999992</v>
      </c>
      <c r="K272" s="193">
        <f t="shared" si="70"/>
        <v>6717.9974399999992</v>
      </c>
      <c r="L272" s="193">
        <f>L279*L258</f>
        <v>0</v>
      </c>
      <c r="M272" s="1"/>
      <c r="N272" s="1"/>
      <c r="O272" s="1"/>
      <c r="P272" s="1"/>
      <c r="Q272" s="1"/>
      <c r="R272" s="1"/>
      <c r="S272" s="1"/>
      <c r="T272" s="1"/>
      <c r="U272" s="1"/>
    </row>
    <row r="273" spans="1:21" s="32" customFormat="1" hidden="1">
      <c r="A273" s="198"/>
      <c r="B273" s="190" t="s">
        <v>41</v>
      </c>
      <c r="D273" s="193">
        <f>D279*D259</f>
        <v>1454.2488576000003</v>
      </c>
      <c r="E273" s="193">
        <f t="shared" ref="E273:K273" si="71">E279*E259</f>
        <v>1391.0206464000003</v>
      </c>
      <c r="F273" s="193">
        <f t="shared" si="71"/>
        <v>948.42316800000015</v>
      </c>
      <c r="G273" s="193">
        <f t="shared" si="71"/>
        <v>821.96674560000019</v>
      </c>
      <c r="H273" s="193">
        <f t="shared" si="71"/>
        <v>821.96674560000019</v>
      </c>
      <c r="I273" s="193">
        <f t="shared" si="71"/>
        <v>885.19495680000023</v>
      </c>
      <c r="J273" s="193">
        <f t="shared" si="71"/>
        <v>6717.9974399999992</v>
      </c>
      <c r="K273" s="193">
        <f t="shared" si="71"/>
        <v>6717.9974399999992</v>
      </c>
      <c r="L273" s="193">
        <f>L279*L259</f>
        <v>0</v>
      </c>
      <c r="M273" s="1"/>
      <c r="N273" s="1"/>
      <c r="O273" s="1"/>
      <c r="P273" s="1"/>
      <c r="Q273" s="1"/>
      <c r="R273" s="1"/>
      <c r="S273" s="1"/>
      <c r="T273" s="1"/>
      <c r="U273" s="1"/>
    </row>
    <row r="274" spans="1:21" s="32" customFormat="1" hidden="1">
      <c r="A274" s="198"/>
      <c r="B274" s="190" t="s">
        <v>40</v>
      </c>
      <c r="D274" s="193">
        <f>D279*D260</f>
        <v>1454.2488576000003</v>
      </c>
      <c r="E274" s="193">
        <f t="shared" ref="E274:K274" si="72">E279*E260</f>
        <v>1530.12271104</v>
      </c>
      <c r="F274" s="193">
        <f t="shared" si="72"/>
        <v>1138.1078016000001</v>
      </c>
      <c r="G274" s="193">
        <f t="shared" si="72"/>
        <v>986.36009472000012</v>
      </c>
      <c r="H274" s="193">
        <f t="shared" si="72"/>
        <v>986.36009472000012</v>
      </c>
      <c r="I274" s="193">
        <f t="shared" si="72"/>
        <v>1062.2339481600002</v>
      </c>
      <c r="J274" s="193">
        <f t="shared" si="72"/>
        <v>8061.596927999999</v>
      </c>
      <c r="K274" s="193">
        <f t="shared" si="72"/>
        <v>8061.596927999999</v>
      </c>
      <c r="L274" s="193">
        <f>L279*L260</f>
        <v>0</v>
      </c>
      <c r="M274" s="1"/>
      <c r="N274" s="307"/>
      <c r="O274" s="307"/>
      <c r="P274" s="307"/>
      <c r="Q274" s="307"/>
      <c r="R274" s="307"/>
      <c r="S274" s="307"/>
      <c r="T274" s="307"/>
      <c r="U274" s="307"/>
    </row>
    <row r="275" spans="1:21" s="32" customFormat="1" hidden="1">
      <c r="A275" s="198"/>
      <c r="B275" s="190" t="s">
        <v>39</v>
      </c>
      <c r="D275" s="193">
        <f>D279*D261</f>
        <v>1454.2488576000003</v>
      </c>
      <c r="E275" s="193">
        <f t="shared" ref="E275:K275" si="73">E279*E261</f>
        <v>1530.12271104</v>
      </c>
      <c r="F275" s="193">
        <f t="shared" si="73"/>
        <v>1138.1078016000001</v>
      </c>
      <c r="G275" s="193">
        <f t="shared" si="73"/>
        <v>986.36009472000012</v>
      </c>
      <c r="H275" s="193">
        <f t="shared" si="73"/>
        <v>986.36009472000012</v>
      </c>
      <c r="I275" s="193">
        <f t="shared" si="73"/>
        <v>1062.2339481600002</v>
      </c>
      <c r="J275" s="193">
        <f t="shared" si="73"/>
        <v>8061.596927999999</v>
      </c>
      <c r="K275" s="193">
        <f t="shared" si="73"/>
        <v>8061.596927999999</v>
      </c>
      <c r="L275" s="193">
        <f>L279*L261</f>
        <v>0</v>
      </c>
      <c r="M275" s="1"/>
      <c r="N275" s="307"/>
      <c r="O275" s="307"/>
      <c r="P275" s="307"/>
      <c r="Q275" s="307"/>
      <c r="R275" s="307"/>
      <c r="S275" s="307"/>
      <c r="T275" s="307"/>
      <c r="U275" s="307"/>
    </row>
    <row r="276" spans="1:21" s="32" customFormat="1" hidden="1">
      <c r="A276" s="198"/>
      <c r="B276" s="190" t="s">
        <v>38</v>
      </c>
      <c r="D276" s="193">
        <f>D279*D262</f>
        <v>1454.2488576000003</v>
      </c>
      <c r="E276" s="193">
        <f t="shared" ref="E276:K276" si="74">E279*E262</f>
        <v>1530.12271104</v>
      </c>
      <c r="F276" s="193">
        <f t="shared" si="74"/>
        <v>1043.2654848000002</v>
      </c>
      <c r="G276" s="193">
        <f t="shared" si="74"/>
        <v>904.1634201600001</v>
      </c>
      <c r="H276" s="193">
        <f t="shared" si="74"/>
        <v>904.1634201600001</v>
      </c>
      <c r="I276" s="193">
        <f t="shared" si="74"/>
        <v>973.7144524800002</v>
      </c>
      <c r="J276" s="193">
        <f t="shared" si="74"/>
        <v>7389.7971839999991</v>
      </c>
      <c r="K276" s="193">
        <f t="shared" si="74"/>
        <v>7389.7971839999991</v>
      </c>
      <c r="L276" s="193">
        <f>L279*L262</f>
        <v>0</v>
      </c>
      <c r="N276" s="307"/>
      <c r="O276" s="307"/>
      <c r="P276" s="307"/>
      <c r="Q276" s="307"/>
      <c r="R276" s="307"/>
      <c r="S276" s="307"/>
      <c r="T276" s="307"/>
      <c r="U276" s="307"/>
    </row>
    <row r="277" spans="1:21" hidden="1">
      <c r="A277" s="198"/>
      <c r="B277" s="190" t="s">
        <v>37</v>
      </c>
      <c r="D277" s="193">
        <f>D279*D263</f>
        <v>1017.9742003200003</v>
      </c>
      <c r="E277" s="193">
        <f t="shared" ref="E277:K277" si="75">E279*E263</f>
        <v>973.71445248000009</v>
      </c>
      <c r="F277" s="193">
        <f t="shared" si="75"/>
        <v>663.89621760000011</v>
      </c>
      <c r="G277" s="193">
        <f t="shared" si="75"/>
        <v>575.37672192000014</v>
      </c>
      <c r="H277" s="193">
        <f t="shared" si="75"/>
        <v>575.37672192000014</v>
      </c>
      <c r="I277" s="193">
        <f t="shared" si="75"/>
        <v>619.63646976000018</v>
      </c>
      <c r="J277" s="193">
        <f t="shared" si="75"/>
        <v>4702.5982079999994</v>
      </c>
      <c r="K277" s="193">
        <f t="shared" si="75"/>
        <v>4702.5982079999994</v>
      </c>
      <c r="L277" s="193">
        <f>L279*L263</f>
        <v>0</v>
      </c>
      <c r="M277" s="32"/>
      <c r="N277" s="307"/>
      <c r="O277" s="307"/>
      <c r="P277" s="307"/>
      <c r="Q277" s="307"/>
      <c r="R277" s="307"/>
      <c r="S277" s="307"/>
      <c r="T277" s="307"/>
      <c r="U277" s="307"/>
    </row>
    <row r="278" spans="1:21" hidden="1">
      <c r="A278" s="198"/>
      <c r="B278" s="190" t="s">
        <v>36</v>
      </c>
      <c r="D278" s="193">
        <f>D279*D264</f>
        <v>1017.9742003200003</v>
      </c>
      <c r="E278" s="193">
        <f t="shared" ref="E278:K278" si="76">E279*E264</f>
        <v>973.71445248000009</v>
      </c>
      <c r="F278" s="193">
        <f t="shared" si="76"/>
        <v>663.89621760000011</v>
      </c>
      <c r="G278" s="193">
        <f t="shared" si="76"/>
        <v>575.37672192000014</v>
      </c>
      <c r="H278" s="193">
        <f t="shared" si="76"/>
        <v>575.37672192000014</v>
      </c>
      <c r="I278" s="193">
        <f t="shared" si="76"/>
        <v>619.63646976000018</v>
      </c>
      <c r="J278" s="193">
        <f t="shared" si="76"/>
        <v>4702.5982079999994</v>
      </c>
      <c r="K278" s="193">
        <f t="shared" si="76"/>
        <v>4702.5982079999994</v>
      </c>
      <c r="L278" s="193">
        <f>L279*L264</f>
        <v>0</v>
      </c>
      <c r="N278" s="307"/>
      <c r="O278" s="307"/>
      <c r="P278" s="307"/>
      <c r="Q278" s="307"/>
      <c r="R278" s="307"/>
      <c r="S278" s="307"/>
      <c r="T278" s="307"/>
      <c r="U278" s="307"/>
    </row>
    <row r="279" spans="1:21" s="32" customFormat="1" hidden="1">
      <c r="A279" s="198"/>
      <c r="B279" s="190" t="s">
        <v>412</v>
      </c>
      <c r="D279" s="193">
        <f t="shared" ref="D279:L279" si="77">VLOOKUP(D160,TargetedMS,IF(D161="[retail]",12,14),FALSE)</f>
        <v>14542.488576000002</v>
      </c>
      <c r="E279" s="193">
        <f t="shared" si="77"/>
        <v>13910.206464000001</v>
      </c>
      <c r="F279" s="193">
        <f t="shared" si="77"/>
        <v>9484.2316800000008</v>
      </c>
      <c r="G279" s="193">
        <f t="shared" si="77"/>
        <v>8219.667456000001</v>
      </c>
      <c r="H279" s="193">
        <f t="shared" si="77"/>
        <v>8219.667456000001</v>
      </c>
      <c r="I279" s="193">
        <f t="shared" si="77"/>
        <v>8851.9495680000018</v>
      </c>
      <c r="J279" s="193">
        <f t="shared" si="77"/>
        <v>67179.974399999992</v>
      </c>
      <c r="K279" s="193">
        <f t="shared" si="77"/>
        <v>67179.974399999992</v>
      </c>
      <c r="L279" s="193">
        <f t="shared" si="77"/>
        <v>0</v>
      </c>
      <c r="N279" s="307"/>
      <c r="O279" s="307"/>
      <c r="P279" s="307"/>
      <c r="Q279" s="307"/>
      <c r="R279" s="307"/>
      <c r="S279" s="307"/>
      <c r="T279" s="307"/>
      <c r="U279" s="307"/>
    </row>
    <row r="280" spans="1:21" hidden="1">
      <c r="A280" s="183"/>
      <c r="B280" s="187" t="s">
        <v>414</v>
      </c>
      <c r="D280" s="307" t="str">
        <f t="shared" ref="D280:L280" si="78">IF(D161="[wholesale]",D279/capacity,"")</f>
        <v/>
      </c>
      <c r="E280" s="307" t="str">
        <f t="shared" si="78"/>
        <v/>
      </c>
      <c r="F280" s="307" t="str">
        <f t="shared" si="78"/>
        <v/>
      </c>
      <c r="G280" s="307" t="str">
        <f t="shared" si="78"/>
        <v/>
      </c>
      <c r="H280" s="307" t="str">
        <f t="shared" si="78"/>
        <v/>
      </c>
      <c r="I280" s="307" t="str">
        <f t="shared" si="78"/>
        <v/>
      </c>
      <c r="J280" s="307">
        <f t="shared" si="78"/>
        <v>54.177398709677412</v>
      </c>
      <c r="K280" s="307">
        <f t="shared" si="78"/>
        <v>54.177398709677412</v>
      </c>
      <c r="L280" s="307" t="str">
        <f t="shared" si="78"/>
        <v/>
      </c>
      <c r="O280" s="191"/>
      <c r="P280" s="191"/>
      <c r="R280" s="191"/>
      <c r="S280" s="191"/>
      <c r="T280" s="32"/>
      <c r="U280" s="32"/>
    </row>
    <row r="281" spans="1:21" hidden="1">
      <c r="A281" s="183"/>
      <c r="B281" s="187"/>
      <c r="C281" s="37" t="s">
        <v>101</v>
      </c>
      <c r="D281" s="177" t="s">
        <v>415</v>
      </c>
      <c r="E281" s="177"/>
      <c r="F281" s="177"/>
      <c r="G281" s="177"/>
      <c r="H281" s="177"/>
      <c r="I281" s="177"/>
      <c r="J281" s="177"/>
      <c r="K281" s="177"/>
      <c r="L281" s="177"/>
      <c r="O281" s="191"/>
      <c r="P281" s="191"/>
      <c r="R281" s="191"/>
      <c r="S281" s="191"/>
    </row>
    <row r="282" spans="1:21" hidden="1">
      <c r="A282" s="304"/>
      <c r="B282" s="187" t="s">
        <v>47</v>
      </c>
      <c r="C282" s="308">
        <f t="shared" ref="C282:C293" si="79">SUM(D282:Z282)</f>
        <v>6</v>
      </c>
      <c r="D282" s="309">
        <f>ProductionFY3(1,D160,VLOOKUP(D160,ProductsRange,3,FALSE),D267)</f>
        <v>0.69772481040086698</v>
      </c>
      <c r="E282" s="309">
        <f>ProductionFY3(1,E160,VLOOKUP(E160,ProductsRange,3,FALSE),E267)</f>
        <v>0.59705993215228048</v>
      </c>
      <c r="F282" s="309">
        <f t="shared" ref="F282:L282" si="80">ProductionFY3(1,F160,VLOOKUP(F160,ProductsRange,3,FALSE),F267)</f>
        <v>0</v>
      </c>
      <c r="G282" s="309">
        <f t="shared" si="80"/>
        <v>0</v>
      </c>
      <c r="H282" s="309">
        <f t="shared" si="80"/>
        <v>0</v>
      </c>
      <c r="I282" s="309">
        <f t="shared" si="80"/>
        <v>0</v>
      </c>
      <c r="J282" s="309">
        <f t="shared" si="80"/>
        <v>2.3022751895991331</v>
      </c>
      <c r="K282" s="309">
        <f t="shared" si="80"/>
        <v>2.4029400678477195</v>
      </c>
      <c r="L282" s="309">
        <f t="shared" si="80"/>
        <v>0</v>
      </c>
      <c r="M282" s="304"/>
      <c r="O282" s="191"/>
      <c r="P282" s="191"/>
      <c r="R282" s="191"/>
      <c r="S282" s="191"/>
    </row>
    <row r="283" spans="1:21" hidden="1">
      <c r="A283" s="306"/>
      <c r="B283" s="187" t="s">
        <v>46</v>
      </c>
      <c r="C283" s="308">
        <f t="shared" si="79"/>
        <v>6</v>
      </c>
      <c r="D283" s="309">
        <f>ProductionFY3(2,D160,VLOOKUP(D160,ProductsRange,3,FALSE),D268)</f>
        <v>0.69772481040086698</v>
      </c>
      <c r="E283" s="309">
        <f t="shared" ref="E283:L283" si="81">ProductionFY3(2,E160,VLOOKUP(E160,ProductsRange,3,FALSE),E268)</f>
        <v>0.59705993215228048</v>
      </c>
      <c r="F283" s="309">
        <f t="shared" si="81"/>
        <v>0</v>
      </c>
      <c r="G283" s="309">
        <f t="shared" si="81"/>
        <v>0</v>
      </c>
      <c r="H283" s="309">
        <f t="shared" si="81"/>
        <v>0</v>
      </c>
      <c r="I283" s="309">
        <f t="shared" si="81"/>
        <v>0</v>
      </c>
      <c r="J283" s="309">
        <f t="shared" si="81"/>
        <v>2.3022751895991331</v>
      </c>
      <c r="K283" s="309">
        <f t="shared" si="81"/>
        <v>2.4029400678477195</v>
      </c>
      <c r="L283" s="309">
        <f t="shared" si="81"/>
        <v>0</v>
      </c>
      <c r="M283" s="304"/>
      <c r="O283" s="191"/>
      <c r="P283" s="191"/>
      <c r="R283" s="191"/>
      <c r="S283" s="191"/>
    </row>
    <row r="284" spans="1:21" hidden="1">
      <c r="A284" s="32"/>
      <c r="B284" s="190" t="s">
        <v>45</v>
      </c>
      <c r="C284" s="308">
        <f t="shared" si="79"/>
        <v>8</v>
      </c>
      <c r="D284" s="309">
        <f>ProductionFY3(3,D160,VLOOKUP(D160,ProductsRange,3,FALSE),D269)</f>
        <v>0.80651221039448995</v>
      </c>
      <c r="E284" s="309">
        <f t="shared" ref="E284:L284" si="82">ProductionFY3(3,E160,VLOOKUP(E160,ProductsRange,3,FALSE),E269)</f>
        <v>0.68615984405458097</v>
      </c>
      <c r="F284" s="309">
        <f t="shared" si="82"/>
        <v>0</v>
      </c>
      <c r="G284" s="309">
        <f t="shared" si="82"/>
        <v>0</v>
      </c>
      <c r="H284" s="309">
        <f t="shared" si="82"/>
        <v>0</v>
      </c>
      <c r="I284" s="309">
        <f t="shared" si="82"/>
        <v>0</v>
      </c>
      <c r="J284" s="309">
        <f t="shared" si="82"/>
        <v>3.1934877896055105</v>
      </c>
      <c r="K284" s="309">
        <f t="shared" si="82"/>
        <v>3.3138401559454187</v>
      </c>
      <c r="L284" s="309">
        <f t="shared" si="82"/>
        <v>0</v>
      </c>
      <c r="M284" s="304"/>
      <c r="O284" s="191"/>
      <c r="P284" s="191"/>
      <c r="R284" s="191"/>
      <c r="S284" s="191"/>
    </row>
    <row r="285" spans="1:21" hidden="1">
      <c r="A285" s="32"/>
      <c r="B285" s="190" t="s">
        <v>44</v>
      </c>
      <c r="C285" s="308">
        <f t="shared" si="79"/>
        <v>8</v>
      </c>
      <c r="D285" s="309">
        <f>ProductionFY3(4,D160,VLOOKUP(D160,ProductsRange,3,FALSE),D270)</f>
        <v>0.71179883945841416</v>
      </c>
      <c r="E285" s="309">
        <f t="shared" ref="E285:L285" si="83">ProductionFY3(4,E160,VLOOKUP(E160,ProductsRange,3,FALSE),E270)</f>
        <v>0.68615984405458097</v>
      </c>
      <c r="F285" s="309">
        <f t="shared" si="83"/>
        <v>0</v>
      </c>
      <c r="G285" s="309">
        <f t="shared" si="83"/>
        <v>0</v>
      </c>
      <c r="H285" s="309">
        <f t="shared" si="83"/>
        <v>0</v>
      </c>
      <c r="I285" s="309">
        <f t="shared" si="83"/>
        <v>0</v>
      </c>
      <c r="J285" s="309">
        <f t="shared" si="83"/>
        <v>3.2882011605415862</v>
      </c>
      <c r="K285" s="309">
        <f t="shared" si="83"/>
        <v>3.3138401559454187</v>
      </c>
      <c r="L285" s="309">
        <f t="shared" si="83"/>
        <v>0</v>
      </c>
      <c r="M285" s="304"/>
      <c r="O285" s="191"/>
      <c r="P285" s="191"/>
      <c r="R285" s="191"/>
      <c r="S285" s="191"/>
    </row>
    <row r="286" spans="1:21" hidden="1">
      <c r="A286" s="32"/>
      <c r="B286" s="190" t="s">
        <v>43</v>
      </c>
      <c r="C286" s="308">
        <f t="shared" si="79"/>
        <v>10</v>
      </c>
      <c r="D286" s="309">
        <f>ProductionFY3(5,D160,VLOOKUP(D160,ProductsRange,3,FALSE),D271)</f>
        <v>0.88974854932301761</v>
      </c>
      <c r="E286" s="309">
        <f t="shared" ref="E286:L286" si="84">ProductionFY3(5,E160,VLOOKUP(E160,ProductsRange,3,FALSE),E271)</f>
        <v>0.8576998050682263</v>
      </c>
      <c r="F286" s="309">
        <f t="shared" si="84"/>
        <v>0</v>
      </c>
      <c r="G286" s="309">
        <f t="shared" si="84"/>
        <v>0</v>
      </c>
      <c r="H286" s="309">
        <f t="shared" si="84"/>
        <v>0</v>
      </c>
      <c r="I286" s="309">
        <f t="shared" si="84"/>
        <v>0</v>
      </c>
      <c r="J286" s="309">
        <f t="shared" si="84"/>
        <v>4.1102514506769818</v>
      </c>
      <c r="K286" s="309">
        <f t="shared" si="84"/>
        <v>4.1423001949317735</v>
      </c>
      <c r="L286" s="309">
        <f t="shared" si="84"/>
        <v>0</v>
      </c>
      <c r="M286" s="304"/>
      <c r="O286" s="191"/>
      <c r="P286" s="191"/>
      <c r="R286" s="191"/>
      <c r="S286" s="191"/>
    </row>
    <row r="287" spans="1:21" hidden="1">
      <c r="B287" s="190" t="s">
        <v>42</v>
      </c>
      <c r="C287" s="308">
        <f t="shared" si="79"/>
        <v>12</v>
      </c>
      <c r="D287" s="309">
        <f>ProductionFY3(6,D160,VLOOKUP(D160,ProductsRange,3,FALSE),D272)</f>
        <v>1.0676982591876212</v>
      </c>
      <c r="E287" s="309">
        <f t="shared" ref="E287:L287" si="85">ProductionFY3(6,E160,VLOOKUP(E160,ProductsRange,3,FALSE),E272)</f>
        <v>1.0292397660818715</v>
      </c>
      <c r="F287" s="309">
        <f t="shared" si="85"/>
        <v>0</v>
      </c>
      <c r="G287" s="309">
        <f t="shared" si="85"/>
        <v>0</v>
      </c>
      <c r="H287" s="309">
        <f t="shared" si="85"/>
        <v>0</v>
      </c>
      <c r="I287" s="309">
        <f t="shared" si="85"/>
        <v>0</v>
      </c>
      <c r="J287" s="309">
        <f t="shared" si="85"/>
        <v>4.9323017408123784</v>
      </c>
      <c r="K287" s="309">
        <f t="shared" si="85"/>
        <v>4.9707602339181287</v>
      </c>
      <c r="L287" s="309">
        <f t="shared" si="85"/>
        <v>0</v>
      </c>
      <c r="M287" s="304"/>
      <c r="O287" s="191"/>
      <c r="P287" s="191"/>
      <c r="R287" s="191"/>
      <c r="S287" s="191"/>
    </row>
    <row r="288" spans="1:21" hidden="1">
      <c r="B288" s="190" t="s">
        <v>41</v>
      </c>
      <c r="C288" s="308">
        <f t="shared" si="79"/>
        <v>12</v>
      </c>
      <c r="D288" s="309">
        <f>ProductionFY3(7,D160,VLOOKUP(D160,ProductsRange,3,FALSE),D273)</f>
        <v>1.0676982591876212</v>
      </c>
      <c r="E288" s="309">
        <f t="shared" ref="E288:L288" si="86">ProductionFY3(7,E160,VLOOKUP(E160,ProductsRange,3,FALSE),E273)</f>
        <v>1.0292397660818715</v>
      </c>
      <c r="F288" s="309">
        <f t="shared" si="86"/>
        <v>0</v>
      </c>
      <c r="G288" s="309">
        <f t="shared" si="86"/>
        <v>0</v>
      </c>
      <c r="H288" s="309">
        <f t="shared" si="86"/>
        <v>0</v>
      </c>
      <c r="I288" s="309">
        <f t="shared" si="86"/>
        <v>0</v>
      </c>
      <c r="J288" s="309">
        <f t="shared" si="86"/>
        <v>4.9323017408123784</v>
      </c>
      <c r="K288" s="309">
        <f t="shared" si="86"/>
        <v>4.9707602339181287</v>
      </c>
      <c r="L288" s="309">
        <f t="shared" si="86"/>
        <v>0</v>
      </c>
      <c r="M288" s="304"/>
      <c r="O288" s="191"/>
      <c r="P288" s="191"/>
      <c r="R288" s="191"/>
      <c r="S288" s="191"/>
    </row>
    <row r="289" spans="1:21" hidden="1">
      <c r="B289" s="190" t="s">
        <v>40</v>
      </c>
      <c r="C289" s="308">
        <f t="shared" si="79"/>
        <v>16</v>
      </c>
      <c r="D289" s="309">
        <f>ProductionFY3(8,D160,VLOOKUP(D160,ProductsRange,3,FALSE),D274)</f>
        <v>1.0697674418604655</v>
      </c>
      <c r="E289" s="309">
        <f t="shared" ref="E289:L289" si="87">ProductionFY3(8,E160,VLOOKUP(E160,ProductsRange,3,FALSE),E274)</f>
        <v>1.1166776532630194</v>
      </c>
      <c r="F289" s="309">
        <f t="shared" si="87"/>
        <v>1</v>
      </c>
      <c r="G289" s="309">
        <f t="shared" si="87"/>
        <v>0</v>
      </c>
      <c r="H289" s="309">
        <f t="shared" si="87"/>
        <v>0</v>
      </c>
      <c r="I289" s="309">
        <f t="shared" si="87"/>
        <v>1</v>
      </c>
      <c r="J289" s="309">
        <f t="shared" si="87"/>
        <v>5.9302325581395348</v>
      </c>
      <c r="K289" s="309">
        <f t="shared" si="87"/>
        <v>5.8833223467369811</v>
      </c>
      <c r="L289" s="309">
        <f t="shared" si="87"/>
        <v>0</v>
      </c>
      <c r="M289" s="304"/>
      <c r="O289" s="191"/>
      <c r="P289" s="191"/>
      <c r="R289" s="191"/>
      <c r="S289" s="191"/>
    </row>
    <row r="290" spans="1:21" hidden="1">
      <c r="B290" s="190" t="s">
        <v>39</v>
      </c>
      <c r="C290" s="308">
        <f t="shared" si="79"/>
        <v>16</v>
      </c>
      <c r="D290" s="309">
        <f>ProductionFY3(9,D160,VLOOKUP(D160,ProductsRange,3,FALSE),D275)</f>
        <v>1.0697674418604655</v>
      </c>
      <c r="E290" s="309">
        <f t="shared" ref="E290:L290" si="88">ProductionFY3(9,E160,VLOOKUP(E160,ProductsRange,3,FALSE),E275)</f>
        <v>1.1166776532630194</v>
      </c>
      <c r="F290" s="309">
        <f t="shared" si="88"/>
        <v>1</v>
      </c>
      <c r="G290" s="309">
        <f t="shared" si="88"/>
        <v>0</v>
      </c>
      <c r="H290" s="309">
        <f t="shared" si="88"/>
        <v>0</v>
      </c>
      <c r="I290" s="309">
        <f t="shared" si="88"/>
        <v>1</v>
      </c>
      <c r="J290" s="309">
        <f t="shared" si="88"/>
        <v>5.9302325581395348</v>
      </c>
      <c r="K290" s="309">
        <f t="shared" si="88"/>
        <v>5.8833223467369811</v>
      </c>
      <c r="L290" s="309">
        <f t="shared" si="88"/>
        <v>0</v>
      </c>
      <c r="M290" s="304"/>
      <c r="O290" s="191"/>
      <c r="P290" s="191"/>
      <c r="R290" s="191"/>
      <c r="S290" s="191"/>
    </row>
    <row r="291" spans="1:21" hidden="1">
      <c r="B291" s="190" t="s">
        <v>38</v>
      </c>
      <c r="C291" s="308">
        <f t="shared" si="79"/>
        <v>15.000000000000004</v>
      </c>
      <c r="D291" s="309">
        <f>ProductionFY3(10,D160,VLOOKUP(D160,ProductsRange,3,FALSE),D276)</f>
        <v>1.1510277033065242</v>
      </c>
      <c r="E291" s="309">
        <f t="shared" ref="E291:L291" si="89">ProductionFY3(10,E160,VLOOKUP(E160,ProductsRange,3,FALSE),E276)</f>
        <v>1.2007797270955167</v>
      </c>
      <c r="F291" s="309">
        <f t="shared" si="89"/>
        <v>1</v>
      </c>
      <c r="G291" s="309">
        <f t="shared" si="89"/>
        <v>0</v>
      </c>
      <c r="H291" s="309">
        <f t="shared" si="89"/>
        <v>0</v>
      </c>
      <c r="I291" s="309">
        <f t="shared" si="89"/>
        <v>0</v>
      </c>
      <c r="J291" s="309">
        <f t="shared" si="89"/>
        <v>5.8489722966934767</v>
      </c>
      <c r="K291" s="309">
        <f t="shared" si="89"/>
        <v>5.7992202729044839</v>
      </c>
      <c r="L291" s="309">
        <f t="shared" si="89"/>
        <v>0</v>
      </c>
      <c r="M291" s="304"/>
      <c r="O291" s="191"/>
      <c r="P291" s="191"/>
      <c r="R291" s="191"/>
      <c r="S291" s="191"/>
    </row>
    <row r="292" spans="1:21" hidden="1">
      <c r="B292" s="190" t="s">
        <v>37</v>
      </c>
      <c r="C292" s="308">
        <f t="shared" si="79"/>
        <v>8</v>
      </c>
      <c r="D292" s="309">
        <f>ProductionFY3(11,D160,VLOOKUP(D160,ProductsRange,3,FALSE),D277)</f>
        <v>0.71179883945841416</v>
      </c>
      <c r="E292" s="309">
        <f t="shared" ref="E292:L292" si="90">ProductionFY3(11,E160,VLOOKUP(E160,ProductsRange,3,FALSE),E277)</f>
        <v>0.68615984405458097</v>
      </c>
      <c r="F292" s="309">
        <f t="shared" si="90"/>
        <v>0</v>
      </c>
      <c r="G292" s="309">
        <f t="shared" si="90"/>
        <v>0</v>
      </c>
      <c r="H292" s="309">
        <f t="shared" si="90"/>
        <v>0</v>
      </c>
      <c r="I292" s="309">
        <f t="shared" si="90"/>
        <v>0</v>
      </c>
      <c r="J292" s="309">
        <f t="shared" si="90"/>
        <v>3.2882011605415862</v>
      </c>
      <c r="K292" s="309">
        <f t="shared" si="90"/>
        <v>3.3138401559454187</v>
      </c>
      <c r="L292" s="309">
        <f t="shared" si="90"/>
        <v>0</v>
      </c>
      <c r="M292" s="304"/>
      <c r="O292" s="191"/>
      <c r="P292" s="191"/>
      <c r="R292" s="191"/>
      <c r="S292" s="191"/>
    </row>
    <row r="293" spans="1:21" hidden="1">
      <c r="B293" s="190" t="s">
        <v>36</v>
      </c>
      <c r="C293" s="308">
        <f t="shared" si="79"/>
        <v>8</v>
      </c>
      <c r="D293" s="309">
        <f>ProductionFY3(12,D160,VLOOKUP(D160,ProductsRange,3,FALSE),D278)</f>
        <v>0.71179883945841416</v>
      </c>
      <c r="E293" s="309">
        <f t="shared" ref="E293:L293" si="91">ProductionFY3(12,E160,VLOOKUP(E160,ProductsRange,3,FALSE),E278)</f>
        <v>0.68615984405458097</v>
      </c>
      <c r="F293" s="309">
        <f t="shared" si="91"/>
        <v>0</v>
      </c>
      <c r="G293" s="309">
        <f t="shared" si="91"/>
        <v>0</v>
      </c>
      <c r="H293" s="309">
        <f t="shared" si="91"/>
        <v>0</v>
      </c>
      <c r="I293" s="309">
        <f t="shared" si="91"/>
        <v>0</v>
      </c>
      <c r="J293" s="309">
        <f t="shared" si="91"/>
        <v>3.2882011605415862</v>
      </c>
      <c r="K293" s="309">
        <f t="shared" si="91"/>
        <v>3.3138401559454187</v>
      </c>
      <c r="L293" s="309">
        <f t="shared" si="91"/>
        <v>0</v>
      </c>
      <c r="M293" s="304"/>
      <c r="O293" s="191"/>
      <c r="P293" s="191"/>
      <c r="R293" s="191"/>
      <c r="S293" s="191"/>
    </row>
    <row r="294" spans="1:21" hidden="1">
      <c r="A294" s="195" t="s">
        <v>416</v>
      </c>
      <c r="B294" s="32"/>
      <c r="C294" s="187" t="s">
        <v>85</v>
      </c>
      <c r="D294" s="196">
        <f t="shared" ref="D294:I294" si="92">SUM(D267:D278)</f>
        <v>14542.488576000003</v>
      </c>
      <c r="E294" s="197">
        <f t="shared" si="92"/>
        <v>13910.206464000001</v>
      </c>
      <c r="F294" s="197">
        <f t="shared" si="92"/>
        <v>9484.2316800000008</v>
      </c>
      <c r="G294" s="197">
        <f t="shared" si="92"/>
        <v>8219.667456000001</v>
      </c>
      <c r="H294" s="197">
        <f t="shared" si="92"/>
        <v>8219.667456000001</v>
      </c>
      <c r="I294" s="197">
        <f t="shared" si="92"/>
        <v>8851.9495680000018</v>
      </c>
      <c r="J294" s="310">
        <f>J279</f>
        <v>67179.974399999992</v>
      </c>
      <c r="K294" s="310">
        <f>K279</f>
        <v>67179.974399999992</v>
      </c>
      <c r="L294" s="310">
        <f>L279</f>
        <v>0</v>
      </c>
      <c r="O294" s="191"/>
      <c r="P294" s="191"/>
      <c r="R294" s="191"/>
      <c r="S294" s="191"/>
      <c r="T294" s="32"/>
      <c r="U294" s="32"/>
    </row>
    <row r="295" spans="1:21" hidden="1">
      <c r="A295" s="195" t="s">
        <v>417</v>
      </c>
      <c r="B295" s="32"/>
      <c r="C295" s="187" t="s">
        <v>85</v>
      </c>
      <c r="D295" s="196">
        <f t="shared" ref="D295:K295" si="93">SUM(D282:D293)*capacity</f>
        <v>13209.801845328504</v>
      </c>
      <c r="E295" s="196">
        <f t="shared" si="93"/>
        <v>12758.451278106748</v>
      </c>
      <c r="F295" s="196">
        <f t="shared" si="93"/>
        <v>3720</v>
      </c>
      <c r="G295" s="196">
        <f t="shared" si="93"/>
        <v>0</v>
      </c>
      <c r="H295" s="196">
        <f t="shared" si="93"/>
        <v>0</v>
      </c>
      <c r="I295" s="196">
        <f t="shared" si="93"/>
        <v>2480</v>
      </c>
      <c r="J295" s="196">
        <f t="shared" si="93"/>
        <v>61190.198154671503</v>
      </c>
      <c r="K295" s="196">
        <f t="shared" si="93"/>
        <v>61641.548721893261</v>
      </c>
      <c r="L295" s="196">
        <f>SUM(L282:L293)*capacity</f>
        <v>0</v>
      </c>
      <c r="M295" s="32"/>
      <c r="N295" s="32"/>
      <c r="O295" s="189"/>
      <c r="P295" s="189"/>
      <c r="Q295" s="32"/>
      <c r="R295" s="189"/>
      <c r="S295" s="189"/>
      <c r="T295" s="32"/>
      <c r="U295" s="32"/>
    </row>
    <row r="296" spans="1:21" hidden="1">
      <c r="A296" s="195" t="s">
        <v>418</v>
      </c>
      <c r="B296" s="32"/>
      <c r="C296" s="187" t="s">
        <v>85</v>
      </c>
      <c r="D296" s="196">
        <f t="shared" ref="D296:K296" si="94">D294-D295</f>
        <v>1332.6867306714994</v>
      </c>
      <c r="E296" s="197">
        <f t="shared" si="94"/>
        <v>1151.7551858932529</v>
      </c>
      <c r="F296" s="197">
        <f t="shared" si="94"/>
        <v>5764.2316800000008</v>
      </c>
      <c r="G296" s="197">
        <f t="shared" si="94"/>
        <v>8219.667456000001</v>
      </c>
      <c r="H296" s="197">
        <f t="shared" si="94"/>
        <v>8219.667456000001</v>
      </c>
      <c r="I296" s="197">
        <f t="shared" si="94"/>
        <v>6371.9495680000018</v>
      </c>
      <c r="J296" s="197">
        <f t="shared" si="94"/>
        <v>5989.7762453284886</v>
      </c>
      <c r="K296" s="197">
        <f t="shared" si="94"/>
        <v>5538.4256781067306</v>
      </c>
      <c r="L296" s="197">
        <f>L294-L295</f>
        <v>0</v>
      </c>
      <c r="M296" s="32"/>
      <c r="N296" s="32"/>
      <c r="O296" s="189"/>
      <c r="P296" s="189"/>
      <c r="Q296" s="32"/>
      <c r="R296" s="189"/>
      <c r="S296" s="189"/>
      <c r="T296" s="32"/>
      <c r="U296" s="32"/>
    </row>
    <row r="297" spans="1:21" hidden="1">
      <c r="A297" s="198"/>
      <c r="D297" s="198"/>
      <c r="O297" s="191"/>
      <c r="P297" s="191"/>
      <c r="R297" s="191"/>
      <c r="S297" s="191"/>
      <c r="T297" s="32"/>
      <c r="U297" s="32"/>
    </row>
    <row r="298" spans="1:21" hidden="1">
      <c r="A298" s="198"/>
      <c r="D298" s="185" t="str">
        <f>B128</f>
        <v>BR01-01</v>
      </c>
      <c r="E298" s="113" t="str">
        <f>IF(B129="","",B129)</f>
        <v>BR01-02</v>
      </c>
      <c r="F298" s="113" t="str">
        <f>IF(B130="","",B130)</f>
        <v>BR01-03</v>
      </c>
      <c r="G298" s="113" t="str">
        <f>IF(B131="","",B131)</f>
        <v>BR01-04</v>
      </c>
      <c r="H298" s="112" t="str">
        <f>IF(B132="","",B132)</f>
        <v>BR01-05</v>
      </c>
      <c r="I298" s="112" t="str">
        <f>IF(B133="","",B133)</f>
        <v>BR01-06</v>
      </c>
      <c r="J298" s="112" t="str">
        <f>IF(B134="","",B134)</f>
        <v>BR01-07</v>
      </c>
      <c r="K298" s="112" t="str">
        <f>IF(B135="","",B135)</f>
        <v>BR01-08</v>
      </c>
      <c r="L298" s="112" t="str">
        <f>IF(B136="","",B136)</f>
        <v>BR01-09</v>
      </c>
      <c r="M298" s="307"/>
      <c r="N298" s="194"/>
      <c r="O298" s="199"/>
      <c r="P298" s="199"/>
      <c r="R298" s="312"/>
      <c r="S298" s="312"/>
    </row>
    <row r="299" spans="1:21" hidden="1">
      <c r="A299" s="198"/>
      <c r="D299" s="185" t="str">
        <f>C128</f>
        <v>[retail]</v>
      </c>
      <c r="E299" s="185" t="str">
        <f>C129</f>
        <v>[retail]</v>
      </c>
      <c r="F299" s="185" t="str">
        <f>C130</f>
        <v>[retail]</v>
      </c>
      <c r="G299" s="185" t="str">
        <f>C131</f>
        <v>[retail]</v>
      </c>
      <c r="H299" s="185" t="str">
        <f>C132</f>
        <v>[retail]</v>
      </c>
      <c r="I299" s="185" t="str">
        <f>C133</f>
        <v>[retail]</v>
      </c>
      <c r="J299" s="185" t="str">
        <f>C134</f>
        <v>[wholesale]</v>
      </c>
      <c r="K299" s="185" t="str">
        <f>C135</f>
        <v>[wholesale]</v>
      </c>
      <c r="L299" s="185" t="str">
        <f>C136</f>
        <v>[retail]</v>
      </c>
      <c r="M299" s="307"/>
      <c r="N299" s="194"/>
      <c r="O299" s="199"/>
      <c r="P299" s="199"/>
      <c r="R299" s="312"/>
      <c r="S299" s="312"/>
    </row>
    <row r="300" spans="1:21" hidden="1">
      <c r="A300" s="198"/>
      <c r="B300" s="346" t="s">
        <v>35</v>
      </c>
      <c r="C300" s="187" t="s">
        <v>47</v>
      </c>
      <c r="D300" s="193">
        <f>IF(VLOOKUP(D298,ProductsRange,3,FALSE)="Special Offer",SpecialOffer(D298,1,"FY-1"),MIN(D177,D192*capacity))</f>
        <v>849.19549175999998</v>
      </c>
      <c r="E300" s="193">
        <f>IF(VLOOKUP(E298,ProductsRange,3,FALSE)="Special Offer",SpecialOffer(E298,1,"FY-1"),MIN(E177,E192*capacity))</f>
        <v>732.19047619047603</v>
      </c>
      <c r="F300" s="193">
        <f>IF(VLOOKUP(F298,ProductsRange,3,FALSE)="Special Offer",SpecialOffer(F298,1,"FY-1"),MIN(F177,F192*capacity))</f>
        <v>0</v>
      </c>
      <c r="G300" s="193">
        <f>IF(VLOOKUP(G298,ProductsRange,3,FALSE)="Special Offer",SpecialOffer(G298,1,"FY-1"),MIN(G177,G192*capacity))</f>
        <v>0</v>
      </c>
      <c r="H300" s="193">
        <f>IF(VLOOKUP(H298,ProductsRange,3,FALSE)="Special Offer",SpecialOffer(H298,1,"FY-1"),MIN(H177,H192*capacity))</f>
        <v>0</v>
      </c>
      <c r="I300" s="193">
        <f>IF(VLOOKUP(I298,ProductsRange,3,FALSE)="Special Offer",SpecialOffer(I298,1,"FY-1"),MIN(I177,I192*capacity))</f>
        <v>0</v>
      </c>
      <c r="J300" s="193">
        <f>IF(VLOOKUP(J298,ProductsRange,3,FALSE)="Special Offer",SpecialOffer(J298,1,"FY-1"),MIN(J177,J192*capacity))</f>
        <v>2641.5067139999996</v>
      </c>
      <c r="K300" s="193">
        <f>IF(VLOOKUP(K298,ProductsRange,3,FALSE)="Special Offer",SpecialOffer(K298,1,"FY-1"),MIN(K177,K192*capacity))</f>
        <v>2987.8095238095239</v>
      </c>
      <c r="L300" s="193">
        <f>IF(VLOOKUP(L298,ProductsRange,3,FALSE)="Special Offer",SpecialOffer(L298,1,"FY-1"),MIN(L177,L192*capacity))</f>
        <v>229.29779424000026</v>
      </c>
      <c r="M300" s="307"/>
      <c r="N300" s="194"/>
      <c r="O300" s="199"/>
      <c r="P300" s="199"/>
      <c r="R300" s="312"/>
      <c r="S300" s="312"/>
    </row>
    <row r="301" spans="1:21" hidden="1">
      <c r="A301" s="198"/>
      <c r="B301" s="346" t="s">
        <v>35</v>
      </c>
      <c r="C301" s="187" t="s">
        <v>46</v>
      </c>
      <c r="D301" s="193">
        <f>IF(VLOOKUP(D298,ProductsRange,3,FALSE)="Special Offer",SpecialOffer(D298,7,"FY-1"),MIN(D178,D193*capacity))</f>
        <v>849.19549175999998</v>
      </c>
      <c r="E301" s="193">
        <f>IF(VLOOKUP(E298,ProductsRange,3,FALSE)="Special Offer",SpecialOffer(E298,7,"FY-1"),MIN(E178,E193*capacity))</f>
        <v>732.19047619047603</v>
      </c>
      <c r="F301" s="193">
        <f>IF(VLOOKUP(F298,ProductsRange,3,FALSE)="Special Offer",SpecialOffer(F298,7,"FY-1"),MIN(F178,F193*capacity))</f>
        <v>0</v>
      </c>
      <c r="G301" s="193">
        <f>IF(VLOOKUP(G298,ProductsRange,3,FALSE)="Special Offer",SpecialOffer(G298,7,"FY-1"),MIN(G178,G193*capacity))</f>
        <v>0</v>
      </c>
      <c r="H301" s="193">
        <f>IF(VLOOKUP(H298,ProductsRange,3,FALSE)="Special Offer",SpecialOffer(H298,7,"FY-1"),MIN(H178,H193*capacity))</f>
        <v>0</v>
      </c>
      <c r="I301" s="193">
        <f>IF(VLOOKUP(I298,ProductsRange,3,FALSE)="Special Offer",SpecialOffer(I298,7,"FY-1"),MIN(I178,I193*capacity))</f>
        <v>0</v>
      </c>
      <c r="J301" s="193">
        <f>IF(VLOOKUP(J298,ProductsRange,3,FALSE)="Special Offer",SpecialOffer(J298,7,"FY-1"),MIN(J178,J193*capacity))</f>
        <v>2641.5067139999996</v>
      </c>
      <c r="K301" s="193">
        <f>IF(VLOOKUP(K298,ProductsRange,3,FALSE)="Special Offer",SpecialOffer(K298,7,"FY-1"),MIN(K178,K193*capacity))</f>
        <v>2987.8095238095239</v>
      </c>
      <c r="L301" s="193">
        <f>IF(VLOOKUP(L298,ProductsRange,3,FALSE)="Special Offer",SpecialOffer(L298,7,"FY-1"),MIN(L178,L193*capacity))</f>
        <v>0</v>
      </c>
      <c r="M301" s="307"/>
      <c r="N301" s="194"/>
      <c r="O301" s="199"/>
      <c r="P301" s="199"/>
      <c r="R301" s="312"/>
      <c r="S301" s="312"/>
    </row>
    <row r="302" spans="1:21" hidden="1">
      <c r="A302" s="198"/>
      <c r="B302" s="346" t="s">
        <v>35</v>
      </c>
      <c r="C302" s="190" t="s">
        <v>45</v>
      </c>
      <c r="D302" s="193">
        <f>IF(VLOOKUP(D298,ProductsRange,3,FALSE)="Special Offer",SpecialOffer(D298,3,"FY-1"),MIN(D179,D194*capacity))</f>
        <v>786.01752677702052</v>
      </c>
      <c r="E302" s="193">
        <f>IF(VLOOKUP(E298,ProductsRange,3,FALSE)="Special Offer",SpecialOffer(E298,3,"FY-1"),MIN(E179,E194*capacity))</f>
        <v>630.85339168490145</v>
      </c>
      <c r="F302" s="193">
        <f>IF(VLOOKUP(F298,ProductsRange,3,FALSE)="Special Offer",SpecialOffer(F298,3,"FY-1"),MIN(F179,F194*capacity))</f>
        <v>0</v>
      </c>
      <c r="G302" s="193">
        <f>IF(VLOOKUP(G298,ProductsRange,3,FALSE)="Special Offer",SpecialOffer(G298,3,"FY-1"),MIN(G179,G194*capacity))</f>
        <v>0</v>
      </c>
      <c r="H302" s="193">
        <f>IF(VLOOKUP(H298,ProductsRange,3,FALSE)="Special Offer",SpecialOffer(H298,3,"FY-1"),MIN(H179,H194*capacity))</f>
        <v>0</v>
      </c>
      <c r="I302" s="193">
        <f>IF(VLOOKUP(I298,ProductsRange,3,FALSE)="Special Offer",SpecialOffer(I298,3,"FY-1"),MIN(I179,I194*capacity))</f>
        <v>0</v>
      </c>
      <c r="J302" s="193">
        <f>IF(VLOOKUP(J298,ProductsRange,3,FALSE)="Special Offer",SpecialOffer(J298,3,"FY-1"),MIN(J179,J194*capacity))</f>
        <v>2933.982473222979</v>
      </c>
      <c r="K302" s="193">
        <f>IF(VLOOKUP(K298,ProductsRange,3,FALSE)="Special Offer",SpecialOffer(K298,3,"FY-1"),MIN(K179,K194*capacity))</f>
        <v>3089.1466083150985</v>
      </c>
      <c r="L302" s="193">
        <f>IF(VLOOKUP(L298,ProductsRange,3,FALSE)="Special Offer",SpecialOffer(L298,3,"FY-1"),MIN(L179,L194*capacity))</f>
        <v>0</v>
      </c>
      <c r="M302" s="307"/>
      <c r="N302" s="194"/>
      <c r="O302" s="199"/>
      <c r="P302" s="199"/>
      <c r="R302" s="312"/>
      <c r="S302" s="312"/>
    </row>
    <row r="303" spans="1:21" hidden="1">
      <c r="A303" s="198"/>
      <c r="B303" s="346" t="s">
        <v>35</v>
      </c>
      <c r="C303" s="190" t="s">
        <v>44</v>
      </c>
      <c r="D303" s="193">
        <f>IF(VLOOKUP(D298,ProductsRange,3,FALSE)="Special Offer",SpecialOffer(D298,4,"FY-1"),MIN(D180,D195*capacity))</f>
        <v>694.69879518072287</v>
      </c>
      <c r="E303" s="193">
        <f>IF(VLOOKUP(E298,ProductsRange,3,FALSE)="Special Offer",SpecialOffer(E298,4,"FY-1"),MIN(E180,E195*capacity))</f>
        <v>841.13785557986876</v>
      </c>
      <c r="F303" s="193">
        <f>IF(VLOOKUP(F298,ProductsRange,3,FALSE)="Special Offer",SpecialOffer(F298,4,"FY-1"),MIN(F180,F195*capacity))</f>
        <v>0</v>
      </c>
      <c r="G303" s="193">
        <f>IF(VLOOKUP(G298,ProductsRange,3,FALSE)="Special Offer",SpecialOffer(G298,4,"FY-1"),MIN(G180,G195*capacity))</f>
        <v>0</v>
      </c>
      <c r="H303" s="193">
        <f>IF(VLOOKUP(H298,ProductsRange,3,FALSE)="Special Offer",SpecialOffer(H298,4,"FY-1"),MIN(H180,H195*capacity))</f>
        <v>0</v>
      </c>
      <c r="I303" s="193">
        <f>IF(VLOOKUP(I298,ProductsRange,3,FALSE)="Special Offer",SpecialOffer(I298,4,"FY-1"),MIN(I180,I195*capacity))</f>
        <v>0</v>
      </c>
      <c r="J303" s="193">
        <f>IF(VLOOKUP(J298,ProductsRange,3,FALSE)="Special Offer",SpecialOffer(J298,4,"FY-1"),MIN(J180,J195*capacity))</f>
        <v>3025.3012048192768</v>
      </c>
      <c r="K303" s="193">
        <f>IF(VLOOKUP(K298,ProductsRange,3,FALSE)="Special Offer",SpecialOffer(K298,4,"FY-1"),MIN(K180,K195*capacity))</f>
        <v>4118.8621444201317</v>
      </c>
      <c r="L303" s="193">
        <f>IF(VLOOKUP(L298,ProductsRange,3,FALSE)="Special Offer",SpecialOffer(L298,4,"FY-1"),MIN(L180,L195*capacity))</f>
        <v>0</v>
      </c>
      <c r="M303" s="307"/>
      <c r="N303" s="194"/>
      <c r="O303" s="199"/>
      <c r="P303" s="199"/>
      <c r="R303" s="312"/>
      <c r="S303" s="312"/>
    </row>
    <row r="304" spans="1:21" hidden="1">
      <c r="A304" s="198"/>
      <c r="B304" s="346" t="s">
        <v>35</v>
      </c>
      <c r="C304" s="190" t="s">
        <v>43</v>
      </c>
      <c r="D304" s="193">
        <f>IF(VLOOKUP(D298,ProductsRange,3,FALSE)="Special Offer",SpecialOffer(D298,5,"FY-1"),MIN(D181,D196*capacity))</f>
        <v>926.26506024096386</v>
      </c>
      <c r="E304" s="193">
        <f>IF(VLOOKUP(E298,ProductsRange,3,FALSE)="Special Offer",SpecialOffer(E298,5,"FY-1"),MIN(E181,E196*capacity))</f>
        <v>1051.4223194748361</v>
      </c>
      <c r="F304" s="193">
        <f>IF(VLOOKUP(F298,ProductsRange,3,FALSE)="Special Offer",SpecialOffer(F298,5,"FY-1"),MIN(F181,F196*capacity))</f>
        <v>0</v>
      </c>
      <c r="G304" s="193">
        <f>IF(VLOOKUP(G298,ProductsRange,3,FALSE)="Special Offer",SpecialOffer(G298,5,"FY-1"),MIN(G181,G196*capacity))</f>
        <v>0</v>
      </c>
      <c r="H304" s="193">
        <f>IF(VLOOKUP(H298,ProductsRange,3,FALSE)="Special Offer",SpecialOffer(H298,5,"FY-1"),MIN(H181,H196*capacity))</f>
        <v>0</v>
      </c>
      <c r="I304" s="193">
        <f>IF(VLOOKUP(I298,ProductsRange,3,FALSE)="Special Offer",SpecialOffer(I298,5,"FY-1"),MIN(I181,I196*capacity))</f>
        <v>0</v>
      </c>
      <c r="J304" s="193">
        <f>IF(VLOOKUP(J298,ProductsRange,3,FALSE)="Special Offer",SpecialOffer(J298,5,"FY-1"),MIN(J181,J196*capacity))</f>
        <v>4033.7349397590356</v>
      </c>
      <c r="K304" s="193">
        <f>IF(VLOOKUP(K298,ProductsRange,3,FALSE)="Special Offer",SpecialOffer(K298,5,"FY-1"),MIN(K181,K196*capacity))</f>
        <v>5148.5776805251644</v>
      </c>
      <c r="L304" s="193">
        <f>IF(VLOOKUP(L298,ProductsRange,3,FALSE)="Special Offer",SpecialOffer(L298,5,"FY-1"),MIN(L181,L196*capacity))</f>
        <v>0</v>
      </c>
      <c r="M304" s="307"/>
      <c r="N304" s="194"/>
      <c r="O304" s="199"/>
      <c r="P304" s="199"/>
      <c r="R304" s="312"/>
      <c r="S304" s="312"/>
    </row>
    <row r="305" spans="1:19" hidden="1">
      <c r="A305" s="198"/>
      <c r="B305" s="346" t="s">
        <v>35</v>
      </c>
      <c r="C305" s="190" t="s">
        <v>42</v>
      </c>
      <c r="D305" s="193">
        <f>IF(VLOOKUP(D298,ProductsRange,3,FALSE)="Special Offer",SpecialOffer(D298,6,"FY-1"),MIN(D182,D197*capacity))</f>
        <v>1157.8313253012047</v>
      </c>
      <c r="E305" s="193">
        <f>IF(VLOOKUP(E298,ProductsRange,3,FALSE)="Special Offer",SpecialOffer(E298,6,"FY-1"),MIN(E182,E197*capacity))</f>
        <v>1261.7067833698029</v>
      </c>
      <c r="F305" s="193">
        <f>IF(VLOOKUP(F298,ProductsRange,3,FALSE)="Special Offer",SpecialOffer(F298,6,"FY-1"),MIN(F182,F197*capacity))</f>
        <v>0</v>
      </c>
      <c r="G305" s="193">
        <f>IF(VLOOKUP(G298,ProductsRange,3,FALSE)="Special Offer",SpecialOffer(G298,6,"FY-1"),MIN(G182,G197*capacity))</f>
        <v>0</v>
      </c>
      <c r="H305" s="193">
        <f>IF(VLOOKUP(H298,ProductsRange,3,FALSE)="Special Offer",SpecialOffer(H298,6,"FY-1"),MIN(H182,H197*capacity))</f>
        <v>0</v>
      </c>
      <c r="I305" s="193">
        <f>IF(VLOOKUP(I298,ProductsRange,3,FALSE)="Special Offer",SpecialOffer(I298,6,"FY-1"),MIN(I182,I197*capacity))</f>
        <v>0</v>
      </c>
      <c r="J305" s="193">
        <f>IF(VLOOKUP(J298,ProductsRange,3,FALSE)="Special Offer",SpecialOffer(J298,6,"FY-1"),MIN(J182,J197*capacity))</f>
        <v>5042.1686746987953</v>
      </c>
      <c r="K305" s="193">
        <f>IF(VLOOKUP(K298,ProductsRange,3,FALSE)="Special Offer",SpecialOffer(K298,6,"FY-1"),MIN(K182,K197*capacity))</f>
        <v>6178.2932166301962</v>
      </c>
      <c r="L305" s="193">
        <f>IF(VLOOKUP(L298,ProductsRange,3,FALSE)="Special Offer",SpecialOffer(L298,6,"FY-1"),MIN(L182,L197*capacity))</f>
        <v>0</v>
      </c>
      <c r="M305" s="307"/>
      <c r="N305" s="194"/>
      <c r="O305" s="199"/>
      <c r="P305" s="199"/>
      <c r="R305" s="312"/>
      <c r="S305" s="312"/>
    </row>
    <row r="306" spans="1:19" hidden="1">
      <c r="A306" s="198"/>
      <c r="B306" s="346" t="s">
        <v>35</v>
      </c>
      <c r="C306" s="190" t="s">
        <v>41</v>
      </c>
      <c r="D306" s="193">
        <f>IF(VLOOKUP(D298,ProductsRange,3,FALSE)="Special Offer",SpecialOffer(D298,7,"FY-1"),MIN(D183,D198*capacity))</f>
        <v>1157.8313253012047</v>
      </c>
      <c r="E306" s="193">
        <f>IF(VLOOKUP(E298,ProductsRange,3,FALSE)="Special Offer",SpecialOffer(E298,7,"FY-1"),MIN(E183,E198*capacity))</f>
        <v>1261.7067833698029</v>
      </c>
      <c r="F306" s="193">
        <f>IF(VLOOKUP(F298,ProductsRange,3,FALSE)="Special Offer",SpecialOffer(F298,7,"FY-1"),MIN(F183,F198*capacity))</f>
        <v>0</v>
      </c>
      <c r="G306" s="193">
        <f>IF(VLOOKUP(G298,ProductsRange,3,FALSE)="Special Offer",SpecialOffer(G298,7,"FY-1"),MIN(G183,G198*capacity))</f>
        <v>0</v>
      </c>
      <c r="H306" s="193">
        <f>IF(VLOOKUP(H298,ProductsRange,3,FALSE)="Special Offer",SpecialOffer(H298,7,"FY-1"),MIN(H183,H198*capacity))</f>
        <v>0</v>
      </c>
      <c r="I306" s="193">
        <f>IF(VLOOKUP(I298,ProductsRange,3,FALSE)="Special Offer",SpecialOffer(I298,7,"FY-1"),MIN(I183,I198*capacity))</f>
        <v>0</v>
      </c>
      <c r="J306" s="193">
        <f>IF(VLOOKUP(J298,ProductsRange,3,FALSE)="Special Offer",SpecialOffer(J298,7,"FY-1"),MIN(J183,J198*capacity))</f>
        <v>5042.1686746987953</v>
      </c>
      <c r="K306" s="193">
        <f>IF(VLOOKUP(K298,ProductsRange,3,FALSE)="Special Offer",SpecialOffer(K298,7,"FY-1"),MIN(K183,K198*capacity))</f>
        <v>6178.2932166301962</v>
      </c>
      <c r="L306" s="193">
        <f>IF(VLOOKUP(L298,ProductsRange,3,FALSE)="Special Offer",SpecialOffer(L298,7,"FY-1"),MIN(L183,L198*capacity))</f>
        <v>0</v>
      </c>
      <c r="M306" s="307"/>
      <c r="N306" s="194"/>
      <c r="O306" s="199"/>
      <c r="P306" s="199"/>
      <c r="R306" s="312"/>
      <c r="S306" s="312"/>
    </row>
    <row r="307" spans="1:19" hidden="1">
      <c r="A307" s="198"/>
      <c r="B307" s="346" t="s">
        <v>35</v>
      </c>
      <c r="C307" s="190" t="s">
        <v>40</v>
      </c>
      <c r="D307" s="193">
        <f>IF(VLOOKUP(D298,ProductsRange,3,FALSE)="Special Offer",SpecialOffer(D298,8,"FY-1"),MIN(D184,D199*capacity))</f>
        <v>1195.0259067357511</v>
      </c>
      <c r="E307" s="193">
        <f>IF(VLOOKUP(E298,ProductsRange,3,FALSE)="Special Offer",SpecialOffer(E298,8,"FY-1"),MIN(E184,E199*capacity))</f>
        <v>1368.6673448626655</v>
      </c>
      <c r="F307" s="193">
        <f>IF(VLOOKUP(F298,ProductsRange,3,FALSE)="Special Offer",SpecialOffer(F298,8,"FY-1"),MIN(F184,F199*capacity))</f>
        <v>0</v>
      </c>
      <c r="G307" s="193">
        <f>IF(VLOOKUP(G298,ProductsRange,3,FALSE)="Special Offer",SpecialOffer(G298,8,"FY-1"),MIN(G184,G199*capacity))</f>
        <v>0</v>
      </c>
      <c r="H307" s="193">
        <f>IF(VLOOKUP(H298,ProductsRange,3,FALSE)="Special Offer",SpecialOffer(H298,8,"FY-1"),MIN(H184,H199*capacity))</f>
        <v>0</v>
      </c>
      <c r="I307" s="193">
        <f>IF(VLOOKUP(I298,ProductsRange,3,FALSE)="Special Offer",SpecialOffer(I298,8,"FY-1"),MIN(I184,I199*capacity))</f>
        <v>0</v>
      </c>
      <c r="J307" s="193">
        <f>IF(VLOOKUP(J298,ProductsRange,3,FALSE)="Special Offer",SpecialOffer(J298,8,"FY-1"),MIN(J184,J199*capacity))</f>
        <v>6244.974093264248</v>
      </c>
      <c r="K307" s="193">
        <f>IF(VLOOKUP(K298,ProductsRange,3,FALSE)="Special Offer",SpecialOffer(K298,8,"FY-1"),MIN(K184,K199*capacity))</f>
        <v>7311.3326551373348</v>
      </c>
      <c r="L307" s="193">
        <f>IF(VLOOKUP(L298,ProductsRange,3,FALSE)="Special Offer",SpecialOffer(L298,8,"FY-1"),MIN(L184,L199*capacity))</f>
        <v>0</v>
      </c>
      <c r="M307" s="307"/>
      <c r="N307" s="194"/>
      <c r="O307" s="199"/>
      <c r="P307" s="199"/>
      <c r="R307" s="312"/>
      <c r="S307" s="312"/>
    </row>
    <row r="308" spans="1:19" hidden="1">
      <c r="A308" s="184"/>
      <c r="B308" s="346" t="s">
        <v>35</v>
      </c>
      <c r="C308" s="190" t="s">
        <v>39</v>
      </c>
      <c r="D308" s="193">
        <f>IF(VLOOKUP(D298,ProductsRange,3,FALSE)="Special Offer",SpecialOffer(D298,9,"FY-1"),MIN(D185,D200*capacity))</f>
        <v>1195.0259067357511</v>
      </c>
      <c r="E308" s="193">
        <f>IF(VLOOKUP(E298,ProductsRange,3,FALSE)="Special Offer",SpecialOffer(E298,9,"FY-1"),MIN(E185,E200*capacity))</f>
        <v>1368.6673448626655</v>
      </c>
      <c r="F308" s="193">
        <f>IF(VLOOKUP(F298,ProductsRange,3,FALSE)="Special Offer",SpecialOffer(F298,9,"FY-1"),MIN(F185,F200*capacity))</f>
        <v>0</v>
      </c>
      <c r="G308" s="193">
        <f>IF(VLOOKUP(G298,ProductsRange,3,FALSE)="Special Offer",SpecialOffer(G298,9,"FY-1"),MIN(G185,G200*capacity))</f>
        <v>0</v>
      </c>
      <c r="H308" s="193">
        <f>IF(VLOOKUP(H298,ProductsRange,3,FALSE)="Special Offer",SpecialOffer(H298,9,"FY-1"),MIN(H185,H200*capacity))</f>
        <v>0</v>
      </c>
      <c r="I308" s="193">
        <f>IF(VLOOKUP(I298,ProductsRange,3,FALSE)="Special Offer",SpecialOffer(I298,9,"FY-1"),MIN(I185,I200*capacity))</f>
        <v>0</v>
      </c>
      <c r="J308" s="193">
        <f>IF(VLOOKUP(J298,ProductsRange,3,FALSE)="Special Offer",SpecialOffer(J298,9,"FY-1"),MIN(J185,J200*capacity))</f>
        <v>6244.974093264248</v>
      </c>
      <c r="K308" s="193">
        <f>IF(VLOOKUP(K298,ProductsRange,3,FALSE)="Special Offer",SpecialOffer(K298,9,"FY-1"),MIN(K185,K200*capacity))</f>
        <v>7311.3326551373348</v>
      </c>
      <c r="L308" s="193">
        <f>IF(VLOOKUP(L298,ProductsRange,3,FALSE)="Special Offer",SpecialOffer(L298,9,"FY-1"),MIN(L185,L200*capacity))</f>
        <v>0</v>
      </c>
      <c r="M308" s="307"/>
      <c r="N308" s="194"/>
      <c r="O308" s="199"/>
      <c r="P308" s="199"/>
      <c r="R308" s="312"/>
      <c r="S308" s="312"/>
    </row>
    <row r="309" spans="1:19" hidden="1">
      <c r="A309" s="184"/>
      <c r="B309" s="346" t="s">
        <v>35</v>
      </c>
      <c r="C309" s="190" t="s">
        <v>38</v>
      </c>
      <c r="D309" s="193">
        <f>IF(VLOOKUP(D298,ProductsRange,3,FALSE)="Special Offer",SpecialOffer(D298,10,"FY-1"),MIN(D186,D201*capacity))</f>
        <v>1070.7520891364904</v>
      </c>
      <c r="E309" s="193">
        <f>IF(VLOOKUP(E298,ProductsRange,3,FALSE)="Special Offer",SpecialOffer(E298,10,"FY-1"),MIN(E186,E201*capacity))</f>
        <v>1450.4891939999998</v>
      </c>
      <c r="F309" s="193">
        <f>IF(VLOOKUP(F298,ProductsRange,3,FALSE)="Special Offer",SpecialOffer(F298,10,"FY-1"),MIN(F186,F201*capacity))</f>
        <v>0</v>
      </c>
      <c r="G309" s="193">
        <f>IF(VLOOKUP(G298,ProductsRange,3,FALSE)="Special Offer",SpecialOffer(G298,10,"FY-1"),MIN(G186,G201*capacity))</f>
        <v>0</v>
      </c>
      <c r="H309" s="193">
        <f>IF(VLOOKUP(H298,ProductsRange,3,FALSE)="Special Offer",SpecialOffer(H298,10,"FY-1"),MIN(H186,H201*capacity))</f>
        <v>0</v>
      </c>
      <c r="I309" s="193">
        <f>IF(VLOOKUP(I298,ProductsRange,3,FALSE)="Special Offer",SpecialOffer(I298,10,"FY-1"),MIN(I186,I201*capacity))</f>
        <v>0</v>
      </c>
      <c r="J309" s="193">
        <f>IF(VLOOKUP(J298,ProductsRange,3,FALSE)="Special Offer",SpecialOffer(J298,10,"FY-1"),MIN(J186,J201*capacity))</f>
        <v>5129.2479108635098</v>
      </c>
      <c r="K309" s="193">
        <f>IF(VLOOKUP(K298,ProductsRange,3,FALSE)="Special Offer",SpecialOffer(K298,10,"FY-1"),MIN(K186,K201*capacity))</f>
        <v>7102.7180531999993</v>
      </c>
      <c r="L309" s="193">
        <f>IF(VLOOKUP(L298,ProductsRange,3,FALSE)="Special Offer",SpecialOffer(L298,10,"FY-1"),MIN(L186,L201*capacity))</f>
        <v>126.79275280000002</v>
      </c>
      <c r="M309" s="307"/>
      <c r="O309" s="191"/>
      <c r="P309" s="191"/>
      <c r="R309" s="191"/>
      <c r="S309" s="191"/>
    </row>
    <row r="310" spans="1:19" hidden="1">
      <c r="A310" s="195"/>
      <c r="B310" s="346" t="s">
        <v>35</v>
      </c>
      <c r="C310" s="190" t="s">
        <v>37</v>
      </c>
      <c r="D310" s="193">
        <f>IF(VLOOKUP(D298,ProductsRange,3,FALSE)="Special Offer",SpecialOffer(D298,11,"FY-1"),MIN(D187,D202*capacity))</f>
        <v>694.69879518072287</v>
      </c>
      <c r="E310" s="193">
        <f>IF(VLOOKUP(E298,ProductsRange,3,FALSE)="Special Offer",SpecialOffer(E298,11,"FY-1"),MIN(E187,E202*capacity))</f>
        <v>841.13785557986876</v>
      </c>
      <c r="F310" s="193">
        <f>IF(VLOOKUP(F298,ProductsRange,3,FALSE)="Special Offer",SpecialOffer(F298,11,"FY-1"),MIN(F187,F202*capacity))</f>
        <v>0</v>
      </c>
      <c r="G310" s="193">
        <f>IF(VLOOKUP(G298,ProductsRange,3,FALSE)="Special Offer",SpecialOffer(G298,11,"FY-1"),MIN(G187,G202*capacity))</f>
        <v>0</v>
      </c>
      <c r="H310" s="193">
        <f>IF(VLOOKUP(H298,ProductsRange,3,FALSE)="Special Offer",SpecialOffer(H298,11,"FY-1"),MIN(H187,H202*capacity))</f>
        <v>0</v>
      </c>
      <c r="I310" s="193">
        <f>IF(VLOOKUP(I298,ProductsRange,3,FALSE)="Special Offer",SpecialOffer(I298,11,"FY-1"),MIN(I187,I202*capacity))</f>
        <v>0</v>
      </c>
      <c r="J310" s="193">
        <f>IF(VLOOKUP(J298,ProductsRange,3,FALSE)="Special Offer",SpecialOffer(J298,11,"FY-1"),MIN(J187,J202*capacity))</f>
        <v>3025.3012048192768</v>
      </c>
      <c r="K310" s="193">
        <f>IF(VLOOKUP(K298,ProductsRange,3,FALSE)="Special Offer",SpecialOffer(K298,11,"FY-1"),MIN(K187,K202*capacity))</f>
        <v>4118.8621444201317</v>
      </c>
      <c r="L310" s="193">
        <f>IF(VLOOKUP(L298,ProductsRange,3,FALSE)="Special Offer",SpecialOffer(L298,11,"FY-1"),MIN(L187,L202*capacity))</f>
        <v>0</v>
      </c>
      <c r="M310" s="307"/>
      <c r="O310" s="191"/>
      <c r="P310" s="191"/>
      <c r="R310" s="191"/>
      <c r="S310" s="191"/>
    </row>
    <row r="311" spans="1:19" hidden="1">
      <c r="A311" s="195"/>
      <c r="B311" s="346" t="s">
        <v>35</v>
      </c>
      <c r="C311" s="190" t="s">
        <v>36</v>
      </c>
      <c r="D311" s="193">
        <f>IF(VLOOKUP(D298,ProductsRange,3,FALSE)="Special Offer",SpecialOffer(D298,12,"FY-1"),MIN(D188,D203*capacity))</f>
        <v>694.69879518072287</v>
      </c>
      <c r="E311" s="193">
        <f>IF(VLOOKUP(E298,ProductsRange,3,FALSE)="Special Offer",SpecialOffer(E298,12,"FY-1"),MIN(E188,E203*capacity))</f>
        <v>923.03857800000003</v>
      </c>
      <c r="F311" s="193">
        <f>IF(VLOOKUP(F298,ProductsRange,3,FALSE)="Special Offer",SpecialOffer(F298,12,"FY-1"),MIN(F188,F203*capacity))</f>
        <v>0</v>
      </c>
      <c r="G311" s="193">
        <f>IF(VLOOKUP(G298,ProductsRange,3,FALSE)="Special Offer",SpecialOffer(G298,12,"FY-1"),MIN(G188,G203*capacity))</f>
        <v>0</v>
      </c>
      <c r="H311" s="193">
        <f>IF(VLOOKUP(H298,ProductsRange,3,FALSE)="Special Offer",SpecialOffer(H298,12,"FY-1"),MIN(H188,H203*capacity))</f>
        <v>0</v>
      </c>
      <c r="I311" s="193">
        <f>IF(VLOOKUP(I298,ProductsRange,3,FALSE)="Special Offer",SpecialOffer(I298,12,"FY-1"),MIN(I188,I203*capacity))</f>
        <v>0</v>
      </c>
      <c r="J311" s="193">
        <f>IF(VLOOKUP(J298,ProductsRange,3,FALSE)="Special Offer",SpecialOffer(J298,12,"FY-1"),MIN(J188,J203*capacity))</f>
        <v>3025.3012048192768</v>
      </c>
      <c r="K311" s="193">
        <f>IF(VLOOKUP(K298,ProductsRange,3,FALSE)="Special Offer",SpecialOffer(K298,12,"FY-1"),MIN(K188,K203*capacity))</f>
        <v>3874.2098471999993</v>
      </c>
      <c r="L311" s="193">
        <f>IF(VLOOKUP(L298,ProductsRange,3,FALSE)="Special Offer",SpecialOffer(L298,12,"FY-1"),MIN(L188,L203*capacity))</f>
        <v>162.75157480000053</v>
      </c>
      <c r="M311" s="193"/>
      <c r="O311" s="191"/>
      <c r="P311" s="191"/>
      <c r="R311" s="191"/>
      <c r="S311" s="191"/>
    </row>
    <row r="312" spans="1:19" hidden="1">
      <c r="A312" s="195"/>
      <c r="B312" s="346" t="s">
        <v>34</v>
      </c>
      <c r="C312" s="187" t="s">
        <v>47</v>
      </c>
      <c r="D312" s="193">
        <f>IF(VLOOKUP(D298,ProductsRange,3,FALSE)="Special Offer",SpecialOffer(D298,1,"FY-2"),MIN(D222,D237*capacity))</f>
        <v>905.86416344561007</v>
      </c>
      <c r="E312" s="193">
        <f>IF(VLOOKUP(E298,ProductsRange,3,FALSE)="Special Offer",SpecialOffer(E298,1,"FY-2"),MIN(E222,E237*capacity))</f>
        <v>729.82985061154488</v>
      </c>
      <c r="F312" s="193">
        <f>IF(VLOOKUP(F298,ProductsRange,3,FALSE)="Special Offer",SpecialOffer(F298,1,"FY-2"),MIN(F222,F237*capacity))</f>
        <v>0</v>
      </c>
      <c r="G312" s="193">
        <f>IF(VLOOKUP(G298,ProductsRange,3,FALSE)="Special Offer",SpecialOffer(G298,1,"FY-2"),MIN(G222,G237*capacity))</f>
        <v>0</v>
      </c>
      <c r="H312" s="193">
        <f>IF(VLOOKUP(H298,ProductsRange,3,FALSE)="Special Offer",SpecialOffer(H298,1,"FY-2"),MIN(H222,H237*capacity))</f>
        <v>0</v>
      </c>
      <c r="I312" s="193">
        <f>IF(VLOOKUP(I298,ProductsRange,3,FALSE)="Special Offer",SpecialOffer(I298,1,"FY-2"),MIN(I222,I237*capacity))</f>
        <v>0</v>
      </c>
      <c r="J312" s="193">
        <f>IF(VLOOKUP(J298,ProductsRange,3,FALSE)="Special Offer",SpecialOffer(J298,1,"FY-2"),MIN(J222,J237*capacity))</f>
        <v>2814.1358365543897</v>
      </c>
      <c r="K312" s="193">
        <f>IF(VLOOKUP(K298,ProductsRange,3,FALSE)="Special Offer",SpecialOffer(K298,1,"FY-2"),MIN(K222,K237*capacity))</f>
        <v>2990.1701493884557</v>
      </c>
      <c r="L312" s="193">
        <f>IF(VLOOKUP(L298,ProductsRange,3,FALSE)="Special Offer",SpecialOffer(L298,1,"FY-2"),MIN(L222,L237*capacity))</f>
        <v>0</v>
      </c>
      <c r="M312" s="193"/>
      <c r="O312" s="191"/>
      <c r="P312" s="191"/>
      <c r="R312" s="191"/>
      <c r="S312" s="191"/>
    </row>
    <row r="313" spans="1:19" hidden="1">
      <c r="A313" s="198"/>
      <c r="B313" s="346" t="s">
        <v>34</v>
      </c>
      <c r="C313" s="187" t="s">
        <v>46</v>
      </c>
      <c r="D313" s="193">
        <f>IF(VLOOKUP(D298,ProductsRange,3,FALSE)="Special Offer",SpecialOffer(D298,2,"FY-2"),MIN(D223,D238*capacity))</f>
        <v>905.86416344561007</v>
      </c>
      <c r="E313" s="193">
        <f>IF(VLOOKUP(E298,ProductsRange,3,FALSE)="Special Offer",SpecialOffer(E298,2,"FY-2"),MIN(E223,E238*capacity))</f>
        <v>729.82985061154488</v>
      </c>
      <c r="F313" s="193">
        <f>IF(VLOOKUP(F298,ProductsRange,3,FALSE)="Special Offer",SpecialOffer(F298,2,"FY-2"),MIN(F223,F238*capacity))</f>
        <v>0</v>
      </c>
      <c r="G313" s="193">
        <f>IF(VLOOKUP(G298,ProductsRange,3,FALSE)="Special Offer",SpecialOffer(G298,2,"FY-2"),MIN(G223,G238*capacity))</f>
        <v>0</v>
      </c>
      <c r="H313" s="193">
        <f>IF(VLOOKUP(H298,ProductsRange,3,FALSE)="Special Offer",SpecialOffer(H298,2,"FY-2"),MIN(H223,H238*capacity))</f>
        <v>0</v>
      </c>
      <c r="I313" s="193">
        <f>IF(VLOOKUP(I298,ProductsRange,3,FALSE)="Special Offer",SpecialOffer(I298,2,"FY-2"),MIN(I223,I238*capacity))</f>
        <v>0</v>
      </c>
      <c r="J313" s="193">
        <f>IF(VLOOKUP(J298,ProductsRange,3,FALSE)="Special Offer",SpecialOffer(J298,2,"FY-2"),MIN(J223,J238*capacity))</f>
        <v>2814.1358365543897</v>
      </c>
      <c r="K313" s="193">
        <f>IF(VLOOKUP(K298,ProductsRange,3,FALSE)="Special Offer",SpecialOffer(K298,2,"FY-2"),MIN(K223,K238*capacity))</f>
        <v>2990.1701493884557</v>
      </c>
      <c r="L313" s="193">
        <f>IF(VLOOKUP(L298,ProductsRange,3,FALSE)="Special Offer",SpecialOffer(L298,2,"FY-2"),MIN(L223,L238*capacity))</f>
        <v>0</v>
      </c>
      <c r="M313" s="307"/>
      <c r="N313" s="194"/>
      <c r="O313" s="199"/>
      <c r="P313" s="199"/>
      <c r="R313" s="312"/>
      <c r="S313" s="312"/>
    </row>
    <row r="314" spans="1:19" hidden="1">
      <c r="A314" s="198"/>
      <c r="B314" s="346" t="s">
        <v>34</v>
      </c>
      <c r="C314" s="190" t="s">
        <v>45</v>
      </c>
      <c r="D314" s="193">
        <f>IF(VLOOKUP(D298,ProductsRange,3,FALSE)="Special Offer",SpecialOffer(D298,3,"FY-2"),MIN(D224,D239*capacity))</f>
        <v>786.82014388489199</v>
      </c>
      <c r="E314" s="193">
        <f>IF(VLOOKUP(E298,ProductsRange,3,FALSE)="Special Offer",SpecialOffer(E298,3,"FY-2"),MIN(E224,E239*capacity))</f>
        <v>628.75072903301066</v>
      </c>
      <c r="F314" s="193">
        <f>IF(VLOOKUP(F298,ProductsRange,3,FALSE)="Special Offer",SpecialOffer(F298,3,"FY-2"),MIN(F224,F239*capacity))</f>
        <v>0</v>
      </c>
      <c r="G314" s="193">
        <f>IF(VLOOKUP(G298,ProductsRange,3,FALSE)="Special Offer",SpecialOffer(G298,3,"FY-2"),MIN(G224,G239*capacity))</f>
        <v>0</v>
      </c>
      <c r="H314" s="193">
        <f>IF(VLOOKUP(H298,ProductsRange,3,FALSE)="Special Offer",SpecialOffer(H298,3,"FY-2"),MIN(H224,H239*capacity))</f>
        <v>0</v>
      </c>
      <c r="I314" s="193">
        <f>IF(VLOOKUP(I298,ProductsRange,3,FALSE)="Special Offer",SpecialOffer(I298,3,"FY-2"),MIN(I224,I239*capacity))</f>
        <v>0</v>
      </c>
      <c r="J314" s="193">
        <f>IF(VLOOKUP(J298,ProductsRange,3,FALSE)="Special Offer",SpecialOffer(J298,3,"FY-2"),MIN(J224,J239*capacity))</f>
        <v>2933.1798561151081</v>
      </c>
      <c r="K314" s="193">
        <f>IF(VLOOKUP(K298,ProductsRange,3,FALSE)="Special Offer",SpecialOffer(K298,3,"FY-2"),MIN(K224,K239*capacity))</f>
        <v>3091.2492709669896</v>
      </c>
      <c r="L314" s="193">
        <f>IF(VLOOKUP(L298,ProductsRange,3,FALSE)="Special Offer",SpecialOffer(L298,3,"FY-2"),MIN(L224,L239*capacity))</f>
        <v>0</v>
      </c>
      <c r="M314" s="307"/>
      <c r="N314" s="194"/>
      <c r="O314" s="199"/>
      <c r="P314" s="199"/>
      <c r="R314" s="312"/>
      <c r="S314" s="312"/>
    </row>
    <row r="315" spans="1:19" hidden="1">
      <c r="A315" s="198"/>
      <c r="B315" s="346" t="s">
        <v>34</v>
      </c>
      <c r="C315" s="190" t="s">
        <v>44</v>
      </c>
      <c r="D315" s="193">
        <f>IF(VLOOKUP(D298,ProductsRange,3,FALSE)="Special Offer",SpecialOffer(D298,4,"FY-2"),MIN(D225,D240*capacity))</f>
        <v>927.240356083086</v>
      </c>
      <c r="E315" s="193">
        <f>IF(VLOOKUP(E298,ProductsRange,3,FALSE)="Special Offer",SpecialOffer(E298,4,"FY-2"),MIN(E225,E240*capacity))</f>
        <v>838.3343053773475</v>
      </c>
      <c r="F315" s="193">
        <f>IF(VLOOKUP(F298,ProductsRange,3,FALSE)="Special Offer",SpecialOffer(F298,4,"FY-2"),MIN(F225,F240*capacity))</f>
        <v>0</v>
      </c>
      <c r="G315" s="193">
        <f>IF(VLOOKUP(G298,ProductsRange,3,FALSE)="Special Offer",SpecialOffer(G298,4,"FY-2"),MIN(G225,G240*capacity))</f>
        <v>0</v>
      </c>
      <c r="H315" s="193">
        <f>IF(VLOOKUP(H298,ProductsRange,3,FALSE)="Special Offer",SpecialOffer(H298,4,"FY-2"),MIN(H225,H240*capacity))</f>
        <v>0</v>
      </c>
      <c r="I315" s="193">
        <f>IF(VLOOKUP(I298,ProductsRange,3,FALSE)="Special Offer",SpecialOffer(I298,4,"FY-2"),MIN(I225,I240*capacity))</f>
        <v>0</v>
      </c>
      <c r="J315" s="193">
        <f>IF(VLOOKUP(J298,ProductsRange,3,FALSE)="Special Offer",SpecialOffer(J298,4,"FY-2"),MIN(J225,J240*capacity))</f>
        <v>4032.7596439169138</v>
      </c>
      <c r="K315" s="193">
        <f>IF(VLOOKUP(K298,ProductsRange,3,FALSE)="Special Offer",SpecialOffer(K298,4,"FY-2"),MIN(K225,K240*capacity))</f>
        <v>4121.6656946226531</v>
      </c>
      <c r="L315" s="193">
        <f>IF(VLOOKUP(L298,ProductsRange,3,FALSE)="Special Offer",SpecialOffer(L298,4,"FY-2"),MIN(L225,L240*capacity))</f>
        <v>0</v>
      </c>
      <c r="M315" s="307"/>
      <c r="N315" s="194"/>
      <c r="O315" s="199"/>
      <c r="P315" s="199"/>
      <c r="R315" s="312"/>
      <c r="S315" s="312"/>
    </row>
    <row r="316" spans="1:19" hidden="1">
      <c r="A316" s="198"/>
      <c r="B316" s="346" t="s">
        <v>34</v>
      </c>
      <c r="C316" s="190" t="s">
        <v>43</v>
      </c>
      <c r="D316" s="193">
        <f>IF(VLOOKUP(D298,ProductsRange,3,FALSE)="Special Offer",SpecialOffer(D298,5,"FY-2"),MIN(D226,D241*capacity))</f>
        <v>927.24035608308589</v>
      </c>
      <c r="E316" s="193">
        <f>IF(VLOOKUP(E298,ProductsRange,3,FALSE)="Special Offer",SpecialOffer(E298,5,"FY-2"),MIN(E226,E241*capacity))</f>
        <v>1047.9178817216841</v>
      </c>
      <c r="F316" s="193">
        <f>IF(VLOOKUP(F298,ProductsRange,3,FALSE)="Special Offer",SpecialOffer(F298,5,"FY-2"),MIN(F226,F241*capacity))</f>
        <v>0</v>
      </c>
      <c r="G316" s="193">
        <f>IF(VLOOKUP(G298,ProductsRange,3,FALSE)="Special Offer",SpecialOffer(G298,5,"FY-2"),MIN(G226,G241*capacity))</f>
        <v>0</v>
      </c>
      <c r="H316" s="193">
        <f>IF(VLOOKUP(H298,ProductsRange,3,FALSE)="Special Offer",SpecialOffer(H298,5,"FY-2"),MIN(H226,H241*capacity))</f>
        <v>0</v>
      </c>
      <c r="I316" s="193">
        <f>IF(VLOOKUP(I298,ProductsRange,3,FALSE)="Special Offer",SpecialOffer(I298,5,"FY-2"),MIN(I226,I241*capacity))</f>
        <v>0</v>
      </c>
      <c r="J316" s="193">
        <f>IF(VLOOKUP(J298,ProductsRange,3,FALSE)="Special Offer",SpecialOffer(J298,5,"FY-2"),MIN(J226,J241*capacity))</f>
        <v>4032.7596439169138</v>
      </c>
      <c r="K316" s="193">
        <f>IF(VLOOKUP(K298,ProductsRange,3,FALSE)="Special Offer",SpecialOffer(K298,5,"FY-2"),MIN(K226,K241*capacity))</f>
        <v>5152.0821182783166</v>
      </c>
      <c r="L316" s="193">
        <f>IF(VLOOKUP(L298,ProductsRange,3,FALSE)="Special Offer",SpecialOffer(L298,5,"FY-2"),MIN(L226,L241*capacity))</f>
        <v>0</v>
      </c>
      <c r="M316" s="307"/>
      <c r="N316" s="194"/>
      <c r="O316" s="199"/>
      <c r="P316" s="199"/>
      <c r="R316" s="312"/>
      <c r="S316" s="312"/>
    </row>
    <row r="317" spans="1:19" hidden="1">
      <c r="A317" s="198"/>
      <c r="B317" s="346" t="s">
        <v>34</v>
      </c>
      <c r="C317" s="190" t="s">
        <v>42</v>
      </c>
      <c r="D317" s="193">
        <f>IF(VLOOKUP(D298,ProductsRange,3,FALSE)="Special Offer",SpecialOffer(D298,6,"FY-2"),MIN(D227,D242*capacity))</f>
        <v>1369.2859488000001</v>
      </c>
      <c r="E317" s="193">
        <f>IF(VLOOKUP(E298,ProductsRange,3,FALSE)="Special Offer",SpecialOffer(E298,6,"FY-2"),MIN(E227,E242*capacity))</f>
        <v>1257.5014580660213</v>
      </c>
      <c r="F317" s="193">
        <f>IF(VLOOKUP(F298,ProductsRange,3,FALSE)="Special Offer",SpecialOffer(F298,6,"FY-2"),MIN(F227,F242*capacity))</f>
        <v>0</v>
      </c>
      <c r="G317" s="193">
        <f>IF(VLOOKUP(G298,ProductsRange,3,FALSE)="Special Offer",SpecialOffer(G298,6,"FY-2"),MIN(G227,G242*capacity))</f>
        <v>0</v>
      </c>
      <c r="H317" s="193">
        <f>IF(VLOOKUP(H298,ProductsRange,3,FALSE)="Special Offer",SpecialOffer(H298,6,"FY-2"),MIN(H227,H242*capacity))</f>
        <v>0</v>
      </c>
      <c r="I317" s="193">
        <f>IF(VLOOKUP(I298,ProductsRange,3,FALSE)="Special Offer",SpecialOffer(I298,6,"FY-2"),MIN(I227,I242*capacity))</f>
        <v>0</v>
      </c>
      <c r="J317" s="193">
        <f>IF(VLOOKUP(J298,ProductsRange,3,FALSE)="Special Offer",SpecialOffer(J298,6,"FY-2"),MIN(J227,J242*capacity))</f>
        <v>5955.3071424000009</v>
      </c>
      <c r="K317" s="193">
        <f>IF(VLOOKUP(K298,ProductsRange,3,FALSE)="Special Offer",SpecialOffer(K298,6,"FY-2"),MIN(K227,K242*capacity))</f>
        <v>6182.4985419339801</v>
      </c>
      <c r="L317" s="193">
        <f>IF(VLOOKUP(L298,ProductsRange,3,FALSE)="Special Offer",SpecialOffer(L298,6,"FY-2"),MIN(L227,L242*capacity))</f>
        <v>115.40690879999966</v>
      </c>
      <c r="M317" s="307"/>
      <c r="N317" s="194"/>
      <c r="O317" s="199"/>
      <c r="P317" s="199"/>
      <c r="R317" s="312"/>
      <c r="S317" s="312"/>
    </row>
    <row r="318" spans="1:19" hidden="1">
      <c r="A318" s="198"/>
      <c r="B318" s="346" t="s">
        <v>34</v>
      </c>
      <c r="C318" s="190" t="s">
        <v>41</v>
      </c>
      <c r="D318" s="193">
        <f>IF(VLOOKUP(D298,ProductsRange,3,FALSE)="Special Offer",SpecialOffer(D298,7,"FY-2"),MIN(D228,D243*capacity))</f>
        <v>1369.2859488000001</v>
      </c>
      <c r="E318" s="193">
        <f>IF(VLOOKUP(E298,ProductsRange,3,FALSE)="Special Offer",SpecialOffer(E298,7,"FY-2"),MIN(E228,E243*capacity))</f>
        <v>1257.5014580660213</v>
      </c>
      <c r="F318" s="193">
        <f>IF(VLOOKUP(F298,ProductsRange,3,FALSE)="Special Offer",SpecialOffer(F298,7,"FY-2"),MIN(F228,F243*capacity))</f>
        <v>0</v>
      </c>
      <c r="G318" s="193">
        <f>IF(VLOOKUP(G298,ProductsRange,3,FALSE)="Special Offer",SpecialOffer(G298,7,"FY-2"),MIN(G228,G243*capacity))</f>
        <v>0</v>
      </c>
      <c r="H318" s="193">
        <f>IF(VLOOKUP(H298,ProductsRange,3,FALSE)="Special Offer",SpecialOffer(H298,7,"FY-2"),MIN(H228,H243*capacity))</f>
        <v>0</v>
      </c>
      <c r="I318" s="193">
        <f>IF(VLOOKUP(I298,ProductsRange,3,FALSE)="Special Offer",SpecialOffer(I298,7,"FY-2"),MIN(I228,I243*capacity))</f>
        <v>0</v>
      </c>
      <c r="J318" s="193">
        <f>IF(VLOOKUP(J298,ProductsRange,3,FALSE)="Special Offer",SpecialOffer(J298,7,"FY-2"),MIN(J228,J243*capacity))</f>
        <v>5955.3071424000009</v>
      </c>
      <c r="K318" s="193">
        <f>IF(VLOOKUP(K298,ProductsRange,3,FALSE)="Special Offer",SpecialOffer(K298,7,"FY-2"),MIN(K228,K243*capacity))</f>
        <v>6182.4985419339801</v>
      </c>
      <c r="L318" s="193">
        <f>IF(VLOOKUP(L298,ProductsRange,3,FALSE)="Special Offer",SpecialOffer(L298,7,"FY-2"),MIN(L228,L243*capacity))</f>
        <v>115.40690879999966</v>
      </c>
      <c r="M318" s="307"/>
      <c r="N318" s="194"/>
      <c r="O318" s="199"/>
      <c r="P318" s="199"/>
      <c r="R318" s="312"/>
      <c r="S318" s="312"/>
    </row>
    <row r="319" spans="1:19" hidden="1">
      <c r="A319" s="198"/>
      <c r="B319" s="346" t="s">
        <v>34</v>
      </c>
      <c r="C319" s="190" t="s">
        <v>40</v>
      </c>
      <c r="D319" s="193">
        <f>IF(VLOOKUP(D298,ProductsRange,3,FALSE)="Special Offer",SpecialOffer(D298,8,"FY-2"),MIN(D229,D244*capacity))</f>
        <v>1369.2859488000001</v>
      </c>
      <c r="E319" s="193">
        <f>IF(VLOOKUP(E298,ProductsRange,3,FALSE)="Special Offer",SpecialOffer(E298,8,"FY-2"),MIN(E229,E244*capacity))</f>
        <v>1364.040344287024</v>
      </c>
      <c r="F319" s="193">
        <f>IF(VLOOKUP(F298,ProductsRange,3,FALSE)="Special Offer",SpecialOffer(F298,8,"FY-2"),MIN(F229,F244*capacity))</f>
        <v>0</v>
      </c>
      <c r="G319" s="193">
        <f>IF(VLOOKUP(G298,ProductsRange,3,FALSE)="Special Offer",SpecialOffer(G298,8,"FY-2"),MIN(G229,G244*capacity))</f>
        <v>0</v>
      </c>
      <c r="H319" s="193">
        <f>IF(VLOOKUP(H298,ProductsRange,3,FALSE)="Special Offer",SpecialOffer(H298,8,"FY-2"),MIN(H229,H244*capacity))</f>
        <v>0</v>
      </c>
      <c r="I319" s="193">
        <f>IF(VLOOKUP(I298,ProductsRange,3,FALSE)="Special Offer",SpecialOffer(I298,8,"FY-2"),MIN(I229,I244*capacity))</f>
        <v>0</v>
      </c>
      <c r="J319" s="193">
        <f>IF(VLOOKUP(J298,ProductsRange,3,FALSE)="Special Offer",SpecialOffer(J298,8,"FY-2"),MIN(J229,J244*capacity))</f>
        <v>7146.3685708800003</v>
      </c>
      <c r="K319" s="193">
        <f>IF(VLOOKUP(K298,ProductsRange,3,FALSE)="Special Offer",SpecialOffer(K298,8,"FY-2"),MIN(K229,K244*capacity))</f>
        <v>7315.9596557129762</v>
      </c>
      <c r="L319" s="193">
        <f>IF(VLOOKUP(L298,ProductsRange,3,FALSE)="Special Offer",SpecialOffer(L298,8,"FY-2"),MIN(L229,L244*capacity))</f>
        <v>164.34548032000021</v>
      </c>
      <c r="M319" s="307"/>
      <c r="N319" s="194"/>
      <c r="O319" s="199"/>
      <c r="P319" s="199"/>
      <c r="R319" s="312"/>
      <c r="S319" s="312"/>
    </row>
    <row r="320" spans="1:19" hidden="1">
      <c r="A320" s="198"/>
      <c r="B320" s="346" t="s">
        <v>34</v>
      </c>
      <c r="C320" s="190" t="s">
        <v>39</v>
      </c>
      <c r="D320" s="193">
        <f>IF(VLOOKUP(D298,ProductsRange,3,FALSE)="Special Offer",SpecialOffer(D298,9,"FY-2"),MIN(D230,D245*capacity))</f>
        <v>1369.2859488000001</v>
      </c>
      <c r="E320" s="193">
        <f>IF(VLOOKUP(E298,ProductsRange,3,FALSE)="Special Offer",SpecialOffer(E298,9,"FY-2"),MIN(E230,E245*capacity))</f>
        <v>1364.040344287024</v>
      </c>
      <c r="F320" s="193">
        <f>IF(VLOOKUP(F298,ProductsRange,3,FALSE)="Special Offer",SpecialOffer(F298,9,"FY-2"),MIN(F230,F245*capacity))</f>
        <v>0</v>
      </c>
      <c r="G320" s="193">
        <f>IF(VLOOKUP(G298,ProductsRange,3,FALSE)="Special Offer",SpecialOffer(G298,9,"FY-2"),MIN(G230,G245*capacity))</f>
        <v>0</v>
      </c>
      <c r="H320" s="193">
        <f>IF(VLOOKUP(H298,ProductsRange,3,FALSE)="Special Offer",SpecialOffer(H298,9,"FY-2"),MIN(H230,H245*capacity))</f>
        <v>0</v>
      </c>
      <c r="I320" s="193">
        <f>IF(VLOOKUP(I298,ProductsRange,3,FALSE)="Special Offer",SpecialOffer(I298,9,"FY-2"),MIN(I230,I245*capacity))</f>
        <v>0</v>
      </c>
      <c r="J320" s="193">
        <f>IF(VLOOKUP(J298,ProductsRange,3,FALSE)="Special Offer",SpecialOffer(J298,9,"FY-2"),MIN(J230,J245*capacity))</f>
        <v>7146.3685708800003</v>
      </c>
      <c r="K320" s="193">
        <f>IF(VLOOKUP(K298,ProductsRange,3,FALSE)="Special Offer",SpecialOffer(K298,9,"FY-2"),MIN(K230,K245*capacity))</f>
        <v>7315.9596557129762</v>
      </c>
      <c r="L320" s="193">
        <f>IF(VLOOKUP(L298,ProductsRange,3,FALSE)="Special Offer",SpecialOffer(L298,9,"FY-2"),MIN(L230,L245*capacity))</f>
        <v>164.34548032000021</v>
      </c>
      <c r="M320" s="307"/>
      <c r="N320" s="194"/>
      <c r="O320" s="199"/>
      <c r="P320" s="199"/>
      <c r="R320" s="312"/>
      <c r="S320" s="312"/>
    </row>
    <row r="321" spans="1:19" hidden="1">
      <c r="A321" s="198"/>
      <c r="B321" s="346" t="s">
        <v>34</v>
      </c>
      <c r="C321" s="190" t="s">
        <v>38</v>
      </c>
      <c r="D321" s="193">
        <f>IF(VLOOKUP(D298,ProductsRange,3,FALSE)="Special Offer",SpecialOffer(D298,10,"FY-2"),MIN(D231,D246*capacity))</f>
        <v>1286.2788144895717</v>
      </c>
      <c r="E321" s="193">
        <f>IF(VLOOKUP(E298,ProductsRange,3,FALSE)="Special Offer",SpecialOffer(E298,10,"FY-2"),MIN(E231,E246*capacity))</f>
        <v>1443.4556043600001</v>
      </c>
      <c r="F321" s="193">
        <f>IF(VLOOKUP(F298,ProductsRange,3,FALSE)="Special Offer",SpecialOffer(F298,10,"FY-2"),MIN(F231,F246*capacity))</f>
        <v>0</v>
      </c>
      <c r="G321" s="193">
        <f>IF(VLOOKUP(G298,ProductsRange,3,FALSE)="Special Offer",SpecialOffer(G298,10,"FY-2"),MIN(G231,G246*capacity))</f>
        <v>0</v>
      </c>
      <c r="H321" s="193">
        <f>IF(VLOOKUP(H298,ProductsRange,3,FALSE)="Special Offer",SpecialOffer(H298,10,"FY-2"),MIN(H231,H246*capacity))</f>
        <v>0</v>
      </c>
      <c r="I321" s="193">
        <f>IF(VLOOKUP(I298,ProductsRange,3,FALSE)="Special Offer",SpecialOffer(I298,10,"FY-2"),MIN(I231,I246*capacity))</f>
        <v>0</v>
      </c>
      <c r="J321" s="193">
        <f>IF(VLOOKUP(J298,ProductsRange,3,FALSE)="Special Offer",SpecialOffer(J298,10,"FY-2"),MIN(J231,J246*capacity))</f>
        <v>6153.7211855104279</v>
      </c>
      <c r="K321" s="193">
        <f>IF(VLOOKUP(K298,ProductsRange,3,FALSE)="Special Offer",SpecialOffer(K298,10,"FY-2"),MIN(K231,K246*capacity))</f>
        <v>7096.7410113600008</v>
      </c>
      <c r="L321" s="193">
        <f>IF(VLOOKUP(L298,ProductsRange,3,FALSE)="Special Offer",SpecialOffer(L298,10,"FY-2"),MIN(L231,L246*capacity))</f>
        <v>139.80338427999959</v>
      </c>
      <c r="M321" s="307"/>
      <c r="N321" s="194"/>
      <c r="O321" s="199"/>
      <c r="P321" s="199"/>
      <c r="R321" s="312"/>
      <c r="S321" s="312"/>
    </row>
    <row r="322" spans="1:19" hidden="1">
      <c r="A322" s="198"/>
      <c r="B322" s="346" t="s">
        <v>34</v>
      </c>
      <c r="C322" s="190" t="s">
        <v>37</v>
      </c>
      <c r="D322" s="193">
        <f>IF(VLOOKUP(D298,ProductsRange,3,FALSE)="Special Offer",SpecialOffer(D298,11,"FY-2"),MIN(D232,D247*capacity))</f>
        <v>927.240356083086</v>
      </c>
      <c r="E322" s="193">
        <f>IF(VLOOKUP(E298,ProductsRange,3,FALSE)="Special Offer",SpecialOffer(E298,11,"FY-2"),MIN(E232,E247*capacity))</f>
        <v>838.3343053773475</v>
      </c>
      <c r="F322" s="193">
        <f>IF(VLOOKUP(F298,ProductsRange,3,FALSE)="Special Offer",SpecialOffer(F298,11,"FY-2"),MIN(F232,F247*capacity))</f>
        <v>0</v>
      </c>
      <c r="G322" s="193">
        <f>IF(VLOOKUP(G298,ProductsRange,3,FALSE)="Special Offer",SpecialOffer(G298,11,"FY-2"),MIN(G232,G247*capacity))</f>
        <v>0</v>
      </c>
      <c r="H322" s="193">
        <f>IF(VLOOKUP(H298,ProductsRange,3,FALSE)="Special Offer",SpecialOffer(H298,11,"FY-2"),MIN(H232,H247*capacity))</f>
        <v>0</v>
      </c>
      <c r="I322" s="193">
        <f>IF(VLOOKUP(I298,ProductsRange,3,FALSE)="Special Offer",SpecialOffer(I298,11,"FY-2"),MIN(I232,I247*capacity))</f>
        <v>0</v>
      </c>
      <c r="J322" s="193">
        <f>IF(VLOOKUP(J298,ProductsRange,3,FALSE)="Special Offer",SpecialOffer(J298,11,"FY-2"),MIN(J232,J247*capacity))</f>
        <v>4032.7596439169138</v>
      </c>
      <c r="K322" s="193">
        <f>IF(VLOOKUP(K298,ProductsRange,3,FALSE)="Special Offer",SpecialOffer(K298,11,"FY-2"),MIN(K232,K247*capacity))</f>
        <v>4121.6656946226531</v>
      </c>
      <c r="L322" s="193">
        <f>IF(VLOOKUP(L298,ProductsRange,3,FALSE)="Special Offer",SpecialOffer(L298,11,"FY-2"),MIN(L232,L247*capacity))</f>
        <v>0</v>
      </c>
      <c r="M322" s="307"/>
      <c r="N322" s="194"/>
      <c r="O322" s="199"/>
      <c r="P322" s="199"/>
      <c r="R322" s="312"/>
      <c r="S322" s="312"/>
    </row>
    <row r="323" spans="1:19" hidden="1">
      <c r="A323" s="198"/>
      <c r="B323" s="346" t="s">
        <v>34</v>
      </c>
      <c r="C323" s="190" t="s">
        <v>36</v>
      </c>
      <c r="D323" s="193">
        <f>IF(VLOOKUP(D298,ProductsRange,3,FALSE)="Special Offer",SpecialOffer(D298,12,"FY-2"),MIN(D233,D248*capacity))</f>
        <v>927.240356083086</v>
      </c>
      <c r="E323" s="193">
        <f>IF(VLOOKUP(E298,ProductsRange,3,FALSE)="Special Offer",SpecialOffer(E298,12,"FY-2"),MIN(E233,E248*capacity))</f>
        <v>838.3343053773475</v>
      </c>
      <c r="F323" s="193">
        <f>IF(VLOOKUP(F298,ProductsRange,3,FALSE)="Special Offer",SpecialOffer(F298,12,"FY-2"),MIN(F233,F248*capacity))</f>
        <v>0</v>
      </c>
      <c r="G323" s="193">
        <f>IF(VLOOKUP(G298,ProductsRange,3,FALSE)="Special Offer",SpecialOffer(G298,12,"FY-2"),MIN(G233,G248*capacity))</f>
        <v>0</v>
      </c>
      <c r="H323" s="193">
        <f>IF(VLOOKUP(H298,ProductsRange,3,FALSE)="Special Offer",SpecialOffer(H298,12,"FY-2"),MIN(H233,H248*capacity))</f>
        <v>0</v>
      </c>
      <c r="I323" s="193">
        <f>IF(VLOOKUP(I298,ProductsRange,3,FALSE)="Special Offer",SpecialOffer(I298,12,"FY-2"),MIN(I233,I248*capacity))</f>
        <v>0</v>
      </c>
      <c r="J323" s="193">
        <f>IF(VLOOKUP(J298,ProductsRange,3,FALSE)="Special Offer",SpecialOffer(J298,12,"FY-2"),MIN(J233,J248*capacity))</f>
        <v>4032.7596439169138</v>
      </c>
      <c r="K323" s="193">
        <f>IF(VLOOKUP(K298,ProductsRange,3,FALSE)="Special Offer",SpecialOffer(K298,12,"FY-2"),MIN(K233,K248*capacity))</f>
        <v>4121.6656946226531</v>
      </c>
      <c r="L323" s="193">
        <f>IF(VLOOKUP(L298,ProductsRange,3,FALSE)="Special Offer",SpecialOffer(L298,12,"FY-2"),MIN(L233,L248*capacity))</f>
        <v>0</v>
      </c>
      <c r="M323" s="307"/>
      <c r="N323" s="194"/>
      <c r="O323" s="199"/>
      <c r="P323" s="199"/>
      <c r="R323" s="312"/>
      <c r="S323" s="312"/>
    </row>
    <row r="324" spans="1:19" hidden="1">
      <c r="A324" s="198"/>
      <c r="B324" s="346" t="s">
        <v>33</v>
      </c>
      <c r="C324" s="187" t="s">
        <v>47</v>
      </c>
      <c r="D324" s="193">
        <f>IF(VLOOKUP(D298,ProductsRange,3,FALSE)="Special Offer",SpecialOffer(D298,1,"FY-3"),MIN(D267,D282*capacity))</f>
        <v>865.1787648970751</v>
      </c>
      <c r="E324" s="193">
        <f>IF(VLOOKUP(E298,ProductsRange,3,FALSE)="Special Offer",SpecialOffer(E298,1,"FY-3"),MIN(E267,E282*capacity))</f>
        <v>740.35431586882783</v>
      </c>
      <c r="F324" s="193">
        <f>IF(VLOOKUP(F298,ProductsRange,3,FALSE)="Special Offer",SpecialOffer(F298,1,"FY-3"),MIN(F267,F282*capacity))</f>
        <v>0</v>
      </c>
      <c r="G324" s="193">
        <f>IF(VLOOKUP(G298,ProductsRange,3,FALSE)="Special Offer",SpecialOffer(G298,1,"FY-3"),MIN(G267,G282*capacity))</f>
        <v>0</v>
      </c>
      <c r="H324" s="193">
        <f>IF(VLOOKUP(H298,ProductsRange,3,FALSE)="Special Offer",SpecialOffer(H298,1,"FY-3"),MIN(H267,H282*capacity))</f>
        <v>0</v>
      </c>
      <c r="I324" s="193">
        <f>IF(VLOOKUP(I298,ProductsRange,3,FALSE)="Special Offer",SpecialOffer(I298,1,"FY-3"),MIN(I267,I282*capacity))</f>
        <v>0</v>
      </c>
      <c r="J324" s="193">
        <f>IF(VLOOKUP(J298,ProductsRange,3,FALSE)="Special Offer",SpecialOffer(J298,1,"FY-3"),MIN(J267,J282*capacity))</f>
        <v>2854.8212351029251</v>
      </c>
      <c r="K324" s="193">
        <f>IF(VLOOKUP(K298,ProductsRange,3,FALSE)="Special Offer",SpecialOffer(K298,1,"FY-3"),MIN(K267,K282*capacity))</f>
        <v>2979.6456841311724</v>
      </c>
      <c r="L324" s="193">
        <f>IF(VLOOKUP(L298,ProductsRange,3,FALSE)="Special Offer",SpecialOffer(L298,1,"FY-3"),MIN(L267,L282*capacity))</f>
        <v>0</v>
      </c>
      <c r="M324" s="307"/>
      <c r="N324" s="194"/>
      <c r="O324" s="199"/>
      <c r="P324" s="199"/>
      <c r="R324" s="312"/>
      <c r="S324" s="312"/>
    </row>
    <row r="325" spans="1:19" hidden="1">
      <c r="A325" s="184"/>
      <c r="B325" s="346" t="s">
        <v>33</v>
      </c>
      <c r="C325" s="187" t="s">
        <v>46</v>
      </c>
      <c r="D325" s="193">
        <f>IF(VLOOKUP(D298,ProductsRange,3,FALSE)="Special Offer",SpecialOffer(D298,2,"FY-3"),MIN(D268,D283*capacity))</f>
        <v>865.1787648970751</v>
      </c>
      <c r="E325" s="193">
        <f>IF(VLOOKUP(E298,ProductsRange,3,FALSE)="Special Offer",SpecialOffer(E298,2,"FY-3"),MIN(E268,E283*capacity))</f>
        <v>740.35431586882783</v>
      </c>
      <c r="F325" s="193">
        <f>IF(VLOOKUP(F298,ProductsRange,3,FALSE)="Special Offer",SpecialOffer(F298,2,"FY-3"),MIN(F268,F283*capacity))</f>
        <v>0</v>
      </c>
      <c r="G325" s="193">
        <f>IF(VLOOKUP(G298,ProductsRange,3,FALSE)="Special Offer",SpecialOffer(G298,2,"FY-3"),MIN(G268,G283*capacity))</f>
        <v>0</v>
      </c>
      <c r="H325" s="193">
        <f>IF(VLOOKUP(H298,ProductsRange,3,FALSE)="Special Offer",SpecialOffer(H298,2,"FY-3"),MIN(H268,H283*capacity))</f>
        <v>0</v>
      </c>
      <c r="I325" s="193">
        <f>IF(VLOOKUP(I298,ProductsRange,3,FALSE)="Special Offer",SpecialOffer(I298,2,"FY-3"),MIN(I268,I283*capacity))</f>
        <v>0</v>
      </c>
      <c r="J325" s="193">
        <f>IF(VLOOKUP(J298,ProductsRange,3,FALSE)="Special Offer",SpecialOffer(J298,2,"FY-3"),MIN(J268,J283*capacity))</f>
        <v>2854.8212351029251</v>
      </c>
      <c r="K325" s="193">
        <f>IF(VLOOKUP(K298,ProductsRange,3,FALSE)="Special Offer",SpecialOffer(K298,2,"FY-3"),MIN(K268,K283*capacity))</f>
        <v>2979.6456841311724</v>
      </c>
      <c r="L325" s="193">
        <f>IF(VLOOKUP(L298,ProductsRange,3,FALSE)="Special Offer",SpecialOffer(L298,2,"FY-3"),MIN(L268,L283*capacity))</f>
        <v>0</v>
      </c>
      <c r="M325" s="307"/>
      <c r="N325" s="194"/>
      <c r="O325" s="199"/>
      <c r="P325" s="199"/>
      <c r="R325" s="312"/>
      <c r="S325" s="312"/>
    </row>
    <row r="326" spans="1:19" hidden="1">
      <c r="A326" s="184"/>
      <c r="B326" s="346" t="s">
        <v>33</v>
      </c>
      <c r="C326" s="190" t="s">
        <v>45</v>
      </c>
      <c r="D326" s="193">
        <f>IF(VLOOKUP(D298,ProductsRange,3,FALSE)="Special Offer",SpecialOffer(D298,3,"FY-3"),MIN(D269,D284*capacity))</f>
        <v>1000.0751408891675</v>
      </c>
      <c r="E326" s="193">
        <f>IF(VLOOKUP(E298,ProductsRange,3,FALSE)="Special Offer",SpecialOffer(E298,3,"FY-3"),MIN(E269,E284*capacity))</f>
        <v>834.61238784</v>
      </c>
      <c r="F326" s="193">
        <f>IF(VLOOKUP(F298,ProductsRange,3,FALSE)="Special Offer",SpecialOffer(F298,3,"FY-3"),MIN(F269,F284*capacity))</f>
        <v>0</v>
      </c>
      <c r="G326" s="193">
        <f>IF(VLOOKUP(G298,ProductsRange,3,FALSE)="Special Offer",SpecialOffer(G298,3,"FY-3"),MIN(G269,G284*capacity))</f>
        <v>0</v>
      </c>
      <c r="H326" s="193">
        <f>IF(VLOOKUP(H298,ProductsRange,3,FALSE)="Special Offer",SpecialOffer(H298,3,"FY-3"),MIN(H269,H284*capacity))</f>
        <v>0</v>
      </c>
      <c r="I326" s="193">
        <f>IF(VLOOKUP(I298,ProductsRange,3,FALSE)="Special Offer",SpecialOffer(I298,3,"FY-3"),MIN(I269,I284*capacity))</f>
        <v>0</v>
      </c>
      <c r="J326" s="193">
        <f>IF(VLOOKUP(J298,ProductsRange,3,FALSE)="Special Offer",SpecialOffer(J298,3,"FY-3"),MIN(J269,J284*capacity))</f>
        <v>3959.924859110833</v>
      </c>
      <c r="K326" s="193">
        <f>IF(VLOOKUP(K298,ProductsRange,3,FALSE)="Special Offer",SpecialOffer(K298,3,"FY-3"),MIN(K269,K284*capacity))</f>
        <v>4030.7984639999995</v>
      </c>
      <c r="L326" s="193">
        <f>IF(VLOOKUP(L298,ProductsRange,3,FALSE)="Special Offer",SpecialOffer(L298,3,"FY-3"),MIN(L269,L284*capacity))</f>
        <v>94.589148160001059</v>
      </c>
      <c r="M326" s="307"/>
      <c r="O326" s="191"/>
      <c r="P326" s="191"/>
      <c r="R326" s="191"/>
      <c r="S326" s="191"/>
    </row>
    <row r="327" spans="1:19" hidden="1">
      <c r="A327" s="195"/>
      <c r="B327" s="346" t="s">
        <v>33</v>
      </c>
      <c r="C327" s="190" t="s">
        <v>44</v>
      </c>
      <c r="D327" s="193">
        <f>IF(VLOOKUP(D298,ProductsRange,3,FALSE)="Special Offer",SpecialOffer(D298,4,"FY-3"),MIN(D270,D285*capacity))</f>
        <v>882.63056092843351</v>
      </c>
      <c r="E327" s="193">
        <f>IF(VLOOKUP(E298,ProductsRange,3,FALSE)="Special Offer",SpecialOffer(E298,4,"FY-3"),MIN(E270,E285*capacity))</f>
        <v>850.83820662768039</v>
      </c>
      <c r="F327" s="193">
        <f>IF(VLOOKUP(F298,ProductsRange,3,FALSE)="Special Offer",SpecialOffer(F298,4,"FY-3"),MIN(F270,F285*capacity))</f>
        <v>0</v>
      </c>
      <c r="G327" s="193">
        <f>IF(VLOOKUP(G298,ProductsRange,3,FALSE)="Special Offer",SpecialOffer(G298,4,"FY-3"),MIN(G270,G285*capacity))</f>
        <v>0</v>
      </c>
      <c r="H327" s="193">
        <f>IF(VLOOKUP(H298,ProductsRange,3,FALSE)="Special Offer",SpecialOffer(H298,4,"FY-3"),MIN(H270,H285*capacity))</f>
        <v>0</v>
      </c>
      <c r="I327" s="193">
        <f>IF(VLOOKUP(I298,ProductsRange,3,FALSE)="Special Offer",SpecialOffer(I298,4,"FY-3"),MIN(I270,I285*capacity))</f>
        <v>0</v>
      </c>
      <c r="J327" s="193">
        <f>IF(VLOOKUP(J298,ProductsRange,3,FALSE)="Special Offer",SpecialOffer(J298,4,"FY-3"),MIN(J270,J285*capacity))</f>
        <v>4077.3694390715668</v>
      </c>
      <c r="K327" s="193">
        <f>IF(VLOOKUP(K298,ProductsRange,3,FALSE)="Special Offer",SpecialOffer(K298,4,"FY-3"),MIN(K270,K285*capacity))</f>
        <v>4109.1617933723192</v>
      </c>
      <c r="L327" s="193">
        <f>IF(VLOOKUP(L298,ProductsRange,3,FALSE)="Special Offer",SpecialOffer(L298,4,"FY-3"),MIN(L270,L285*capacity))</f>
        <v>0</v>
      </c>
      <c r="M327" s="307"/>
      <c r="O327" s="191"/>
      <c r="P327" s="191"/>
      <c r="R327" s="191"/>
      <c r="S327" s="191"/>
    </row>
    <row r="328" spans="1:19" hidden="1">
      <c r="A328" s="195"/>
      <c r="B328" s="346" t="s">
        <v>33</v>
      </c>
      <c r="C328" s="190" t="s">
        <v>43</v>
      </c>
      <c r="D328" s="193">
        <f>IF(VLOOKUP(D298,ProductsRange,3,FALSE)="Special Offer",SpecialOffer(D298,5,"FY-3"),MIN(D271,D286*capacity))</f>
        <v>1103.2882011605418</v>
      </c>
      <c r="E328" s="193">
        <f>IF(VLOOKUP(E298,ProductsRange,3,FALSE)="Special Offer",SpecialOffer(E298,5,"FY-3"),MIN(E271,E286*capacity))</f>
        <v>1063.5477582846006</v>
      </c>
      <c r="F328" s="193">
        <f>IF(VLOOKUP(F298,ProductsRange,3,FALSE)="Special Offer",SpecialOffer(F298,5,"FY-3"),MIN(F271,F286*capacity))</f>
        <v>0</v>
      </c>
      <c r="G328" s="193">
        <f>IF(VLOOKUP(G298,ProductsRange,3,FALSE)="Special Offer",SpecialOffer(G298,5,"FY-3"),MIN(G271,G286*capacity))</f>
        <v>0</v>
      </c>
      <c r="H328" s="193">
        <f>IF(VLOOKUP(H298,ProductsRange,3,FALSE)="Special Offer",SpecialOffer(H298,5,"FY-3"),MIN(H271,H286*capacity))</f>
        <v>0</v>
      </c>
      <c r="I328" s="193">
        <f>IF(VLOOKUP(I298,ProductsRange,3,FALSE)="Special Offer",SpecialOffer(I298,5,"FY-3"),MIN(I271,I286*capacity))</f>
        <v>0</v>
      </c>
      <c r="J328" s="193">
        <f>IF(VLOOKUP(J298,ProductsRange,3,FALSE)="Special Offer",SpecialOffer(J298,5,"FY-3"),MIN(J271,J286*capacity))</f>
        <v>5096.7117988394575</v>
      </c>
      <c r="K328" s="193">
        <f>IF(VLOOKUP(K298,ProductsRange,3,FALSE)="Special Offer",SpecialOffer(K298,5,"FY-3"),MIN(K271,K286*capacity))</f>
        <v>5136.4522417153994</v>
      </c>
      <c r="L328" s="193">
        <f>IF(VLOOKUP(L298,ProductsRange,3,FALSE)="Special Offer",SpecialOffer(L298,5,"FY-3"),MIN(L271,L286*capacity))</f>
        <v>0</v>
      </c>
      <c r="M328" s="193"/>
      <c r="O328" s="191"/>
      <c r="P328" s="191"/>
      <c r="R328" s="191"/>
      <c r="S328" s="191"/>
    </row>
    <row r="329" spans="1:19" hidden="1">
      <c r="A329" s="195"/>
      <c r="B329" s="346" t="s">
        <v>33</v>
      </c>
      <c r="C329" s="190" t="s">
        <v>42</v>
      </c>
      <c r="D329" s="193">
        <f>IF(VLOOKUP(D298,ProductsRange,3,FALSE)="Special Offer",SpecialOffer(D298,6,"FY-3"),MIN(D272,D287*capacity))</f>
        <v>1323.9458413926502</v>
      </c>
      <c r="E329" s="193">
        <f>IF(VLOOKUP(E298,ProductsRange,3,FALSE)="Special Offer",SpecialOffer(E298,6,"FY-3"),MIN(E272,E287*capacity))</f>
        <v>1276.2573099415206</v>
      </c>
      <c r="F329" s="193">
        <f>IF(VLOOKUP(F298,ProductsRange,3,FALSE)="Special Offer",SpecialOffer(F298,6,"FY-3"),MIN(F272,F287*capacity))</f>
        <v>0</v>
      </c>
      <c r="G329" s="193">
        <f>IF(VLOOKUP(G298,ProductsRange,3,FALSE)="Special Offer",SpecialOffer(G298,6,"FY-3"),MIN(G272,G287*capacity))</f>
        <v>0</v>
      </c>
      <c r="H329" s="193">
        <f>IF(VLOOKUP(H298,ProductsRange,3,FALSE)="Special Offer",SpecialOffer(H298,6,"FY-3"),MIN(H272,H287*capacity))</f>
        <v>0</v>
      </c>
      <c r="I329" s="193">
        <f>IF(VLOOKUP(I298,ProductsRange,3,FALSE)="Special Offer",SpecialOffer(I298,6,"FY-3"),MIN(I272,I287*capacity))</f>
        <v>0</v>
      </c>
      <c r="J329" s="193">
        <f>IF(VLOOKUP(J298,ProductsRange,3,FALSE)="Special Offer",SpecialOffer(J298,6,"FY-3"),MIN(J272,J287*capacity))</f>
        <v>6116.0541586073496</v>
      </c>
      <c r="K329" s="193">
        <f>IF(VLOOKUP(K298,ProductsRange,3,FALSE)="Special Offer",SpecialOffer(K298,6,"FY-3"),MIN(K272,K287*capacity))</f>
        <v>6163.7426900584796</v>
      </c>
      <c r="L329" s="193">
        <f>IF(VLOOKUP(L298,ProductsRange,3,FALSE)="Special Offer",SpecialOffer(L298,6,"FY-3"),MIN(L272,L287*capacity))</f>
        <v>0</v>
      </c>
      <c r="M329" s="193"/>
      <c r="O329" s="191"/>
      <c r="P329" s="191"/>
      <c r="R329" s="191"/>
      <c r="S329" s="191"/>
    </row>
    <row r="330" spans="1:19" hidden="1">
      <c r="A330" s="198"/>
      <c r="B330" s="346" t="s">
        <v>33</v>
      </c>
      <c r="C330" s="190" t="s">
        <v>41</v>
      </c>
      <c r="D330" s="193">
        <f>IF(VLOOKUP(D298,ProductsRange,3,FALSE)="Special Offer",SpecialOffer(D298,7,"FY-3"),MIN(D273,D288*capacity))</f>
        <v>1323.9458413926502</v>
      </c>
      <c r="E330" s="193">
        <f>IF(VLOOKUP(E298,ProductsRange,3,FALSE)="Special Offer",SpecialOffer(E298,7,"FY-3"),MIN(E273,E288*capacity))</f>
        <v>1276.2573099415206</v>
      </c>
      <c r="F330" s="193">
        <f>IF(VLOOKUP(F298,ProductsRange,3,FALSE)="Special Offer",SpecialOffer(F298,7,"FY-3"),MIN(F273,F288*capacity))</f>
        <v>0</v>
      </c>
      <c r="G330" s="193">
        <f>IF(VLOOKUP(G298,ProductsRange,3,FALSE)="Special Offer",SpecialOffer(G298,7,"FY-3"),MIN(G273,G288*capacity))</f>
        <v>0</v>
      </c>
      <c r="H330" s="193">
        <f>IF(VLOOKUP(H298,ProductsRange,3,FALSE)="Special Offer",SpecialOffer(H298,7,"FY-3"),MIN(H273,H288*capacity))</f>
        <v>0</v>
      </c>
      <c r="I330" s="193">
        <f>IF(VLOOKUP(I298,ProductsRange,3,FALSE)="Special Offer",SpecialOffer(I298,7,"FY-3"),MIN(I273,I288*capacity))</f>
        <v>0</v>
      </c>
      <c r="J330" s="193">
        <f>IF(VLOOKUP(J298,ProductsRange,3,FALSE)="Special Offer",SpecialOffer(J298,7,"FY-3"),MIN(J273,J288*capacity))</f>
        <v>6116.0541586073496</v>
      </c>
      <c r="K330" s="193">
        <f>IF(VLOOKUP(K298,ProductsRange,3,FALSE)="Special Offer",SpecialOffer(K298,7,"FY-3"),MIN(K273,K288*capacity))</f>
        <v>6163.7426900584796</v>
      </c>
      <c r="L330" s="193">
        <f>IF(VLOOKUP(L298,ProductsRange,3,FALSE)="Special Offer",SpecialOffer(L298,7,"FY-3"),MIN(L273,L288*capacity))</f>
        <v>0</v>
      </c>
      <c r="M330" s="307"/>
      <c r="N330" s="194"/>
      <c r="O330" s="199"/>
      <c r="P330" s="199"/>
      <c r="R330" s="312"/>
      <c r="S330" s="312"/>
    </row>
    <row r="331" spans="1:19" hidden="1">
      <c r="A331" s="198"/>
      <c r="B331" s="346" t="s">
        <v>33</v>
      </c>
      <c r="C331" s="190" t="s">
        <v>40</v>
      </c>
      <c r="D331" s="193">
        <f>IF(VLOOKUP(D298,ProductsRange,3,FALSE)="Special Offer",SpecialOffer(D298,8,"FY-3"),MIN(D274,D289*capacity))</f>
        <v>1326.5116279069771</v>
      </c>
      <c r="E331" s="193">
        <f>IF(VLOOKUP(E298,ProductsRange,3,FALSE)="Special Offer",SpecialOffer(E298,8,"FY-3"),MIN(E274,E289*capacity))</f>
        <v>1384.6802900461441</v>
      </c>
      <c r="F331" s="193">
        <f>IF(VLOOKUP(F298,ProductsRange,3,FALSE)="Special Offer",SpecialOffer(F298,8,"FY-3"),MIN(F274,F289*capacity))</f>
        <v>1138.1078016000001</v>
      </c>
      <c r="G331" s="193">
        <f>IF(VLOOKUP(G298,ProductsRange,3,FALSE)="Special Offer",SpecialOffer(G298,8,"FY-3"),MIN(G274,G289*capacity))</f>
        <v>0</v>
      </c>
      <c r="H331" s="193">
        <f>IF(VLOOKUP(H298,ProductsRange,3,FALSE)="Special Offer",SpecialOffer(H298,8,"FY-3"),MIN(H274,H289*capacity))</f>
        <v>0</v>
      </c>
      <c r="I331" s="193">
        <f>IF(VLOOKUP(I298,ProductsRange,3,FALSE)="Special Offer",SpecialOffer(I298,8,"FY-3"),MIN(I274,I289*capacity))</f>
        <v>1062.2339481600002</v>
      </c>
      <c r="J331" s="193">
        <f>IF(VLOOKUP(J298,ProductsRange,3,FALSE)="Special Offer",SpecialOffer(J298,8,"FY-3"),MIN(J274,J289*capacity))</f>
        <v>7353.4883720930229</v>
      </c>
      <c r="K331" s="193">
        <f>IF(VLOOKUP(K298,ProductsRange,3,FALSE)="Special Offer",SpecialOffer(K298,8,"FY-3"),MIN(K274,K289*capacity))</f>
        <v>7295.3197099538565</v>
      </c>
      <c r="L331" s="193">
        <f>IF(VLOOKUP(L298,ProductsRange,3,FALSE)="Special Offer",SpecialOffer(L298,8,"FY-3"),MIN(L274,L289*capacity))</f>
        <v>279.65825023999787</v>
      </c>
      <c r="M331" s="307"/>
      <c r="N331" s="194"/>
      <c r="O331" s="199"/>
      <c r="P331" s="199"/>
      <c r="R331" s="312"/>
      <c r="S331" s="312"/>
    </row>
    <row r="332" spans="1:19" hidden="1">
      <c r="A332" s="198"/>
      <c r="B332" s="346" t="s">
        <v>33</v>
      </c>
      <c r="C332" s="190" t="s">
        <v>39</v>
      </c>
      <c r="D332" s="193">
        <f>IF(VLOOKUP(D298,ProductsRange,3,FALSE)="Special Offer",SpecialOffer(D298,9,"FY-3"),MIN(D275,D290*capacity))</f>
        <v>1326.5116279069771</v>
      </c>
      <c r="E332" s="193">
        <f>IF(VLOOKUP(E298,ProductsRange,3,FALSE)="Special Offer",SpecialOffer(E298,9,"FY-3"),MIN(E275,E290*capacity))</f>
        <v>1384.6802900461441</v>
      </c>
      <c r="F332" s="193">
        <f>IF(VLOOKUP(F298,ProductsRange,3,FALSE)="Special Offer",SpecialOffer(F298,9,"FY-3"),MIN(F275,F290*capacity))</f>
        <v>1138.1078016000001</v>
      </c>
      <c r="G332" s="193">
        <f>IF(VLOOKUP(G298,ProductsRange,3,FALSE)="Special Offer",SpecialOffer(G298,9,"FY-3"),MIN(G275,G290*capacity))</f>
        <v>0</v>
      </c>
      <c r="H332" s="193">
        <f>IF(VLOOKUP(H298,ProductsRange,3,FALSE)="Special Offer",SpecialOffer(H298,9,"FY-3"),MIN(H275,H290*capacity))</f>
        <v>0</v>
      </c>
      <c r="I332" s="193">
        <f>IF(VLOOKUP(I298,ProductsRange,3,FALSE)="Special Offer",SpecialOffer(I298,9,"FY-3"),MIN(I275,I290*capacity))</f>
        <v>1062.2339481600002</v>
      </c>
      <c r="J332" s="193">
        <f>IF(VLOOKUP(J298,ProductsRange,3,FALSE)="Special Offer",SpecialOffer(J298,9,"FY-3"),MIN(J275,J290*capacity))</f>
        <v>7353.4883720930229</v>
      </c>
      <c r="K332" s="193">
        <f>IF(VLOOKUP(K298,ProductsRange,3,FALSE)="Special Offer",SpecialOffer(K298,9,"FY-3"),MIN(K275,K290*capacity))</f>
        <v>7295.3197099538565</v>
      </c>
      <c r="L332" s="193">
        <f>IF(VLOOKUP(L298,ProductsRange,3,FALSE)="Special Offer",SpecialOffer(L298,9,"FY-3"),MIN(L275,L290*capacity))</f>
        <v>279.65825023999787</v>
      </c>
      <c r="M332" s="307"/>
      <c r="N332" s="194"/>
      <c r="O332" s="199"/>
      <c r="P332" s="199"/>
      <c r="R332" s="312"/>
      <c r="S332" s="312"/>
    </row>
    <row r="333" spans="1:19" hidden="1">
      <c r="A333" s="198"/>
      <c r="B333" s="346" t="s">
        <v>33</v>
      </c>
      <c r="C333" s="190" t="s">
        <v>38</v>
      </c>
      <c r="D333" s="193">
        <f>IF(VLOOKUP(D298,ProductsRange,3,FALSE)="Special Offer",SpecialOffer(D298,10,"FY-3"),MIN(D276,D291*capacity))</f>
        <v>1427.27435210009</v>
      </c>
      <c r="E333" s="193">
        <f>IF(VLOOKUP(E298,ProductsRange,3,FALSE)="Special Offer",SpecialOffer(E298,10,"FY-3"),MIN(E276,E291*capacity))</f>
        <v>1488.9668615984408</v>
      </c>
      <c r="F333" s="193">
        <f>IF(VLOOKUP(F298,ProductsRange,3,FALSE)="Special Offer",SpecialOffer(F298,10,"FY-3"),MIN(F276,F291*capacity))</f>
        <v>1043.2654848000002</v>
      </c>
      <c r="G333" s="193">
        <f>IF(VLOOKUP(G298,ProductsRange,3,FALSE)="Special Offer",SpecialOffer(G298,10,"FY-3"),MIN(G276,G291*capacity))</f>
        <v>0</v>
      </c>
      <c r="H333" s="193">
        <f>IF(VLOOKUP(H298,ProductsRange,3,FALSE)="Special Offer",SpecialOffer(H298,10,"FY-3"),MIN(H276,H291*capacity))</f>
        <v>0</v>
      </c>
      <c r="I333" s="193">
        <f>IF(VLOOKUP(I298,ProductsRange,3,FALSE)="Special Offer",SpecialOffer(I298,10,"FY-3"),MIN(I276,I291*capacity))</f>
        <v>0</v>
      </c>
      <c r="J333" s="193">
        <f>IF(VLOOKUP(J298,ProductsRange,3,FALSE)="Special Offer",SpecialOffer(J298,10,"FY-3"),MIN(J276,J291*capacity))</f>
        <v>7252.7256478999116</v>
      </c>
      <c r="K333" s="193">
        <f>IF(VLOOKUP(K298,ProductsRange,3,FALSE)="Special Offer",SpecialOffer(K298,10,"FY-3"),MIN(K276,K291*capacity))</f>
        <v>7191.0331384015599</v>
      </c>
      <c r="L333" s="193">
        <f>IF(VLOOKUP(L298,ProductsRange,3,FALSE)="Special Offer",SpecialOffer(L298,10,"FY-3"),MIN(L276,L291*capacity))</f>
        <v>196.73451520000162</v>
      </c>
      <c r="M333" s="307"/>
      <c r="N333" s="194"/>
      <c r="O333" s="199"/>
      <c r="P333" s="199"/>
      <c r="R333" s="312"/>
      <c r="S333" s="312"/>
    </row>
    <row r="334" spans="1:19" hidden="1">
      <c r="A334" s="198"/>
      <c r="B334" s="346" t="s">
        <v>33</v>
      </c>
      <c r="C334" s="190" t="s">
        <v>37</v>
      </c>
      <c r="D334" s="193">
        <f>IF(VLOOKUP(D298,ProductsRange,3,FALSE)="Special Offer",SpecialOffer(D298,11,"FY-3"),MIN(D277,D292*capacity))</f>
        <v>882.63056092843351</v>
      </c>
      <c r="E334" s="193">
        <f>IF(VLOOKUP(E298,ProductsRange,3,FALSE)="Special Offer",SpecialOffer(E298,11,"FY-3"),MIN(E277,E292*capacity))</f>
        <v>850.83820662768039</v>
      </c>
      <c r="F334" s="193">
        <f>IF(VLOOKUP(F298,ProductsRange,3,FALSE)="Special Offer",SpecialOffer(F298,11,"FY-3"),MIN(F277,F292*capacity))</f>
        <v>0</v>
      </c>
      <c r="G334" s="193">
        <f>IF(VLOOKUP(G298,ProductsRange,3,FALSE)="Special Offer",SpecialOffer(G298,11,"FY-3"),MIN(G277,G292*capacity))</f>
        <v>0</v>
      </c>
      <c r="H334" s="193">
        <f>IF(VLOOKUP(H298,ProductsRange,3,FALSE)="Special Offer",SpecialOffer(H298,11,"FY-3"),MIN(H277,H292*capacity))</f>
        <v>0</v>
      </c>
      <c r="I334" s="193">
        <f>IF(VLOOKUP(I298,ProductsRange,3,FALSE)="Special Offer",SpecialOffer(I298,11,"FY-3"),MIN(I277,I292*capacity))</f>
        <v>0</v>
      </c>
      <c r="J334" s="193">
        <f>IF(VLOOKUP(J298,ProductsRange,3,FALSE)="Special Offer",SpecialOffer(J298,11,"FY-3"),MIN(J277,J292*capacity))</f>
        <v>4077.3694390715668</v>
      </c>
      <c r="K334" s="193">
        <f>IF(VLOOKUP(K298,ProductsRange,3,FALSE)="Special Offer",SpecialOffer(K298,11,"FY-3"),MIN(K277,K292*capacity))</f>
        <v>4109.1617933723192</v>
      </c>
      <c r="L334" s="193">
        <f>IF(VLOOKUP(L298,ProductsRange,3,FALSE)="Special Offer",SpecialOffer(L298,11,"FY-3"),MIN(L277,L292*capacity))</f>
        <v>0</v>
      </c>
      <c r="M334" s="307"/>
      <c r="N334" s="194"/>
      <c r="O334" s="199"/>
      <c r="P334" s="199"/>
      <c r="R334" s="312"/>
      <c r="S334" s="312"/>
    </row>
    <row r="335" spans="1:19" hidden="1">
      <c r="A335" s="198"/>
      <c r="B335" s="346" t="s">
        <v>33</v>
      </c>
      <c r="C335" s="190" t="s">
        <v>36</v>
      </c>
      <c r="D335" s="193">
        <f>IF(VLOOKUP(D298,ProductsRange,3,FALSE)="Special Offer",SpecialOffer(D298,12,"FY-3"),MIN(D278,D293*capacity))</f>
        <v>882.63056092843351</v>
      </c>
      <c r="E335" s="193">
        <f>IF(VLOOKUP(E298,ProductsRange,3,FALSE)="Special Offer",SpecialOffer(E298,12,"FY-3"),MIN(E278,E293*capacity))</f>
        <v>850.83820662768039</v>
      </c>
      <c r="F335" s="193">
        <f>IF(VLOOKUP(F298,ProductsRange,3,FALSE)="Special Offer",SpecialOffer(F298,12,"FY-3"),MIN(F278,F293*capacity))</f>
        <v>0</v>
      </c>
      <c r="G335" s="193">
        <f>IF(VLOOKUP(G298,ProductsRange,3,FALSE)="Special Offer",SpecialOffer(G298,12,"FY-3"),MIN(G278,G293*capacity))</f>
        <v>0</v>
      </c>
      <c r="H335" s="193">
        <f>IF(VLOOKUP(H298,ProductsRange,3,FALSE)="Special Offer",SpecialOffer(H298,12,"FY-3"),MIN(H278,H293*capacity))</f>
        <v>0</v>
      </c>
      <c r="I335" s="193">
        <f>IF(VLOOKUP(I298,ProductsRange,3,FALSE)="Special Offer",SpecialOffer(I298,12,"FY-3"),MIN(I278,I293*capacity))</f>
        <v>0</v>
      </c>
      <c r="J335" s="193">
        <f>IF(VLOOKUP(J298,ProductsRange,3,FALSE)="Special Offer",SpecialOffer(J298,12,"FY-3"),MIN(J278,J293*capacity))</f>
        <v>4077.3694390715668</v>
      </c>
      <c r="K335" s="193">
        <f>IF(VLOOKUP(K298,ProductsRange,3,FALSE)="Special Offer",SpecialOffer(K298,12,"FY-3"),MIN(K278,K293*capacity))</f>
        <v>4109.1617933723192</v>
      </c>
      <c r="L335" s="193">
        <f>IF(VLOOKUP(L298,ProductsRange,3,FALSE)="Special Offer",SpecialOffer(L298,12,"FY-3"),MIN(L278,L293*capacity))</f>
        <v>0</v>
      </c>
      <c r="M335" s="307"/>
      <c r="N335" s="194"/>
      <c r="O335" s="199"/>
      <c r="P335" s="199"/>
      <c r="R335" s="312"/>
      <c r="S335" s="312"/>
    </row>
    <row r="336" spans="1:19" hidden="1">
      <c r="A336" s="198"/>
      <c r="D336" s="193"/>
      <c r="E336" s="193"/>
      <c r="F336" s="193"/>
      <c r="G336" s="193"/>
      <c r="H336" s="193"/>
      <c r="I336" s="193"/>
      <c r="J336" s="307"/>
      <c r="K336" s="200"/>
      <c r="L336" s="307"/>
      <c r="M336" s="307"/>
      <c r="N336" s="194"/>
      <c r="O336" s="199"/>
      <c r="P336" s="199"/>
      <c r="R336" s="312"/>
      <c r="S336" s="312"/>
    </row>
    <row r="337" spans="1:21" hidden="1">
      <c r="A337" s="198"/>
      <c r="D337" s="193"/>
      <c r="E337" s="193"/>
      <c r="F337" s="193"/>
      <c r="G337" s="193"/>
      <c r="H337" s="193"/>
      <c r="I337" s="193"/>
      <c r="J337" s="307"/>
      <c r="K337" s="200"/>
      <c r="L337" s="307"/>
      <c r="M337" s="307"/>
      <c r="N337" s="194"/>
      <c r="O337" s="199"/>
      <c r="P337" s="199"/>
      <c r="R337" s="312"/>
      <c r="S337" s="312"/>
    </row>
    <row r="338" spans="1:21" hidden="1">
      <c r="A338" s="198"/>
      <c r="D338" s="193"/>
      <c r="E338" s="193"/>
      <c r="F338" s="193"/>
      <c r="G338" s="193"/>
      <c r="H338" s="193"/>
      <c r="I338" s="193"/>
      <c r="J338" s="307"/>
      <c r="K338" s="200"/>
      <c r="L338" s="307"/>
      <c r="M338" s="307"/>
      <c r="N338" s="194"/>
      <c r="O338" s="199"/>
      <c r="P338" s="199"/>
      <c r="R338" s="312"/>
      <c r="S338" s="312"/>
    </row>
    <row r="339" spans="1:21" hidden="1">
      <c r="A339" s="198"/>
      <c r="D339" s="198"/>
      <c r="O339" s="191"/>
      <c r="P339" s="191"/>
      <c r="R339" s="191"/>
      <c r="S339" s="191"/>
      <c r="T339" s="32"/>
      <c r="U339" s="32"/>
    </row>
    <row r="340" spans="1:21" ht="15.75" hidden="1">
      <c r="A340" s="431">
        <v>7</v>
      </c>
      <c r="B340" s="423" t="s">
        <v>419</v>
      </c>
      <c r="C340" s="423"/>
      <c r="D340" s="459"/>
      <c r="E340" s="431"/>
      <c r="F340" s="431"/>
      <c r="G340" s="431"/>
      <c r="H340" s="425"/>
      <c r="I340" s="425"/>
      <c r="O340" s="191"/>
      <c r="P340" s="191"/>
      <c r="R340" s="191"/>
      <c r="S340" s="191"/>
      <c r="T340" s="32"/>
      <c r="U340" s="32"/>
    </row>
    <row r="341" spans="1:21" hidden="1">
      <c r="A341" s="456"/>
      <c r="B341" s="32"/>
      <c r="C341" s="32"/>
      <c r="D341" s="455"/>
      <c r="E341" s="456"/>
      <c r="F341" s="456"/>
      <c r="G341" s="456"/>
      <c r="H341" s="32"/>
      <c r="I341" s="32"/>
      <c r="J341" s="32"/>
      <c r="K341" s="32"/>
      <c r="O341" s="191"/>
      <c r="P341" s="191"/>
      <c r="R341" s="191"/>
      <c r="S341" s="191"/>
      <c r="T341" s="32"/>
      <c r="U341" s="32"/>
    </row>
    <row r="342" spans="1:21" hidden="1">
      <c r="A342" s="186">
        <v>7.1</v>
      </c>
      <c r="B342" s="195" t="s">
        <v>420</v>
      </c>
      <c r="C342" s="195"/>
      <c r="D342" s="455"/>
      <c r="E342" s="456"/>
      <c r="F342" s="456"/>
      <c r="G342" s="456"/>
      <c r="H342" s="32"/>
      <c r="I342" s="32"/>
      <c r="J342" s="32"/>
      <c r="K342" s="32"/>
      <c r="O342" s="191"/>
      <c r="P342" s="191"/>
      <c r="R342" s="191"/>
      <c r="S342" s="191"/>
      <c r="T342" s="32"/>
      <c r="U342" s="32"/>
    </row>
    <row r="343" spans="1:21" hidden="1">
      <c r="A343" s="456"/>
      <c r="B343" s="32"/>
      <c r="C343" s="32"/>
      <c r="D343" s="455"/>
      <c r="E343" s="456"/>
      <c r="F343" s="456"/>
      <c r="G343" s="456"/>
      <c r="O343" s="189"/>
      <c r="P343" s="189"/>
      <c r="Q343" s="32"/>
      <c r="R343" s="189"/>
      <c r="S343" s="189"/>
    </row>
    <row r="344" spans="1:21" hidden="1">
      <c r="A344" s="460"/>
      <c r="B344" s="461" t="s">
        <v>421</v>
      </c>
      <c r="C344" s="462" t="s">
        <v>85</v>
      </c>
      <c r="D344" s="463">
        <v>1240</v>
      </c>
      <c r="E344" s="456"/>
      <c r="F344" s="32"/>
      <c r="G344" s="32"/>
      <c r="O344" s="189"/>
      <c r="P344" s="189"/>
      <c r="Q344" s="32"/>
      <c r="R344" s="189"/>
      <c r="S344" s="189"/>
    </row>
    <row r="345" spans="1:21" hidden="1">
      <c r="A345" s="464"/>
      <c r="B345" s="461" t="s">
        <v>421</v>
      </c>
      <c r="C345" s="462" t="s">
        <v>414</v>
      </c>
      <c r="D345" s="465">
        <v>10</v>
      </c>
      <c r="E345" s="456"/>
      <c r="F345" s="32"/>
      <c r="G345" s="32"/>
      <c r="O345" s="189"/>
      <c r="P345" s="189"/>
      <c r="Q345" s="32"/>
      <c r="R345" s="189"/>
      <c r="S345" s="189"/>
    </row>
    <row r="346" spans="1:21" hidden="1">
      <c r="A346" s="466"/>
      <c r="B346" s="467" t="s">
        <v>429</v>
      </c>
      <c r="C346" s="462" t="s">
        <v>85</v>
      </c>
      <c r="D346" s="463">
        <v>124</v>
      </c>
      <c r="E346" s="456"/>
      <c r="F346" s="32"/>
      <c r="G346" s="32"/>
      <c r="O346" s="189"/>
      <c r="P346" s="189"/>
      <c r="Q346" s="32"/>
      <c r="R346" s="189"/>
      <c r="S346" s="189"/>
    </row>
    <row r="347" spans="1:21" hidden="1">
      <c r="A347" s="32"/>
      <c r="B347" s="455"/>
      <c r="C347" s="456"/>
      <c r="D347" s="468"/>
      <c r="E347" s="456"/>
      <c r="F347" s="32"/>
      <c r="G347" s="32"/>
      <c r="O347" s="189"/>
      <c r="P347" s="189"/>
      <c r="Q347" s="32"/>
      <c r="R347" s="189"/>
      <c r="S347" s="189"/>
    </row>
    <row r="348" spans="1:21" hidden="1">
      <c r="A348" s="32"/>
      <c r="B348" s="455"/>
      <c r="C348" s="456"/>
      <c r="D348" s="469"/>
      <c r="E348" s="456"/>
      <c r="F348" s="32"/>
      <c r="G348" s="32"/>
      <c r="O348" s="189"/>
      <c r="P348" s="189"/>
      <c r="Q348" s="32"/>
      <c r="R348" s="189"/>
      <c r="S348" s="189"/>
    </row>
    <row r="349" spans="1:21" hidden="1">
      <c r="A349" s="186">
        <v>7.2</v>
      </c>
      <c r="B349" s="455"/>
      <c r="C349" s="456"/>
      <c r="D349" s="457"/>
      <c r="E349" s="456"/>
      <c r="F349" s="32"/>
      <c r="G349" s="32"/>
      <c r="O349" s="189"/>
      <c r="P349" s="189"/>
      <c r="Q349" s="32"/>
      <c r="R349" s="189"/>
      <c r="S349" s="189"/>
    </row>
    <row r="350" spans="1:21" ht="13.5" hidden="1" thickBot="1">
      <c r="A350" s="32"/>
      <c r="B350" s="32"/>
      <c r="C350" s="32"/>
      <c r="D350" s="32"/>
      <c r="E350" s="32"/>
      <c r="F350" s="32"/>
      <c r="G350" s="32"/>
      <c r="H350" s="32"/>
      <c r="O350" s="189"/>
      <c r="P350" s="189"/>
      <c r="Q350" s="32"/>
      <c r="R350" s="189"/>
      <c r="S350" s="189"/>
    </row>
    <row r="351" spans="1:21" hidden="1">
      <c r="B351" s="470" t="s">
        <v>422</v>
      </c>
      <c r="C351" s="471"/>
      <c r="D351" s="472"/>
      <c r="E351" s="470" t="s">
        <v>423</v>
      </c>
      <c r="F351" s="473"/>
      <c r="G351" s="474"/>
    </row>
    <row r="352" spans="1:21" hidden="1">
      <c r="B352" s="475" t="s">
        <v>424</v>
      </c>
      <c r="C352" s="476" t="s">
        <v>425</v>
      </c>
      <c r="D352" s="477" t="s">
        <v>426</v>
      </c>
      <c r="E352" s="478" t="s">
        <v>427</v>
      </c>
      <c r="F352" s="476" t="s">
        <v>115</v>
      </c>
      <c r="G352" s="477" t="s">
        <v>428</v>
      </c>
    </row>
    <row r="353" spans="2:7" hidden="1">
      <c r="B353" s="479"/>
      <c r="C353" s="480"/>
      <c r="D353" s="481"/>
      <c r="E353" s="482" t="s">
        <v>439</v>
      </c>
      <c r="F353" s="480" t="s">
        <v>440</v>
      </c>
      <c r="G353" s="481" t="s">
        <v>441</v>
      </c>
    </row>
    <row r="354" spans="2:7" hidden="1">
      <c r="B354" s="483">
        <v>1</v>
      </c>
      <c r="C354" s="484">
        <v>155</v>
      </c>
      <c r="D354" s="485">
        <v>1240</v>
      </c>
      <c r="E354" s="486">
        <v>1240</v>
      </c>
      <c r="F354" s="487">
        <v>4960</v>
      </c>
      <c r="G354" s="485">
        <v>59520</v>
      </c>
    </row>
    <row r="355" spans="2:7" hidden="1">
      <c r="B355" s="483">
        <v>2</v>
      </c>
      <c r="C355" s="484">
        <v>155</v>
      </c>
      <c r="D355" s="485">
        <v>1240</v>
      </c>
      <c r="E355" s="486">
        <v>1240</v>
      </c>
      <c r="F355" s="487">
        <v>4960</v>
      </c>
      <c r="G355" s="485">
        <v>59520</v>
      </c>
    </row>
    <row r="356" spans="2:7" hidden="1">
      <c r="B356" s="483">
        <v>3</v>
      </c>
      <c r="C356" s="484">
        <v>155</v>
      </c>
      <c r="D356" s="485">
        <v>1240</v>
      </c>
      <c r="E356" s="486">
        <v>1240</v>
      </c>
      <c r="F356" s="487">
        <v>4960</v>
      </c>
      <c r="G356" s="485">
        <v>59520</v>
      </c>
    </row>
    <row r="357" spans="2:7" hidden="1">
      <c r="B357" s="483">
        <v>4</v>
      </c>
      <c r="C357" s="484">
        <v>155</v>
      </c>
      <c r="D357" s="485">
        <v>1240</v>
      </c>
      <c r="E357" s="486">
        <v>1240</v>
      </c>
      <c r="F357" s="487">
        <v>4960</v>
      </c>
      <c r="G357" s="485">
        <v>59520</v>
      </c>
    </row>
    <row r="358" spans="2:7" hidden="1">
      <c r="B358" s="483">
        <v>5</v>
      </c>
      <c r="C358" s="484">
        <v>155</v>
      </c>
      <c r="D358" s="485">
        <v>1240</v>
      </c>
      <c r="E358" s="486">
        <v>1240</v>
      </c>
      <c r="F358" s="487">
        <v>4960</v>
      </c>
      <c r="G358" s="485">
        <v>59520</v>
      </c>
    </row>
    <row r="359" spans="2:7" hidden="1">
      <c r="B359" s="483">
        <v>6</v>
      </c>
      <c r="C359" s="484">
        <v>155</v>
      </c>
      <c r="D359" s="485">
        <v>1240</v>
      </c>
      <c r="E359" s="486">
        <v>1240</v>
      </c>
      <c r="F359" s="487">
        <v>4960</v>
      </c>
      <c r="G359" s="485">
        <v>59520</v>
      </c>
    </row>
    <row r="360" spans="2:7" hidden="1">
      <c r="B360" s="483">
        <v>7</v>
      </c>
      <c r="C360" s="484">
        <v>155</v>
      </c>
      <c r="D360" s="485">
        <v>1240</v>
      </c>
      <c r="E360" s="486">
        <v>1240</v>
      </c>
      <c r="F360" s="487">
        <v>4960</v>
      </c>
      <c r="G360" s="485">
        <v>59520</v>
      </c>
    </row>
    <row r="361" spans="2:7" hidden="1">
      <c r="B361" s="483">
        <v>8</v>
      </c>
      <c r="C361" s="484">
        <v>155</v>
      </c>
      <c r="D361" s="485">
        <v>1240</v>
      </c>
      <c r="E361" s="486">
        <v>1240</v>
      </c>
      <c r="F361" s="487">
        <v>4960</v>
      </c>
      <c r="G361" s="485">
        <v>59520</v>
      </c>
    </row>
    <row r="362" spans="2:7" ht="13.5" hidden="1" thickBot="1"/>
    <row r="363" spans="2:7" ht="13.5" hidden="1" thickBot="1">
      <c r="B363" s="488" t="s">
        <v>101</v>
      </c>
      <c r="C363" s="489">
        <f>SUM(C354:C362)</f>
        <v>1240</v>
      </c>
      <c r="D363" s="489">
        <f>SUM(D354:D362)</f>
        <v>9920</v>
      </c>
      <c r="E363" s="489">
        <f>SUM(E354:E362)</f>
        <v>9920</v>
      </c>
      <c r="F363" s="489">
        <f>SUM(F354:F362)</f>
        <v>39680</v>
      </c>
      <c r="G363" s="490">
        <f>SUM(G354:G362)</f>
        <v>476160</v>
      </c>
    </row>
    <row r="364" spans="2:7" hidden="1"/>
    <row r="365" spans="2:7" hidden="1"/>
    <row r="366" spans="2:7" hidden="1"/>
    <row r="367" spans="2:7" hidden="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sheetData>
  <sheetProtection algorithmName="SHA-512" hashValue="GZrdmljZ0UOreYl840HKTdkHLnRAVQjZdr0fJxmEx4v5M2l2lEae6PLyy9vtivlcMMQMf+NHepkqWuRr6Jyq/g==" saltValue="3oUQheFNW+BCu2N6bTJ7zw==" spinCount="100000" sheet="1" objects="1" scenarios="1" selectLockedCells="1"/>
  <mergeCells count="8">
    <mergeCell ref="E125:G125"/>
    <mergeCell ref="M125:O125"/>
    <mergeCell ref="B140:G140"/>
    <mergeCell ref="F42:G42"/>
    <mergeCell ref="B95:C95"/>
    <mergeCell ref="F85:G85"/>
    <mergeCell ref="E63:F63"/>
    <mergeCell ref="E76:F76"/>
  </mergeCells>
  <phoneticPr fontId="87" type="noConversion"/>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666750</xdr:colOff>
                <xdr:row>1</xdr:row>
                <xdr:rowOff>19050</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A1:AW400"/>
  <sheetViews>
    <sheetView showGridLines="0" showRowColHeaders="0" zoomScaleNormal="100" zoomScalePageLayoutView="10" workbookViewId="0">
      <pane ySplit="1" topLeftCell="A5" activePane="bottomLeft" state="frozen"/>
      <selection activeCell="D50" sqref="D50"/>
      <selection pane="bottomLeft" activeCell="A400" sqref="A400:XFD400"/>
    </sheetView>
  </sheetViews>
  <sheetFormatPr defaultColWidth="9.5703125" defaultRowHeight="11.25"/>
  <cols>
    <col min="1" max="1" width="9.5703125" style="421"/>
    <col min="2" max="2" width="23.85546875" style="421" customWidth="1"/>
    <col min="3" max="3" width="19.140625" style="421" customWidth="1"/>
    <col min="4" max="4" width="10.140625" style="421" customWidth="1"/>
    <col min="5" max="5" width="8.85546875" style="421" customWidth="1"/>
    <col min="6" max="6" width="8.5703125" style="421" customWidth="1"/>
    <col min="7" max="7" width="10.5703125" style="421" customWidth="1"/>
    <col min="8" max="8" width="9.5703125" style="421" customWidth="1"/>
    <col min="9" max="10" width="9.140625" style="421" customWidth="1"/>
    <col min="11" max="11" width="8.5703125" style="421" customWidth="1"/>
    <col min="12" max="12" width="11" style="421" customWidth="1"/>
    <col min="13" max="13" width="8.42578125" style="421" customWidth="1"/>
    <col min="14" max="14" width="8.5703125" style="421" customWidth="1"/>
    <col min="15" max="15" width="9.140625" style="421" customWidth="1"/>
    <col min="16" max="16" width="10.42578125" style="421" customWidth="1"/>
    <col min="17" max="17" width="9" style="421" customWidth="1"/>
    <col min="18" max="18" width="7.42578125" style="421" customWidth="1"/>
    <col min="19" max="19" width="7.5703125" style="421" customWidth="1"/>
    <col min="20" max="22" width="7.85546875" style="421" customWidth="1"/>
    <col min="23" max="23" width="7.5703125" style="421" customWidth="1"/>
    <col min="24" max="24" width="8" style="421" customWidth="1"/>
    <col min="25" max="25" width="7.85546875" style="421" customWidth="1"/>
    <col min="26" max="26" width="7.5703125" style="421" customWidth="1"/>
    <col min="27" max="27" width="8.42578125" style="421" customWidth="1"/>
    <col min="28" max="31" width="7.5703125" style="421" customWidth="1"/>
    <col min="32" max="32" width="8" style="421" customWidth="1"/>
    <col min="33" max="33" width="8.42578125" style="421" customWidth="1"/>
    <col min="34" max="38" width="7.5703125" style="421" customWidth="1"/>
    <col min="39" max="39" width="7.85546875" style="421" customWidth="1"/>
    <col min="40" max="40" width="7.5703125" style="421" customWidth="1"/>
    <col min="41" max="41" width="8" style="421" customWidth="1"/>
    <col min="42" max="42" width="7.85546875" style="421" customWidth="1"/>
    <col min="43" max="43" width="9" style="421" customWidth="1"/>
    <col min="44" max="46" width="9.42578125" style="421" customWidth="1"/>
    <col min="47" max="47" width="9.140625" style="421" customWidth="1"/>
    <col min="48" max="48" width="13.140625" style="421" customWidth="1"/>
    <col min="49" max="16384" width="9.5703125" style="421"/>
  </cols>
  <sheetData>
    <row r="1" spans="1:23" s="1" customFormat="1" ht="32.1" customHeight="1" thickTop="1" thickBot="1">
      <c r="K1" s="125" t="str">
        <f>"Current Cycle "&amp;CurrentCycle</f>
        <v>Current Cycle 12</v>
      </c>
      <c r="L1" s="729" t="str">
        <f>"Cycle in Calculation "&amp;CycleInCalculation</f>
        <v>Cycle in Calculation 12</v>
      </c>
    </row>
    <row r="2" spans="1:23" s="1" customFormat="1" ht="41.25" customHeight="1" thickTop="1"/>
    <row r="3" spans="1:23" s="1" customFormat="1" ht="12.75" customHeight="1"/>
    <row r="4" spans="1:23" s="7" customFormat="1" ht="15.75">
      <c r="B4" s="12"/>
      <c r="C4" s="12"/>
      <c r="D4" s="2"/>
      <c r="E4" s="12"/>
      <c r="F4" s="11"/>
      <c r="G4" s="12"/>
      <c r="H4" s="12"/>
      <c r="I4" s="12"/>
      <c r="J4" s="11"/>
      <c r="K4" s="12"/>
      <c r="L4" s="12"/>
      <c r="M4" s="12"/>
      <c r="N4" s="12"/>
      <c r="O4" s="12"/>
      <c r="P4" s="12"/>
      <c r="Q4" s="12"/>
      <c r="R4" s="12"/>
      <c r="S4" s="12"/>
      <c r="T4" s="12"/>
      <c r="U4" s="12"/>
      <c r="V4" s="12"/>
      <c r="W4" s="12"/>
    </row>
    <row r="5" spans="1:23" s="7" customFormat="1" ht="15.75">
      <c r="A5" s="178">
        <v>1</v>
      </c>
      <c r="B5" s="122" t="s">
        <v>363</v>
      </c>
      <c r="C5" s="123"/>
      <c r="D5" s="12"/>
      <c r="E5" s="35"/>
      <c r="F5" s="12"/>
      <c r="G5" s="12"/>
      <c r="H5" s="12"/>
      <c r="I5" s="12"/>
      <c r="J5" s="35"/>
      <c r="K5" s="12"/>
      <c r="L5" s="12"/>
      <c r="M5" s="12"/>
      <c r="N5" s="12"/>
      <c r="O5" s="12"/>
      <c r="P5" s="12"/>
      <c r="Q5" s="12"/>
      <c r="R5" s="39"/>
      <c r="S5" s="39"/>
      <c r="T5" s="39"/>
      <c r="U5" s="39"/>
      <c r="V5" s="39"/>
      <c r="W5" s="12"/>
    </row>
    <row r="6" spans="1:23" s="7" customFormat="1">
      <c r="B6" s="12"/>
      <c r="C6" s="12"/>
      <c r="D6" s="35" t="s">
        <v>133</v>
      </c>
      <c r="E6" s="12"/>
      <c r="F6" s="12"/>
      <c r="G6" s="12"/>
      <c r="H6" s="12"/>
      <c r="I6" s="35"/>
      <c r="J6" s="12"/>
      <c r="K6" s="12"/>
      <c r="L6" s="12"/>
      <c r="M6" s="12"/>
      <c r="N6" s="12"/>
      <c r="O6" s="12"/>
      <c r="P6" s="12"/>
      <c r="Q6" s="39"/>
      <c r="S6" s="39"/>
      <c r="T6" s="39"/>
      <c r="U6" s="39"/>
      <c r="V6" s="39"/>
      <c r="W6" s="12"/>
    </row>
    <row r="7" spans="1:23" s="7" customFormat="1" ht="12" thickBot="1">
      <c r="B7" s="12"/>
      <c r="C7" s="12"/>
      <c r="D7" s="12"/>
      <c r="E7" s="12"/>
      <c r="F7" s="12"/>
      <c r="G7" s="12"/>
      <c r="H7" s="12"/>
      <c r="I7" s="35"/>
      <c r="J7" s="12"/>
      <c r="K7" s="12"/>
      <c r="L7" s="12"/>
      <c r="M7" s="12"/>
      <c r="N7" s="12"/>
      <c r="O7" s="12"/>
      <c r="P7" s="40"/>
      <c r="Q7" s="39"/>
      <c r="S7" s="39"/>
      <c r="T7" s="39"/>
      <c r="U7" s="39"/>
      <c r="V7" s="39"/>
      <c r="W7" s="12"/>
    </row>
    <row r="8" spans="1:23" s="7" customFormat="1" ht="12.75" customHeight="1" thickBot="1">
      <c r="B8" s="126" t="s">
        <v>132</v>
      </c>
      <c r="C8" s="36"/>
      <c r="D8" s="127" t="s">
        <v>47</v>
      </c>
      <c r="E8" s="128" t="s">
        <v>46</v>
      </c>
      <c r="F8" s="128" t="s">
        <v>45</v>
      </c>
      <c r="G8" s="128" t="s">
        <v>44</v>
      </c>
      <c r="H8" s="128" t="s">
        <v>43</v>
      </c>
      <c r="I8" s="128" t="s">
        <v>42</v>
      </c>
      <c r="J8" s="128" t="s">
        <v>41</v>
      </c>
      <c r="K8" s="128" t="s">
        <v>40</v>
      </c>
      <c r="L8" s="128" t="s">
        <v>39</v>
      </c>
      <c r="M8" s="128" t="s">
        <v>38</v>
      </c>
      <c r="N8" s="128" t="s">
        <v>37</v>
      </c>
      <c r="O8" s="129" t="s">
        <v>36</v>
      </c>
      <c r="P8" s="94" t="s">
        <v>59</v>
      </c>
      <c r="Q8" s="12"/>
      <c r="S8" s="12"/>
      <c r="T8" s="12"/>
      <c r="U8" s="12"/>
      <c r="V8" s="12"/>
      <c r="W8" s="12"/>
    </row>
    <row r="9" spans="1:23" s="7" customFormat="1">
      <c r="B9" s="135"/>
      <c r="C9" s="44"/>
      <c r="D9" s="12"/>
      <c r="E9" s="12"/>
      <c r="F9" s="12"/>
      <c r="G9" s="12"/>
      <c r="H9" s="12"/>
      <c r="I9" s="12"/>
      <c r="J9" s="12"/>
      <c r="K9" s="12"/>
      <c r="L9" s="12"/>
      <c r="M9" s="12"/>
      <c r="N9" s="12"/>
      <c r="O9" s="12"/>
      <c r="P9" s="94"/>
      <c r="Q9" s="131"/>
      <c r="S9" s="39"/>
      <c r="T9" s="39"/>
      <c r="U9" s="39"/>
      <c r="V9" s="39"/>
      <c r="W9" s="93"/>
    </row>
    <row r="10" spans="1:23" s="7" customFormat="1">
      <c r="B10" s="130" t="s">
        <v>698</v>
      </c>
      <c r="C10" s="231" t="s">
        <v>35</v>
      </c>
      <c r="D10" s="232">
        <v>334.20498244440734</v>
      </c>
      <c r="E10" s="232">
        <v>334.20498244440734</v>
      </c>
      <c r="F10" s="232">
        <v>411.41148047999997</v>
      </c>
      <c r="G10" s="232">
        <v>372.41584896286179</v>
      </c>
      <c r="H10" s="232">
        <v>548.54864063999992</v>
      </c>
      <c r="I10" s="232">
        <v>712.25769669327246</v>
      </c>
      <c r="J10" s="232">
        <v>712.25769669327246</v>
      </c>
      <c r="K10" s="232">
        <v>712.25769669327246</v>
      </c>
      <c r="L10" s="232">
        <v>685.68580079999992</v>
      </c>
      <c r="M10" s="232">
        <v>625.13838936669276</v>
      </c>
      <c r="N10" s="232">
        <v>372.41584896286179</v>
      </c>
      <c r="O10" s="232">
        <v>372.41584896286179</v>
      </c>
      <c r="P10" s="233">
        <f>SUM(D10:O10)</f>
        <v>6193.2149131439101</v>
      </c>
      <c r="Q10" s="234" t="s">
        <v>35</v>
      </c>
      <c r="S10" s="84"/>
      <c r="T10" s="84"/>
      <c r="U10" s="84"/>
      <c r="V10" s="84"/>
      <c r="W10" s="71"/>
    </row>
    <row r="11" spans="1:23" s="7" customFormat="1">
      <c r="B11" s="130"/>
      <c r="C11" s="1131" t="s">
        <v>34</v>
      </c>
      <c r="D11" s="99">
        <v>0</v>
      </c>
      <c r="E11" s="99">
        <v>322.45118272741701</v>
      </c>
      <c r="F11" s="99">
        <v>411.99188640973631</v>
      </c>
      <c r="G11" s="99">
        <v>358.81286067600985</v>
      </c>
      <c r="H11" s="99">
        <v>549.32251521298178</v>
      </c>
      <c r="I11" s="99">
        <v>882.94209702660396</v>
      </c>
      <c r="J11" s="99">
        <v>855.56866048862662</v>
      </c>
      <c r="K11" s="99">
        <v>847.44758527172189</v>
      </c>
      <c r="L11" s="99">
        <v>699.56602603843771</v>
      </c>
      <c r="M11" s="99">
        <v>699.56602603843771</v>
      </c>
      <c r="N11" s="99">
        <v>358.81286067600985</v>
      </c>
      <c r="O11" s="99">
        <v>0</v>
      </c>
      <c r="P11" s="235">
        <f>SUM(D11:O11)</f>
        <v>5986.4817005659834</v>
      </c>
      <c r="Q11" s="1132" t="s">
        <v>34</v>
      </c>
      <c r="S11" s="84"/>
      <c r="T11" s="84"/>
      <c r="U11" s="84"/>
      <c r="V11" s="84"/>
      <c r="W11" s="71"/>
    </row>
    <row r="12" spans="1:23" s="7" customFormat="1">
      <c r="B12" s="130"/>
      <c r="C12" s="231" t="s">
        <v>33</v>
      </c>
      <c r="D12" s="232">
        <v>476.25769388592545</v>
      </c>
      <c r="E12" s="232">
        <v>476.25769388592545</v>
      </c>
      <c r="F12" s="232">
        <v>405.5345911949687</v>
      </c>
      <c r="G12" s="232">
        <v>470.80012169151217</v>
      </c>
      <c r="H12" s="232">
        <v>657.57339648000004</v>
      </c>
      <c r="I12" s="232">
        <v>946.24737945492689</v>
      </c>
      <c r="J12" s="232">
        <v>946.24737945492689</v>
      </c>
      <c r="K12" s="232">
        <v>946.24737945492689</v>
      </c>
      <c r="L12" s="232">
        <v>811.0691823899374</v>
      </c>
      <c r="M12" s="232">
        <v>742.00230149597269</v>
      </c>
      <c r="N12" s="232">
        <v>470.80012169151217</v>
      </c>
      <c r="O12" s="232">
        <v>470.80012169151217</v>
      </c>
      <c r="P12" s="233">
        <f>SUM(D12:O12)</f>
        <v>7819.8373627720457</v>
      </c>
      <c r="Q12" s="234" t="s">
        <v>33</v>
      </c>
      <c r="S12" s="84"/>
      <c r="T12" s="84"/>
      <c r="U12" s="84"/>
      <c r="V12" s="84"/>
      <c r="W12" s="71"/>
    </row>
    <row r="13" spans="1:23" s="7" customFormat="1">
      <c r="B13" s="130" t="s">
        <v>699</v>
      </c>
      <c r="C13" s="1131" t="s">
        <v>35</v>
      </c>
      <c r="D13" s="99">
        <v>411.41148047999997</v>
      </c>
      <c r="E13" s="99">
        <v>411.41148047999997</v>
      </c>
      <c r="F13" s="99">
        <v>357.11291090995718</v>
      </c>
      <c r="G13" s="99">
        <v>476.15054787994279</v>
      </c>
      <c r="H13" s="99">
        <v>476.15054787994285</v>
      </c>
      <c r="I13" s="99">
        <v>754.25438087999987</v>
      </c>
      <c r="J13" s="99">
        <v>772.41450376763066</v>
      </c>
      <c r="K13" s="99">
        <v>754.25438087999987</v>
      </c>
      <c r="L13" s="99">
        <v>685.68580079999992</v>
      </c>
      <c r="M13" s="99">
        <v>655.01256144183503</v>
      </c>
      <c r="N13" s="99">
        <v>411.41148047999997</v>
      </c>
      <c r="O13" s="99">
        <v>410.07072799030914</v>
      </c>
      <c r="P13" s="235">
        <f>SUM(D13:O13)</f>
        <v>6575.340803869617</v>
      </c>
      <c r="Q13" s="1132" t="s">
        <v>35</v>
      </c>
      <c r="S13" s="84"/>
      <c r="T13" s="84"/>
      <c r="U13" s="84"/>
      <c r="V13" s="84"/>
      <c r="W13" s="71"/>
    </row>
    <row r="14" spans="1:23" s="7" customFormat="1">
      <c r="B14" s="130"/>
      <c r="C14" s="231" t="s">
        <v>34</v>
      </c>
      <c r="D14" s="232">
        <v>383.56792144026178</v>
      </c>
      <c r="E14" s="232">
        <v>383.56792144026178</v>
      </c>
      <c r="F14" s="232">
        <v>383.56792144026178</v>
      </c>
      <c r="G14" s="232">
        <v>511.42389525368242</v>
      </c>
      <c r="H14" s="232">
        <v>511.42389525368253</v>
      </c>
      <c r="I14" s="232">
        <v>767.13584288052368</v>
      </c>
      <c r="J14" s="232">
        <v>829.10377358490553</v>
      </c>
      <c r="K14" s="232">
        <v>767.13584288052368</v>
      </c>
      <c r="L14" s="232">
        <v>703.99519375187742</v>
      </c>
      <c r="M14" s="232">
        <v>741.69655560000001</v>
      </c>
      <c r="N14" s="232">
        <v>383.56792144026178</v>
      </c>
      <c r="O14" s="232">
        <v>511.42389525368242</v>
      </c>
      <c r="P14" s="233">
        <f>SUM(D14:O14)</f>
        <v>6877.6105802199254</v>
      </c>
      <c r="Q14" s="234" t="s">
        <v>34</v>
      </c>
      <c r="S14" s="84"/>
      <c r="T14" s="84"/>
      <c r="U14" s="84"/>
      <c r="V14" s="84"/>
      <c r="W14" s="71"/>
    </row>
    <row r="15" spans="1:23" s="7" customFormat="1">
      <c r="B15" s="130"/>
      <c r="C15" s="1131" t="s">
        <v>33</v>
      </c>
      <c r="D15" s="99">
        <v>476.25769388592545</v>
      </c>
      <c r="E15" s="99">
        <v>476.25769388592545</v>
      </c>
      <c r="F15" s="99">
        <v>405.5345911949687</v>
      </c>
      <c r="G15" s="99">
        <v>540.7127882599583</v>
      </c>
      <c r="H15" s="99">
        <v>657.57339648000004</v>
      </c>
      <c r="I15" s="99">
        <v>882.55495644960615</v>
      </c>
      <c r="J15" s="99">
        <v>876.12002264578257</v>
      </c>
      <c r="K15" s="99">
        <v>875.34555712270821</v>
      </c>
      <c r="L15" s="99">
        <v>803.13167259786496</v>
      </c>
      <c r="M15" s="99">
        <v>744.71607314725713</v>
      </c>
      <c r="N15" s="99">
        <v>470.80012169151217</v>
      </c>
      <c r="O15" s="99">
        <v>464.68085106382995</v>
      </c>
      <c r="P15" s="235">
        <f>SUM(D15:O15)</f>
        <v>7673.685418425338</v>
      </c>
      <c r="Q15" s="1132" t="s">
        <v>33</v>
      </c>
      <c r="S15" s="84"/>
      <c r="T15" s="84"/>
      <c r="U15" s="84"/>
      <c r="V15" s="84"/>
      <c r="W15" s="71"/>
    </row>
    <row r="16" spans="1:23" s="7" customFormat="1">
      <c r="B16" s="130" t="s">
        <v>700</v>
      </c>
      <c r="C16" s="236" t="s">
        <v>35</v>
      </c>
      <c r="D16" s="232">
        <v>0</v>
      </c>
      <c r="E16" s="232">
        <v>0</v>
      </c>
      <c r="F16" s="232">
        <v>0</v>
      </c>
      <c r="G16" s="232">
        <v>0</v>
      </c>
      <c r="H16" s="232">
        <v>717.33283775999996</v>
      </c>
      <c r="I16" s="232">
        <v>717.33283775999996</v>
      </c>
      <c r="J16" s="232">
        <v>1972.66530384</v>
      </c>
      <c r="K16" s="232">
        <v>1075.9992566399999</v>
      </c>
      <c r="L16" s="232">
        <v>1075.9992566399999</v>
      </c>
      <c r="M16" s="232">
        <v>986.33265191999999</v>
      </c>
      <c r="N16" s="232">
        <v>0</v>
      </c>
      <c r="O16" s="232">
        <v>0</v>
      </c>
      <c r="P16" s="233">
        <f>SUM(D16:O16)</f>
        <v>6545.6621445599994</v>
      </c>
      <c r="Q16" s="234" t="s">
        <v>35</v>
      </c>
      <c r="S16" s="39"/>
      <c r="T16" s="39"/>
      <c r="U16" s="39"/>
      <c r="V16" s="39"/>
      <c r="W16" s="91"/>
    </row>
    <row r="17" spans="2:23" s="7" customFormat="1">
      <c r="B17" s="130"/>
      <c r="C17" s="1133" t="s">
        <v>34</v>
      </c>
      <c r="D17" s="99">
        <v>0</v>
      </c>
      <c r="E17" s="99">
        <v>0</v>
      </c>
      <c r="F17" s="99">
        <v>0</v>
      </c>
      <c r="G17" s="99">
        <v>0</v>
      </c>
      <c r="H17" s="99">
        <v>775.92870432000018</v>
      </c>
      <c r="I17" s="99">
        <v>775.92870432000018</v>
      </c>
      <c r="J17" s="99">
        <v>2036.8128488400002</v>
      </c>
      <c r="K17" s="99">
        <v>1939.8217608000004</v>
      </c>
      <c r="L17" s="99">
        <v>1163.89305648</v>
      </c>
      <c r="M17" s="99">
        <v>1066.9019684400002</v>
      </c>
      <c r="N17" s="99">
        <v>0</v>
      </c>
      <c r="O17" s="99">
        <v>0</v>
      </c>
      <c r="P17" s="235">
        <f>SUM(D17:O17)</f>
        <v>7759.2870432000018</v>
      </c>
      <c r="Q17" s="1132" t="s">
        <v>34</v>
      </c>
      <c r="S17" s="39"/>
      <c r="T17" s="39"/>
      <c r="U17" s="39"/>
      <c r="V17" s="39"/>
      <c r="W17" s="91"/>
    </row>
    <row r="18" spans="2:23" s="7" customFormat="1">
      <c r="B18" s="130"/>
      <c r="C18" s="236" t="s">
        <v>33</v>
      </c>
      <c r="D18" s="232">
        <v>0</v>
      </c>
      <c r="E18" s="232">
        <v>0</v>
      </c>
      <c r="F18" s="232">
        <v>0</v>
      </c>
      <c r="G18" s="232">
        <v>752.4157132800002</v>
      </c>
      <c r="H18" s="232">
        <v>859.90367232000017</v>
      </c>
      <c r="I18" s="232">
        <v>859.90367232000017</v>
      </c>
      <c r="J18" s="232">
        <v>1240</v>
      </c>
      <c r="K18" s="232">
        <v>1240</v>
      </c>
      <c r="L18" s="232">
        <v>1240</v>
      </c>
      <c r="M18" s="232">
        <v>1182.3675494400002</v>
      </c>
      <c r="N18" s="232">
        <v>752.4157132800002</v>
      </c>
      <c r="O18" s="232">
        <v>752.4157132800002</v>
      </c>
      <c r="P18" s="233">
        <f>SUM(D18:O18)</f>
        <v>8879.4220339200019</v>
      </c>
      <c r="Q18" s="234" t="s">
        <v>33</v>
      </c>
      <c r="S18" s="39"/>
      <c r="T18" s="39"/>
      <c r="U18" s="39"/>
      <c r="V18" s="39"/>
      <c r="W18" s="91"/>
    </row>
    <row r="19" spans="2:23" s="7" customFormat="1">
      <c r="B19" s="130" t="s">
        <v>701</v>
      </c>
      <c r="C19" s="1133" t="s">
        <v>35</v>
      </c>
      <c r="D19" s="99">
        <v>0</v>
      </c>
      <c r="E19" s="99">
        <v>0</v>
      </c>
      <c r="F19" s="99">
        <v>0</v>
      </c>
      <c r="G19" s="99">
        <v>701.50931928</v>
      </c>
      <c r="H19" s="99">
        <v>801.72493631999998</v>
      </c>
      <c r="I19" s="99">
        <v>1240</v>
      </c>
      <c r="J19" s="99">
        <v>2204.7435748799999</v>
      </c>
      <c r="K19" s="99">
        <v>2204.7435748799999</v>
      </c>
      <c r="L19" s="99">
        <v>1240</v>
      </c>
      <c r="M19" s="99">
        <v>0</v>
      </c>
      <c r="N19" s="99">
        <v>0</v>
      </c>
      <c r="O19" s="99">
        <v>0</v>
      </c>
      <c r="P19" s="235">
        <f>SUM(D19:O19)</f>
        <v>8392.7214053600001</v>
      </c>
      <c r="Q19" s="1132" t="s">
        <v>35</v>
      </c>
      <c r="S19" s="39"/>
      <c r="T19" s="39"/>
      <c r="U19" s="39"/>
      <c r="V19" s="39"/>
      <c r="W19" s="91"/>
    </row>
    <row r="20" spans="2:23" s="7" customFormat="1">
      <c r="B20" s="130"/>
      <c r="C20" s="236" t="s">
        <v>34</v>
      </c>
      <c r="D20" s="232">
        <v>0</v>
      </c>
      <c r="E20" s="232">
        <v>0</v>
      </c>
      <c r="F20" s="232">
        <v>650.4108256799999</v>
      </c>
      <c r="G20" s="232">
        <v>758.81262996000009</v>
      </c>
      <c r="H20" s="232">
        <v>867.21443423999995</v>
      </c>
      <c r="I20" s="232">
        <v>975.61623851999991</v>
      </c>
      <c r="J20" s="232">
        <v>1240</v>
      </c>
      <c r="K20" s="232">
        <v>1240</v>
      </c>
      <c r="L20" s="232">
        <v>1240</v>
      </c>
      <c r="M20" s="232">
        <v>1240</v>
      </c>
      <c r="N20" s="232">
        <v>758.81262996000009</v>
      </c>
      <c r="O20" s="232">
        <v>0</v>
      </c>
      <c r="P20" s="233">
        <f>SUM(D20:O20)</f>
        <v>8970.8667583599999</v>
      </c>
      <c r="Q20" s="234" t="s">
        <v>34</v>
      </c>
      <c r="S20" s="39"/>
      <c r="T20" s="39"/>
      <c r="U20" s="39"/>
      <c r="V20" s="39"/>
      <c r="W20" s="91"/>
    </row>
    <row r="21" spans="2:23" s="7" customFormat="1">
      <c r="B21" s="130"/>
      <c r="C21" s="1133" t="s">
        <v>33</v>
      </c>
      <c r="D21" s="99">
        <v>0</v>
      </c>
      <c r="E21" s="99">
        <v>0</v>
      </c>
      <c r="F21" s="99">
        <v>720.80160767999996</v>
      </c>
      <c r="G21" s="99">
        <v>840.93520896000007</v>
      </c>
      <c r="H21" s="99">
        <v>961.06881024000006</v>
      </c>
      <c r="I21" s="99">
        <v>1201.3360128000002</v>
      </c>
      <c r="J21" s="99">
        <v>1201.3360128000002</v>
      </c>
      <c r="K21" s="99">
        <v>1240</v>
      </c>
      <c r="L21" s="99">
        <v>1240</v>
      </c>
      <c r="M21" s="99">
        <v>1240</v>
      </c>
      <c r="N21" s="99">
        <v>840.93520896000007</v>
      </c>
      <c r="O21" s="99">
        <v>840.93520896000007</v>
      </c>
      <c r="P21" s="235">
        <f>SUM(D21:O21)</f>
        <v>10327.348070399999</v>
      </c>
      <c r="Q21" s="1132" t="s">
        <v>33</v>
      </c>
      <c r="S21" s="39"/>
      <c r="T21" s="39"/>
      <c r="U21" s="39"/>
      <c r="V21" s="39"/>
      <c r="W21" s="91"/>
    </row>
    <row r="22" spans="2:23" s="7" customFormat="1">
      <c r="B22" s="130" t="s">
        <v>702</v>
      </c>
      <c r="C22" s="236" t="s">
        <v>35</v>
      </c>
      <c r="D22" s="232">
        <v>1240</v>
      </c>
      <c r="E22" s="232">
        <v>812.27394863999996</v>
      </c>
      <c r="F22" s="232">
        <v>812.27394863999996</v>
      </c>
      <c r="G22" s="232">
        <v>812.27394863999996</v>
      </c>
      <c r="H22" s="232">
        <v>0</v>
      </c>
      <c r="I22" s="232">
        <v>0</v>
      </c>
      <c r="J22" s="232">
        <v>0</v>
      </c>
      <c r="K22" s="232">
        <v>812.27394863999996</v>
      </c>
      <c r="L22" s="232">
        <v>928.3130841599999</v>
      </c>
      <c r="M22" s="232">
        <v>1240</v>
      </c>
      <c r="N22" s="232">
        <v>1240</v>
      </c>
      <c r="O22" s="232">
        <v>1240</v>
      </c>
      <c r="P22" s="233">
        <f>SUM(D22:O22)</f>
        <v>9137.4088787199998</v>
      </c>
      <c r="Q22" s="234" t="s">
        <v>35</v>
      </c>
      <c r="S22" s="39"/>
      <c r="T22" s="39"/>
      <c r="U22" s="39"/>
      <c r="V22" s="39"/>
      <c r="W22" s="91"/>
    </row>
    <row r="23" spans="2:23" s="7" customFormat="1">
      <c r="B23" s="130"/>
      <c r="C23" s="1133" t="s">
        <v>34</v>
      </c>
      <c r="D23" s="99">
        <v>1240</v>
      </c>
      <c r="E23" s="99">
        <v>878.62515048000012</v>
      </c>
      <c r="F23" s="99">
        <v>878.62515048000012</v>
      </c>
      <c r="G23" s="99">
        <v>878.62515048000012</v>
      </c>
      <c r="H23" s="99">
        <v>753.10727183999995</v>
      </c>
      <c r="I23" s="99">
        <v>0</v>
      </c>
      <c r="J23" s="99">
        <v>0</v>
      </c>
      <c r="K23" s="99">
        <v>878.62515048000012</v>
      </c>
      <c r="L23" s="99">
        <v>1004.1430291200001</v>
      </c>
      <c r="M23" s="99">
        <v>1240</v>
      </c>
      <c r="N23" s="99">
        <v>1240</v>
      </c>
      <c r="O23" s="99">
        <v>1240</v>
      </c>
      <c r="P23" s="235">
        <f>SUM(D23:O23)</f>
        <v>10231.750902880001</v>
      </c>
      <c r="Q23" s="1132" t="s">
        <v>34</v>
      </c>
      <c r="S23" s="39"/>
      <c r="T23" s="39"/>
      <c r="U23" s="39"/>
      <c r="V23" s="39"/>
      <c r="W23" s="91"/>
    </row>
    <row r="24" spans="2:23" s="7" customFormat="1">
      <c r="B24" s="130"/>
      <c r="C24" s="236" t="s">
        <v>33</v>
      </c>
      <c r="D24" s="232">
        <v>1240</v>
      </c>
      <c r="E24" s="232">
        <v>973.71445248000009</v>
      </c>
      <c r="F24" s="232">
        <v>973.71445248000009</v>
      </c>
      <c r="G24" s="232">
        <v>973.71445248000009</v>
      </c>
      <c r="H24" s="232">
        <v>834.61238784</v>
      </c>
      <c r="I24" s="232">
        <v>0</v>
      </c>
      <c r="J24" s="232">
        <v>834.61238784</v>
      </c>
      <c r="K24" s="232">
        <v>973.71445248000009</v>
      </c>
      <c r="L24" s="232">
        <v>1112.8165171200001</v>
      </c>
      <c r="M24" s="232">
        <v>1240</v>
      </c>
      <c r="N24" s="232">
        <v>1240</v>
      </c>
      <c r="O24" s="232">
        <v>1240</v>
      </c>
      <c r="P24" s="233">
        <f>SUM(D24:O24)</f>
        <v>11636.899102720001</v>
      </c>
      <c r="Q24" s="234" t="s">
        <v>33</v>
      </c>
      <c r="S24" s="39"/>
      <c r="T24" s="39"/>
      <c r="U24" s="39"/>
      <c r="V24" s="39"/>
      <c r="W24" s="91"/>
    </row>
    <row r="25" spans="2:23" s="7" customFormat="1">
      <c r="B25" s="130" t="s">
        <v>703</v>
      </c>
      <c r="C25" s="1133" t="s">
        <v>35</v>
      </c>
      <c r="D25" s="99">
        <v>1240</v>
      </c>
      <c r="E25" s="99">
        <v>928.3130841599999</v>
      </c>
      <c r="F25" s="99">
        <v>759.52888703999997</v>
      </c>
      <c r="G25" s="99">
        <v>0</v>
      </c>
      <c r="H25" s="99">
        <v>0</v>
      </c>
      <c r="I25" s="99">
        <v>0</v>
      </c>
      <c r="J25" s="99">
        <v>0</v>
      </c>
      <c r="K25" s="99">
        <v>0</v>
      </c>
      <c r="L25" s="99">
        <v>0</v>
      </c>
      <c r="M25" s="99">
        <v>928.3130841599999</v>
      </c>
      <c r="N25" s="99">
        <v>1012.7051827199999</v>
      </c>
      <c r="O25" s="99">
        <v>1240</v>
      </c>
      <c r="P25" s="235">
        <f>SUM(D25:O25)</f>
        <v>6108.8602380800003</v>
      </c>
      <c r="Q25" s="1132" t="s">
        <v>35</v>
      </c>
      <c r="S25" s="39"/>
      <c r="T25" s="39"/>
      <c r="U25" s="39"/>
      <c r="V25" s="39"/>
      <c r="W25" s="91"/>
    </row>
    <row r="26" spans="2:23" s="7" customFormat="1">
      <c r="B26" s="130"/>
      <c r="C26" s="236" t="s">
        <v>34</v>
      </c>
      <c r="D26" s="232">
        <v>1240</v>
      </c>
      <c r="E26" s="232">
        <v>1004.1430291199999</v>
      </c>
      <c r="F26" s="232">
        <v>821.57156927999995</v>
      </c>
      <c r="G26" s="232">
        <v>639.00010944000007</v>
      </c>
      <c r="H26" s="232">
        <v>0</v>
      </c>
      <c r="I26" s="232">
        <v>0</v>
      </c>
      <c r="J26" s="232">
        <v>0</v>
      </c>
      <c r="K26" s="232">
        <v>0</v>
      </c>
      <c r="L26" s="232">
        <v>0</v>
      </c>
      <c r="M26" s="232">
        <v>1004.1430291199999</v>
      </c>
      <c r="N26" s="232">
        <v>1095.4287590399999</v>
      </c>
      <c r="O26" s="232">
        <v>1240</v>
      </c>
      <c r="P26" s="233">
        <f>SUM(D26:O26)</f>
        <v>7044.2864959999997</v>
      </c>
      <c r="Q26" s="234" t="s">
        <v>34</v>
      </c>
      <c r="S26" s="39"/>
      <c r="T26" s="39"/>
      <c r="U26" s="39"/>
      <c r="V26" s="39"/>
      <c r="W26" s="91"/>
    </row>
    <row r="27" spans="2:23" s="7" customFormat="1">
      <c r="B27" s="130"/>
      <c r="C27" s="1133" t="s">
        <v>33</v>
      </c>
      <c r="D27" s="99">
        <v>1240</v>
      </c>
      <c r="E27" s="99">
        <v>1240</v>
      </c>
      <c r="F27" s="99">
        <v>910.48624128000006</v>
      </c>
      <c r="G27" s="99">
        <v>708.15596544000016</v>
      </c>
      <c r="H27" s="99">
        <v>0</v>
      </c>
      <c r="I27" s="99">
        <v>0</v>
      </c>
      <c r="J27" s="99">
        <v>0</v>
      </c>
      <c r="K27" s="99">
        <v>0</v>
      </c>
      <c r="L27" s="99">
        <v>0</v>
      </c>
      <c r="M27" s="99">
        <v>1112.8165171200001</v>
      </c>
      <c r="N27" s="99">
        <v>1240</v>
      </c>
      <c r="O27" s="99">
        <v>1240</v>
      </c>
      <c r="P27" s="235">
        <f>SUM(D27:O27)</f>
        <v>7691.4587238399999</v>
      </c>
      <c r="Q27" s="1132" t="s">
        <v>33</v>
      </c>
      <c r="S27" s="39"/>
      <c r="T27" s="39"/>
      <c r="U27" s="39"/>
      <c r="V27" s="39"/>
      <c r="W27" s="91"/>
    </row>
    <row r="28" spans="2:23" s="7" customFormat="1">
      <c r="B28" s="130" t="s">
        <v>704</v>
      </c>
      <c r="C28" s="236" t="s">
        <v>35</v>
      </c>
      <c r="D28" s="232">
        <v>2145.7950175555925</v>
      </c>
      <c r="E28" s="232">
        <v>2145.7950175555925</v>
      </c>
      <c r="F28" s="232">
        <v>3169.8080567999996</v>
      </c>
      <c r="G28" s="232">
        <v>3347.5841510371383</v>
      </c>
      <c r="H28" s="232">
        <v>4226.4107423999994</v>
      </c>
      <c r="I28" s="232">
        <v>5487.742303306728</v>
      </c>
      <c r="J28" s="232">
        <v>5487.742303306728</v>
      </c>
      <c r="K28" s="232">
        <v>5487.742303306728</v>
      </c>
      <c r="L28" s="232">
        <v>5283.0134279999993</v>
      </c>
      <c r="M28" s="232">
        <v>4334.8616106333075</v>
      </c>
      <c r="N28" s="232">
        <v>3347.5841510371383</v>
      </c>
      <c r="O28" s="232">
        <v>3347.5841510371383</v>
      </c>
      <c r="P28" s="233">
        <f>SUM(D28:O28)</f>
        <v>47811.663235976092</v>
      </c>
      <c r="Q28" s="234" t="s">
        <v>35</v>
      </c>
      <c r="S28" s="39"/>
      <c r="T28" s="39"/>
      <c r="U28" s="39"/>
      <c r="V28" s="39"/>
      <c r="W28" s="91"/>
    </row>
    <row r="29" spans="2:23" s="7" customFormat="1">
      <c r="B29" s="130"/>
      <c r="C29" s="1133" t="s">
        <v>34</v>
      </c>
      <c r="D29" s="99">
        <v>0</v>
      </c>
      <c r="E29" s="99">
        <v>2157.5488172725832</v>
      </c>
      <c r="F29" s="99">
        <v>3308.0081135902637</v>
      </c>
      <c r="G29" s="99">
        <v>3361.1871393239903</v>
      </c>
      <c r="H29" s="99">
        <v>4410.6774847870183</v>
      </c>
      <c r="I29" s="99">
        <v>5317.0579029733954</v>
      </c>
      <c r="J29" s="99">
        <v>10304.431339511373</v>
      </c>
      <c r="K29" s="99">
        <v>9072.5524147282777</v>
      </c>
      <c r="L29" s="99">
        <v>6740.4339739615634</v>
      </c>
      <c r="M29" s="99">
        <v>6740.4339739615634</v>
      </c>
      <c r="N29" s="99">
        <v>3361.1871393239903</v>
      </c>
      <c r="O29" s="99">
        <v>0</v>
      </c>
      <c r="P29" s="235">
        <f>SUM(D29:O29)</f>
        <v>54773.518299434014</v>
      </c>
      <c r="Q29" s="1132" t="s">
        <v>34</v>
      </c>
      <c r="S29" s="39"/>
      <c r="T29" s="39"/>
      <c r="U29" s="39"/>
      <c r="V29" s="39"/>
      <c r="W29" s="91"/>
    </row>
    <row r="30" spans="2:23" s="7" customFormat="1">
      <c r="B30" s="130"/>
      <c r="C30" s="236" t="s">
        <v>33</v>
      </c>
      <c r="D30" s="232">
        <v>3243.7423061140748</v>
      </c>
      <c r="E30" s="232">
        <v>3243.7423061140748</v>
      </c>
      <c r="F30" s="232">
        <v>3314.4654088050315</v>
      </c>
      <c r="G30" s="232">
        <v>4489.1998783084882</v>
      </c>
      <c r="H30" s="232">
        <v>5374.3979519999993</v>
      </c>
      <c r="I30" s="232">
        <v>7733.752620545074</v>
      </c>
      <c r="J30" s="232">
        <v>7733.752620545074</v>
      </c>
      <c r="K30" s="232">
        <v>7733.752620545074</v>
      </c>
      <c r="L30" s="232">
        <v>6628.9308176100621</v>
      </c>
      <c r="M30" s="232">
        <v>5457.9976985040275</v>
      </c>
      <c r="N30" s="232">
        <v>4489.1998783084882</v>
      </c>
      <c r="O30" s="232">
        <v>4489.1998783084882</v>
      </c>
      <c r="P30" s="233">
        <f>SUM(D30:O30)</f>
        <v>63932.133985707944</v>
      </c>
      <c r="Q30" s="234" t="s">
        <v>33</v>
      </c>
      <c r="S30" s="39"/>
      <c r="T30" s="39"/>
      <c r="U30" s="39"/>
      <c r="V30" s="39"/>
      <c r="W30" s="91"/>
    </row>
    <row r="31" spans="2:23" s="7" customFormat="1">
      <c r="B31" s="130" t="s">
        <v>705</v>
      </c>
      <c r="C31" s="1133" t="s">
        <v>35</v>
      </c>
      <c r="D31" s="99">
        <v>3228.508206</v>
      </c>
      <c r="E31" s="99">
        <v>3228.508206</v>
      </c>
      <c r="F31" s="99">
        <v>3362.887089090043</v>
      </c>
      <c r="G31" s="99">
        <v>4483.8494521200573</v>
      </c>
      <c r="H31" s="99">
        <v>4483.8494521200573</v>
      </c>
      <c r="I31" s="99">
        <v>6457.0164119999999</v>
      </c>
      <c r="J31" s="99">
        <v>6667.5854962323692</v>
      </c>
      <c r="K31" s="99">
        <v>7748.4196943999987</v>
      </c>
      <c r="L31" s="99">
        <v>7748.4196943999987</v>
      </c>
      <c r="M31" s="99">
        <v>6784.9874385581652</v>
      </c>
      <c r="N31" s="99">
        <v>4519.9114884000001</v>
      </c>
      <c r="O31" s="99">
        <v>3309.929272009691</v>
      </c>
      <c r="P31" s="235">
        <f>SUM(D31:O31)</f>
        <v>62023.871901330385</v>
      </c>
      <c r="Q31" s="1132" t="s">
        <v>35</v>
      </c>
      <c r="S31" s="39"/>
      <c r="T31" s="39"/>
      <c r="U31" s="39"/>
      <c r="V31" s="39"/>
      <c r="W31" s="91"/>
    </row>
    <row r="32" spans="2:23" s="7" customFormat="1">
      <c r="B32" s="130"/>
      <c r="C32" s="236" t="s">
        <v>34</v>
      </c>
      <c r="D32" s="232">
        <v>3336.4320785597379</v>
      </c>
      <c r="E32" s="232">
        <v>3336.4320785597379</v>
      </c>
      <c r="F32" s="232">
        <v>3336.4320785597379</v>
      </c>
      <c r="G32" s="232">
        <v>4448.5761047463175</v>
      </c>
      <c r="H32" s="232">
        <v>4448.5761047463175</v>
      </c>
      <c r="I32" s="232">
        <v>6672.8641571194767</v>
      </c>
      <c r="J32" s="232">
        <v>6610.896226415095</v>
      </c>
      <c r="K32" s="232">
        <v>6672.8641571194767</v>
      </c>
      <c r="L32" s="232">
        <v>6736.0048062481219</v>
      </c>
      <c r="M32" s="232">
        <v>6451.5827376000016</v>
      </c>
      <c r="N32" s="232">
        <v>3336.4320785597379</v>
      </c>
      <c r="O32" s="232">
        <v>4448.5761047463175</v>
      </c>
      <c r="P32" s="233">
        <f>SUM(D32:O32)</f>
        <v>59835.668712980078</v>
      </c>
      <c r="Q32" s="234" t="s">
        <v>34</v>
      </c>
      <c r="S32" s="39"/>
      <c r="T32" s="39"/>
      <c r="U32" s="39"/>
      <c r="V32" s="39"/>
      <c r="W32" s="91"/>
    </row>
    <row r="33" spans="1:23" s="7" customFormat="1">
      <c r="B33" s="130"/>
      <c r="C33" s="1133" t="s">
        <v>33</v>
      </c>
      <c r="D33" s="99">
        <v>3243.7423061140748</v>
      </c>
      <c r="E33" s="99">
        <v>3243.7423061140748</v>
      </c>
      <c r="F33" s="99">
        <v>3314.4654088050315</v>
      </c>
      <c r="G33" s="99">
        <v>4419.287211740042</v>
      </c>
      <c r="H33" s="99">
        <v>5374.3979519999993</v>
      </c>
      <c r="I33" s="99">
        <v>6557.4450435503941</v>
      </c>
      <c r="J33" s="99">
        <v>6563.8799773542187</v>
      </c>
      <c r="K33" s="99">
        <v>7804.6544428772904</v>
      </c>
      <c r="L33" s="99">
        <v>7876.868327402135</v>
      </c>
      <c r="M33" s="99">
        <v>6695.2839268527423</v>
      </c>
      <c r="N33" s="99">
        <v>4489.1998783084882</v>
      </c>
      <c r="O33" s="99">
        <v>3255.3191489361702</v>
      </c>
      <c r="P33" s="235">
        <f>SUM(D33:O33)</f>
        <v>62838.285930054662</v>
      </c>
      <c r="Q33" s="1132" t="s">
        <v>33</v>
      </c>
      <c r="S33" s="39"/>
      <c r="T33" s="39"/>
      <c r="U33" s="39"/>
      <c r="V33" s="39"/>
      <c r="W33" s="91"/>
    </row>
    <row r="34" spans="1:23" s="7" customFormat="1">
      <c r="B34" s="130" t="s">
        <v>706</v>
      </c>
      <c r="C34" s="236" t="s">
        <v>35</v>
      </c>
      <c r="D34" s="232">
        <v>80.080313520000345</v>
      </c>
      <c r="E34" s="232">
        <v>782.59112127999833</v>
      </c>
      <c r="F34" s="232">
        <v>1046.9776270399998</v>
      </c>
      <c r="G34" s="232">
        <v>966.21673207999993</v>
      </c>
      <c r="H34" s="232">
        <v>1145.982842880001</v>
      </c>
      <c r="I34" s="232">
        <v>751.39636935999806</v>
      </c>
      <c r="J34" s="232">
        <v>782.59112127999833</v>
      </c>
      <c r="K34" s="232">
        <v>1044.3091445600003</v>
      </c>
      <c r="L34" s="232">
        <v>952.88293520000298</v>
      </c>
      <c r="M34" s="232">
        <v>565.35426391999863</v>
      </c>
      <c r="N34" s="232">
        <v>255.97184840000045</v>
      </c>
      <c r="O34" s="232">
        <v>0</v>
      </c>
      <c r="P34" s="233">
        <f>SUM(D34:O34)</f>
        <v>8374.3543195199982</v>
      </c>
      <c r="Q34" s="234" t="s">
        <v>35</v>
      </c>
      <c r="S34" s="39"/>
      <c r="T34" s="39"/>
      <c r="U34" s="39"/>
      <c r="V34" s="39"/>
      <c r="W34" s="91"/>
    </row>
    <row r="35" spans="1:23" s="7" customFormat="1">
      <c r="B35" s="130"/>
      <c r="C35" s="1133" t="s">
        <v>34</v>
      </c>
      <c r="D35" s="99">
        <v>0</v>
      </c>
      <c r="E35" s="99">
        <v>597.23182040000029</v>
      </c>
      <c r="F35" s="99">
        <v>1369.3924545600003</v>
      </c>
      <c r="G35" s="99">
        <v>1443.5621101200013</v>
      </c>
      <c r="H35" s="99">
        <v>1323.7495896</v>
      </c>
      <c r="I35" s="99">
        <v>728.45505715999752</v>
      </c>
      <c r="J35" s="99">
        <v>443.18715116000021</v>
      </c>
      <c r="K35" s="99">
        <v>901.55308872000023</v>
      </c>
      <c r="L35" s="99">
        <v>311.96391439999934</v>
      </c>
      <c r="M35" s="99">
        <v>655.67570923999665</v>
      </c>
      <c r="N35" s="99">
        <v>625.75861100000111</v>
      </c>
      <c r="O35" s="99">
        <v>0</v>
      </c>
      <c r="P35" s="235">
        <f>SUM(D35:O35)</f>
        <v>8400.529506359997</v>
      </c>
      <c r="Q35" s="1132" t="s">
        <v>34</v>
      </c>
      <c r="S35" s="39"/>
      <c r="T35" s="39"/>
      <c r="U35" s="39"/>
      <c r="V35" s="39"/>
      <c r="W35" s="91"/>
    </row>
    <row r="36" spans="1:23" s="7" customFormat="1">
      <c r="B36" s="130"/>
      <c r="C36" s="236" t="s">
        <v>33</v>
      </c>
      <c r="D36" s="232">
        <v>0</v>
      </c>
      <c r="E36" s="232">
        <v>266.28554751999945</v>
      </c>
      <c r="F36" s="232">
        <v>1114.9976985600006</v>
      </c>
      <c r="G36" s="232">
        <v>1684.7786598400016</v>
      </c>
      <c r="H36" s="232">
        <v>1400.472432640001</v>
      </c>
      <c r="I36" s="232">
        <v>418.76031487999717</v>
      </c>
      <c r="J36" s="232">
        <v>444.051599360002</v>
      </c>
      <c r="K36" s="232">
        <v>266.28554751999764</v>
      </c>
      <c r="L36" s="232">
        <v>127.18348287999834</v>
      </c>
      <c r="M36" s="232">
        <v>184.81593344000066</v>
      </c>
      <c r="N36" s="232">
        <v>886.64907775999745</v>
      </c>
      <c r="O36" s="232">
        <v>886.64907775999745</v>
      </c>
      <c r="P36" s="233">
        <f>SUM(D36:O36)</f>
        <v>7680.9293721599934</v>
      </c>
      <c r="Q36" s="234" t="s">
        <v>33</v>
      </c>
      <c r="S36" s="39"/>
      <c r="T36" s="39"/>
      <c r="U36" s="39"/>
      <c r="V36" s="39"/>
      <c r="W36" s="91"/>
    </row>
    <row r="37" spans="1:23" s="7" customFormat="1" ht="12" thickBot="1">
      <c r="B37" s="130"/>
      <c r="C37" s="237"/>
      <c r="D37" s="99"/>
      <c r="E37" s="99"/>
      <c r="F37" s="99"/>
      <c r="G37" s="99"/>
      <c r="H37" s="99"/>
      <c r="I37" s="99"/>
      <c r="J37" s="99"/>
      <c r="K37" s="99"/>
      <c r="L37" s="99"/>
      <c r="M37" s="99"/>
      <c r="N37" s="99"/>
      <c r="O37" s="99"/>
      <c r="P37" s="235"/>
      <c r="Q37" s="132"/>
      <c r="S37" s="39"/>
      <c r="T37" s="39"/>
      <c r="U37" s="39"/>
      <c r="V37" s="39"/>
      <c r="W37" s="91"/>
    </row>
    <row r="38" spans="1:23" s="7" customFormat="1" ht="12" thickBot="1">
      <c r="B38" s="34" t="s">
        <v>131</v>
      </c>
      <c r="C38" s="55" t="s">
        <v>35</v>
      </c>
      <c r="D38" s="244">
        <f>SUMIF(SalesByYear,"FY-1",SalesJan)</f>
        <v>8680</v>
      </c>
      <c r="E38" s="90">
        <f>SUMIF(SalesByYear,"FY-1",SalesFeb)</f>
        <v>8643.0978405599981</v>
      </c>
      <c r="F38" s="90">
        <f>SUMIF(SalesByYear,"FY-1",SalesMar)</f>
        <v>9920</v>
      </c>
      <c r="G38" s="90">
        <f>SUMIF(SalesByYear,"FY-1",SalesApr)</f>
        <v>11160</v>
      </c>
      <c r="H38" s="90">
        <f>SUMIF(SalesByYear,"FY-1",SalesMay)</f>
        <v>12400</v>
      </c>
      <c r="I38" s="90">
        <f>SUMIF(SalesByYear,"FY-1",SalesJun)</f>
        <v>16120</v>
      </c>
      <c r="J38" s="90">
        <f>SUMIF(SalesByYear,"FY-1",SalesJul)</f>
        <v>18600</v>
      </c>
      <c r="K38" s="90">
        <f>SUMIF(SalesByYear,"FY-1",SalesAug)</f>
        <v>19840</v>
      </c>
      <c r="L38" s="90">
        <f>SUMIF(SalesByYear,"FY-1",SalesSep)</f>
        <v>18600</v>
      </c>
      <c r="M38" s="90">
        <f>SUMIF(SalesByYear,"FY-1",SalesOct)</f>
        <v>16120</v>
      </c>
      <c r="N38" s="90">
        <f>SUMIF(SalesByYear,"FY-1",SalesNov)</f>
        <v>11160</v>
      </c>
      <c r="O38" s="245">
        <f>SUMIF(SalesByYear,"FY-1",SalesDec)</f>
        <v>9920</v>
      </c>
      <c r="P38" s="134">
        <f>SUM(D38:O38)</f>
        <v>161163.09784055999</v>
      </c>
      <c r="Q38" s="89" t="s">
        <v>35</v>
      </c>
      <c r="S38" s="84"/>
      <c r="T38" s="84"/>
      <c r="U38" s="84"/>
      <c r="V38" s="84"/>
      <c r="W38" s="71"/>
    </row>
    <row r="39" spans="1:23" s="7" customFormat="1" ht="12" thickBot="1">
      <c r="B39" s="88" t="s">
        <v>130</v>
      </c>
      <c r="C39" s="250" t="s">
        <v>34</v>
      </c>
      <c r="D39" s="152">
        <f>SUMIF(SalesByYear,"FY-2",SalesJan)</f>
        <v>6200</v>
      </c>
      <c r="E39" s="152">
        <f>SUMIF(SalesByYear,"FY-2",SalesFeb)</f>
        <v>8680</v>
      </c>
      <c r="F39" s="152">
        <f>SUMIF(SalesByYear,"FY-2",SalesMar)</f>
        <v>11160</v>
      </c>
      <c r="G39" s="152">
        <f>SUMIF(SalesByYear,"FY-2",SalesApr)</f>
        <v>12400</v>
      </c>
      <c r="H39" s="152">
        <f>SUMIF(SalesByYear,"FY-2",SalesMay)</f>
        <v>13640</v>
      </c>
      <c r="I39" s="152">
        <f>SUMIF(SalesByYear,"FY-2",SalesJun)</f>
        <v>16119.999999999998</v>
      </c>
      <c r="J39" s="152">
        <f>SUMIF(SalesByYear,"FY-2",SalesJul)</f>
        <v>22320</v>
      </c>
      <c r="K39" s="152">
        <f>SUMIF(SalesByYear,"FY-2",SalesAug)</f>
        <v>22320</v>
      </c>
      <c r="L39" s="152">
        <f>SUMIF(SalesByYear,"FY-2",SalesSep)</f>
        <v>18600</v>
      </c>
      <c r="M39" s="152">
        <f>SUMIF(SalesByYear,"FY-2",SalesOct)</f>
        <v>19840</v>
      </c>
      <c r="N39" s="152">
        <f>SUMIF(SalesByYear,"FY-2",SalesNov)</f>
        <v>11160</v>
      </c>
      <c r="O39" s="246">
        <f>SUMIF(SalesByYear,"FY-2",SalesDec)</f>
        <v>7440</v>
      </c>
      <c r="P39" s="133">
        <f>SUM(D39:O39)</f>
        <v>169880</v>
      </c>
      <c r="Q39" s="87" t="s">
        <v>34</v>
      </c>
      <c r="S39" s="84"/>
      <c r="T39" s="84"/>
      <c r="U39" s="84"/>
      <c r="V39" s="84"/>
      <c r="W39" s="71"/>
    </row>
    <row r="40" spans="1:23" s="7" customFormat="1" ht="12" thickBot="1">
      <c r="B40" s="33"/>
      <c r="C40" s="247" t="s">
        <v>33</v>
      </c>
      <c r="D40" s="248">
        <f>SUMIF(SalesByYear,"FY-3",SalesJan)</f>
        <v>9920</v>
      </c>
      <c r="E40" s="248">
        <f>SUMIF(SalesByYear,"FY-3",SalesFeb)</f>
        <v>9920</v>
      </c>
      <c r="F40" s="248">
        <f>SUMIF(SalesByYear,"FY-3",SalesMar)</f>
        <v>11160.000000000002</v>
      </c>
      <c r="G40" s="248">
        <f>SUMIF(SalesByYear,"FY-3",SalesApr)</f>
        <v>14880.000000000002</v>
      </c>
      <c r="H40" s="248">
        <f>SUMIF(SalesByYear,"FY-3",SalesMay)</f>
        <v>16120</v>
      </c>
      <c r="I40" s="248">
        <f>SUMIF(SalesByYear,"FY-3",SalesJun)</f>
        <v>18600</v>
      </c>
      <c r="J40" s="248">
        <f>SUMIF(SalesByYear,"FY-3",SalesJul)</f>
        <v>19840.000000000004</v>
      </c>
      <c r="K40" s="248">
        <f>SUMIF(SalesByYear,"FY-3",SalesAug)</f>
        <v>21080</v>
      </c>
      <c r="L40" s="248">
        <f>SUMIF(SalesByYear,"FY-3",SalesSep)</f>
        <v>19840</v>
      </c>
      <c r="M40" s="248">
        <f>SUMIF(SalesByYear,"FY-3",SalesOct)</f>
        <v>18600</v>
      </c>
      <c r="N40" s="248">
        <f>SUMIF(SalesByYear,"FY-3",SalesNov)</f>
        <v>14880</v>
      </c>
      <c r="O40" s="249">
        <f>SUMIF(SalesByYear,"FY-3",SalesDec)</f>
        <v>13640</v>
      </c>
      <c r="P40" s="86">
        <f>SUM(D40:O40)</f>
        <v>188480</v>
      </c>
      <c r="Q40" s="85" t="s">
        <v>33</v>
      </c>
      <c r="S40" s="84"/>
      <c r="T40" s="84"/>
      <c r="U40" s="84"/>
      <c r="V40" s="84"/>
      <c r="W40" s="71"/>
    </row>
    <row r="41" spans="1:23" s="7" customFormat="1" ht="12" thickBot="1">
      <c r="B41" s="12"/>
      <c r="C41" s="12"/>
      <c r="D41" s="12"/>
      <c r="E41" s="12"/>
      <c r="F41" s="12"/>
      <c r="G41" s="12"/>
      <c r="H41" s="12"/>
      <c r="I41" s="12"/>
      <c r="J41" s="12"/>
      <c r="K41" s="12"/>
      <c r="L41" s="12"/>
      <c r="M41" s="12"/>
      <c r="N41" s="12"/>
      <c r="O41" s="12"/>
      <c r="P41" s="92">
        <f>SUM(P38:P40)</f>
        <v>519523.09784056002</v>
      </c>
      <c r="Q41" s="151" t="s">
        <v>59</v>
      </c>
      <c r="S41" s="84"/>
      <c r="T41" s="84"/>
      <c r="U41" s="84"/>
      <c r="V41" s="84"/>
      <c r="W41" s="83"/>
    </row>
    <row r="42" spans="1:23" s="7" customFormat="1">
      <c r="B42" s="12"/>
      <c r="C42" s="12"/>
      <c r="D42" s="12"/>
      <c r="E42" s="12"/>
      <c r="F42" s="12"/>
      <c r="G42" s="12"/>
      <c r="H42" s="12"/>
      <c r="I42" s="12"/>
      <c r="J42" s="12"/>
      <c r="K42" s="12"/>
      <c r="L42" s="12"/>
      <c r="M42" s="12"/>
      <c r="N42" s="12"/>
      <c r="O42" s="12"/>
      <c r="P42" s="12"/>
      <c r="Q42" s="106"/>
      <c r="R42" s="107"/>
      <c r="S42" s="84"/>
      <c r="T42" s="84"/>
      <c r="U42" s="84"/>
      <c r="V42" s="84"/>
      <c r="W42" s="83"/>
    </row>
    <row r="43" spans="1:23" s="7" customFormat="1">
      <c r="B43" s="12"/>
      <c r="C43" s="12"/>
      <c r="D43" s="12"/>
      <c r="E43" s="12"/>
      <c r="F43" s="12"/>
      <c r="G43" s="12"/>
      <c r="H43" s="12"/>
      <c r="I43" s="12"/>
      <c r="J43" s="12"/>
      <c r="K43" s="12"/>
      <c r="L43" s="12"/>
      <c r="M43" s="12"/>
      <c r="N43" s="12"/>
      <c r="O43" s="12"/>
      <c r="P43" s="12"/>
      <c r="Q43" s="106"/>
      <c r="R43" s="107"/>
      <c r="S43" s="84"/>
      <c r="T43" s="84"/>
      <c r="U43" s="84"/>
      <c r="V43" s="84"/>
      <c r="W43" s="83"/>
    </row>
    <row r="44" spans="1:23" s="7" customFormat="1">
      <c r="B44" s="12"/>
      <c r="C44" s="12"/>
      <c r="D44" s="12"/>
      <c r="E44" s="12"/>
      <c r="F44" s="12"/>
      <c r="G44" s="12"/>
      <c r="H44" s="12"/>
      <c r="I44" s="12"/>
      <c r="J44" s="12"/>
      <c r="K44" s="12"/>
      <c r="L44" s="12"/>
      <c r="M44" s="12"/>
      <c r="N44" s="12"/>
      <c r="O44" s="12"/>
      <c r="P44" s="12"/>
      <c r="Q44" s="47"/>
      <c r="R44" s="84"/>
      <c r="S44" s="84"/>
      <c r="T44" s="84"/>
      <c r="U44" s="84"/>
      <c r="V44" s="84"/>
      <c r="W44" s="83"/>
    </row>
    <row r="45" spans="1:23" s="7" customFormat="1" ht="15.75">
      <c r="A45" s="178">
        <v>2</v>
      </c>
      <c r="B45" s="124" t="s">
        <v>401</v>
      </c>
      <c r="C45" s="123"/>
      <c r="D45" s="123"/>
      <c r="E45" s="12"/>
      <c r="F45" s="12"/>
      <c r="G45" s="12"/>
      <c r="H45" s="12"/>
      <c r="I45" s="12"/>
      <c r="J45" s="12"/>
      <c r="K45" s="12"/>
      <c r="L45" s="12"/>
      <c r="M45" s="12"/>
      <c r="N45" s="12"/>
      <c r="O45" s="12"/>
      <c r="P45" s="12"/>
      <c r="Q45" s="47"/>
      <c r="R45" s="84"/>
      <c r="S45" s="84"/>
      <c r="T45" s="84"/>
      <c r="U45" s="84"/>
      <c r="V45" s="84"/>
      <c r="W45" s="83"/>
    </row>
    <row r="46" spans="1:23" s="7" customFormat="1">
      <c r="B46" s="12"/>
      <c r="C46" s="12"/>
      <c r="D46" s="12"/>
      <c r="E46" s="12"/>
      <c r="F46" s="12"/>
      <c r="G46" s="12"/>
      <c r="H46" s="12"/>
      <c r="I46" s="12"/>
      <c r="J46" s="12"/>
      <c r="K46" s="12"/>
      <c r="L46" s="12"/>
      <c r="M46" s="12"/>
      <c r="N46" s="12"/>
      <c r="O46" s="12"/>
      <c r="P46" s="12"/>
      <c r="Q46" s="47"/>
      <c r="R46" s="84"/>
      <c r="S46" s="84"/>
      <c r="T46" s="84"/>
      <c r="U46" s="84"/>
      <c r="V46" s="84"/>
      <c r="W46" s="83"/>
    </row>
    <row r="47" spans="1:23" s="7" customFormat="1">
      <c r="B47" s="12"/>
      <c r="C47" s="12"/>
      <c r="D47" s="12"/>
      <c r="E47" s="12"/>
      <c r="F47" s="12"/>
      <c r="G47" s="12"/>
      <c r="H47" s="12"/>
      <c r="I47" s="12"/>
      <c r="J47" s="12"/>
      <c r="K47" s="12"/>
      <c r="L47" s="12"/>
      <c r="M47" s="12"/>
      <c r="N47" s="12"/>
      <c r="O47" s="12"/>
      <c r="P47" s="12"/>
      <c r="Q47" s="47"/>
      <c r="R47" s="84"/>
      <c r="S47" s="84"/>
      <c r="T47" s="84"/>
      <c r="U47" s="84"/>
      <c r="V47" s="84"/>
      <c r="W47" s="83"/>
    </row>
    <row r="48" spans="1:23" s="7" customFormat="1">
      <c r="B48" s="12"/>
      <c r="C48" s="359"/>
      <c r="E48" s="1175" t="s">
        <v>389</v>
      </c>
      <c r="F48" s="1176"/>
      <c r="G48" s="1176"/>
      <c r="H48" s="1177"/>
      <c r="I48" s="38"/>
      <c r="J48" s="38"/>
      <c r="K48" s="41"/>
      <c r="L48" s="12"/>
      <c r="M48" s="12"/>
      <c r="N48" s="12"/>
      <c r="O48" s="12"/>
      <c r="P48" s="12"/>
      <c r="Q48" s="47"/>
      <c r="R48" s="84"/>
      <c r="S48" s="84"/>
      <c r="T48" s="84"/>
      <c r="U48" s="84"/>
      <c r="V48" s="84"/>
      <c r="W48" s="83"/>
    </row>
    <row r="49" spans="1:24" s="7" customFormat="1">
      <c r="B49" s="14" t="s">
        <v>66</v>
      </c>
      <c r="C49" s="13" t="s">
        <v>431</v>
      </c>
      <c r="D49" s="42" t="s">
        <v>346</v>
      </c>
      <c r="E49" s="15" t="s">
        <v>65</v>
      </c>
      <c r="F49" s="42" t="s">
        <v>64</v>
      </c>
      <c r="G49" s="42" t="s">
        <v>63</v>
      </c>
      <c r="H49" s="42" t="s">
        <v>59</v>
      </c>
      <c r="I49" s="42" t="s">
        <v>67</v>
      </c>
      <c r="J49" s="12"/>
      <c r="K49" s="12"/>
      <c r="L49" s="99"/>
      <c r="M49" s="12"/>
      <c r="N49" s="12"/>
      <c r="O49" s="12"/>
      <c r="P49" s="12"/>
      <c r="Q49" s="12"/>
      <c r="R49" s="47"/>
      <c r="S49" s="84"/>
      <c r="T49" s="84"/>
      <c r="U49" s="84"/>
      <c r="V49" s="84"/>
      <c r="W49" s="84"/>
      <c r="X49" s="83"/>
    </row>
    <row r="50" spans="1:24" s="7" customFormat="1">
      <c r="B50" s="1134" t="s">
        <v>698</v>
      </c>
      <c r="C50" s="1135" t="s">
        <v>409</v>
      </c>
      <c r="D50" s="1135" t="s">
        <v>69</v>
      </c>
      <c r="E50" s="137">
        <v>0.56000000000000005</v>
      </c>
      <c r="F50" s="137">
        <v>0.28999999999999998</v>
      </c>
      <c r="G50" s="137">
        <v>0.28000000000000003</v>
      </c>
      <c r="H50" s="1136">
        <f>SUM(E50:G50)</f>
        <v>1.1300000000000001</v>
      </c>
      <c r="I50" s="139">
        <v>8</v>
      </c>
      <c r="J50" s="99"/>
      <c r="K50" s="99"/>
      <c r="L50" s="136"/>
      <c r="M50" s="12"/>
      <c r="N50" s="12"/>
      <c r="O50" s="12"/>
      <c r="P50" s="12"/>
      <c r="Q50" s="12"/>
      <c r="R50" s="47"/>
      <c r="S50" s="84"/>
      <c r="T50" s="84"/>
      <c r="U50" s="84"/>
      <c r="V50" s="84"/>
      <c r="W50" s="84"/>
      <c r="X50" s="83"/>
    </row>
    <row r="51" spans="1:24" s="7" customFormat="1">
      <c r="B51" s="153" t="s">
        <v>699</v>
      </c>
      <c r="C51" s="240" t="s">
        <v>409</v>
      </c>
      <c r="D51" s="240" t="s">
        <v>68</v>
      </c>
      <c r="E51" s="241">
        <v>0.5</v>
      </c>
      <c r="F51" s="241">
        <v>0.28999999999999998</v>
      </c>
      <c r="G51" s="241">
        <v>0.28000000000000003</v>
      </c>
      <c r="H51" s="242">
        <f>SUM(E51:G51)</f>
        <v>1.07</v>
      </c>
      <c r="I51" s="243">
        <v>8</v>
      </c>
      <c r="J51" s="99"/>
      <c r="K51" s="99"/>
      <c r="L51" s="136"/>
      <c r="M51" s="12"/>
      <c r="N51" s="12"/>
      <c r="O51" s="12"/>
      <c r="P51" s="12"/>
      <c r="Q51" s="12"/>
      <c r="R51" s="47"/>
      <c r="S51" s="84"/>
      <c r="T51" s="84"/>
      <c r="U51" s="84"/>
      <c r="V51" s="84"/>
      <c r="W51" s="84"/>
      <c r="X51" s="83"/>
    </row>
    <row r="52" spans="1:24" s="7" customFormat="1">
      <c r="B52" s="1137" t="s">
        <v>700</v>
      </c>
      <c r="C52" s="1135" t="s">
        <v>409</v>
      </c>
      <c r="D52" s="1135" t="s">
        <v>433</v>
      </c>
      <c r="E52" s="137">
        <v>0.5</v>
      </c>
      <c r="F52" s="137">
        <v>0.28999999999999998</v>
      </c>
      <c r="G52" s="137">
        <v>0.28000000000000003</v>
      </c>
      <c r="H52" s="1136">
        <f>SUM(E52:G52)</f>
        <v>1.07</v>
      </c>
      <c r="I52" s="139">
        <v>7.5</v>
      </c>
      <c r="J52" s="99"/>
      <c r="K52" s="99"/>
      <c r="L52" s="136"/>
      <c r="M52" s="12"/>
      <c r="N52" s="12"/>
      <c r="O52" s="12"/>
      <c r="P52" s="12"/>
      <c r="Q52" s="12"/>
      <c r="R52" s="47"/>
      <c r="S52" s="84"/>
      <c r="T52" s="84"/>
      <c r="U52" s="84"/>
      <c r="V52" s="84"/>
      <c r="W52" s="84"/>
      <c r="X52" s="83"/>
    </row>
    <row r="53" spans="1:24" s="7" customFormat="1">
      <c r="B53" s="153" t="s">
        <v>701</v>
      </c>
      <c r="C53" s="240" t="s">
        <v>409</v>
      </c>
      <c r="D53" s="240" t="s">
        <v>434</v>
      </c>
      <c r="E53" s="241">
        <v>0.5</v>
      </c>
      <c r="F53" s="241">
        <v>0.28999999999999998</v>
      </c>
      <c r="G53" s="241">
        <v>0.28000000000000003</v>
      </c>
      <c r="H53" s="242">
        <f>SUM(E53:G53)</f>
        <v>1.07</v>
      </c>
      <c r="I53" s="243">
        <v>7.5</v>
      </c>
      <c r="J53" s="99"/>
      <c r="K53" s="99"/>
      <c r="L53" s="136"/>
      <c r="M53" s="12"/>
      <c r="N53" s="12"/>
      <c r="O53" s="12"/>
      <c r="P53" s="12"/>
      <c r="Q53" s="12"/>
      <c r="R53" s="47"/>
      <c r="S53" s="84"/>
      <c r="T53" s="84"/>
      <c r="U53" s="84"/>
      <c r="V53" s="84"/>
      <c r="W53" s="84"/>
      <c r="X53" s="83"/>
    </row>
    <row r="54" spans="1:24" s="7" customFormat="1">
      <c r="B54" s="1137" t="s">
        <v>702</v>
      </c>
      <c r="C54" s="1135" t="s">
        <v>409</v>
      </c>
      <c r="D54" s="1135" t="s">
        <v>435</v>
      </c>
      <c r="E54" s="137">
        <v>0.5</v>
      </c>
      <c r="F54" s="137">
        <v>0.28999999999999998</v>
      </c>
      <c r="G54" s="137">
        <v>0.28000000000000003</v>
      </c>
      <c r="H54" s="1136">
        <f>SUM(E54:G54)</f>
        <v>1.07</v>
      </c>
      <c r="I54" s="139">
        <v>7.5</v>
      </c>
      <c r="J54" s="99"/>
      <c r="K54" s="99"/>
      <c r="L54" s="136"/>
      <c r="M54" s="12"/>
      <c r="N54" s="12"/>
      <c r="O54" s="12"/>
      <c r="P54" s="12"/>
      <c r="Q54" s="12"/>
      <c r="R54" s="47"/>
      <c r="S54" s="84"/>
      <c r="T54" s="84"/>
      <c r="U54" s="84"/>
      <c r="V54" s="84"/>
      <c r="W54" s="84"/>
      <c r="X54" s="83"/>
    </row>
    <row r="55" spans="1:24" s="7" customFormat="1">
      <c r="B55" s="153" t="s">
        <v>703</v>
      </c>
      <c r="C55" s="240" t="s">
        <v>409</v>
      </c>
      <c r="D55" s="240" t="s">
        <v>436</v>
      </c>
      <c r="E55" s="241">
        <v>0.5</v>
      </c>
      <c r="F55" s="241">
        <v>0.28999999999999998</v>
      </c>
      <c r="G55" s="241">
        <v>0.28000000000000003</v>
      </c>
      <c r="H55" s="242">
        <f>SUM(E55:G55)</f>
        <v>1.07</v>
      </c>
      <c r="I55" s="243">
        <v>7.5</v>
      </c>
      <c r="J55" s="99"/>
      <c r="K55" s="99"/>
      <c r="L55" s="136"/>
      <c r="M55" s="12"/>
      <c r="N55" s="12"/>
      <c r="O55" s="12"/>
      <c r="P55" s="12"/>
      <c r="Q55" s="12"/>
      <c r="R55" s="47"/>
      <c r="S55" s="84"/>
      <c r="T55" s="84"/>
      <c r="U55" s="84"/>
      <c r="V55" s="84"/>
      <c r="W55" s="84"/>
      <c r="X55" s="83"/>
    </row>
    <row r="56" spans="1:24" s="7" customFormat="1">
      <c r="B56" s="1137" t="s">
        <v>704</v>
      </c>
      <c r="C56" s="1135" t="s">
        <v>410</v>
      </c>
      <c r="D56" s="1135" t="s">
        <v>69</v>
      </c>
      <c r="E56" s="137">
        <v>0.56000000000000005</v>
      </c>
      <c r="F56" s="137">
        <v>0.28999999999999998</v>
      </c>
      <c r="G56" s="137">
        <v>0.24</v>
      </c>
      <c r="H56" s="1136">
        <f>SUM(E56:G56)</f>
        <v>1.0900000000000001</v>
      </c>
      <c r="I56" s="139">
        <v>3.3</v>
      </c>
      <c r="J56" s="99"/>
      <c r="K56" s="99"/>
      <c r="L56" s="136"/>
      <c r="M56" s="12"/>
      <c r="N56" s="12"/>
      <c r="O56" s="12"/>
      <c r="P56" s="12"/>
      <c r="Q56" s="12"/>
      <c r="R56" s="47"/>
      <c r="S56" s="84"/>
      <c r="T56" s="84"/>
      <c r="U56" s="84"/>
      <c r="V56" s="84"/>
      <c r="W56" s="84"/>
      <c r="X56" s="83"/>
    </row>
    <row r="57" spans="1:24" s="7" customFormat="1">
      <c r="B57" s="153" t="s">
        <v>705</v>
      </c>
      <c r="C57" s="240" t="s">
        <v>410</v>
      </c>
      <c r="D57" s="240" t="s">
        <v>68</v>
      </c>
      <c r="E57" s="241">
        <v>0.56000000000000005</v>
      </c>
      <c r="F57" s="241">
        <v>0.28999999999999998</v>
      </c>
      <c r="G57" s="241">
        <v>0.24</v>
      </c>
      <c r="H57" s="242">
        <f>SUM(E57:G57)</f>
        <v>1.0900000000000001</v>
      </c>
      <c r="I57" s="243">
        <v>3.3</v>
      </c>
      <c r="J57" s="99"/>
      <c r="K57" s="99"/>
      <c r="L57" s="136"/>
      <c r="M57" s="12"/>
      <c r="N57" s="12"/>
      <c r="O57" s="12"/>
      <c r="P57" s="12"/>
      <c r="Q57" s="12"/>
      <c r="R57" s="47"/>
      <c r="S57" s="84"/>
      <c r="T57" s="84"/>
      <c r="U57" s="84"/>
      <c r="V57" s="84"/>
      <c r="W57" s="84"/>
      <c r="X57" s="83"/>
    </row>
    <row r="58" spans="1:24" s="7" customFormat="1">
      <c r="B58" s="1137" t="s">
        <v>706</v>
      </c>
      <c r="C58" s="1135" t="s">
        <v>409</v>
      </c>
      <c r="D58" s="1135" t="s">
        <v>446</v>
      </c>
      <c r="E58" s="137">
        <v>0.52</v>
      </c>
      <c r="F58" s="137">
        <v>0.28999999999999998</v>
      </c>
      <c r="G58" s="137">
        <v>0.29000000000000004</v>
      </c>
      <c r="H58" s="1136">
        <f>SUM(E58:G58)</f>
        <v>1.1000000000000001</v>
      </c>
      <c r="I58" s="139">
        <v>6</v>
      </c>
      <c r="J58" s="99"/>
      <c r="K58" s="99"/>
      <c r="L58" s="136"/>
      <c r="M58" s="12"/>
      <c r="N58" s="12"/>
      <c r="O58" s="12"/>
      <c r="P58" s="12"/>
      <c r="Q58" s="12"/>
      <c r="R58" s="47"/>
      <c r="S58" s="84"/>
      <c r="T58" s="84"/>
      <c r="U58" s="84"/>
      <c r="V58" s="84"/>
      <c r="W58" s="84"/>
      <c r="X58" s="83"/>
    </row>
    <row r="59" spans="1:24" s="7" customFormat="1">
      <c r="B59" s="47"/>
      <c r="C59" s="16"/>
      <c r="D59" s="137"/>
      <c r="E59" s="137"/>
      <c r="F59" s="137"/>
      <c r="G59" s="138"/>
      <c r="H59" s="139"/>
      <c r="I59" s="99"/>
      <c r="J59" s="99"/>
      <c r="K59" s="136"/>
      <c r="L59" s="12"/>
      <c r="M59" s="12"/>
      <c r="N59" s="12"/>
      <c r="O59" s="12"/>
      <c r="P59" s="12"/>
      <c r="Q59" s="47"/>
      <c r="R59" s="84"/>
      <c r="S59" s="84"/>
      <c r="T59" s="84"/>
      <c r="U59" s="84"/>
      <c r="V59" s="84"/>
      <c r="W59" s="83"/>
    </row>
    <row r="60" spans="1:24" s="7" customFormat="1">
      <c r="B60" s="12"/>
      <c r="C60" s="12"/>
      <c r="D60" s="16"/>
      <c r="E60" s="16"/>
      <c r="F60" s="12"/>
      <c r="G60" s="12"/>
      <c r="H60" s="12"/>
      <c r="I60" s="12"/>
      <c r="J60" s="12"/>
      <c r="K60" s="12"/>
      <c r="L60" s="12"/>
      <c r="M60" s="12"/>
      <c r="N60" s="12"/>
      <c r="O60" s="12"/>
      <c r="P60" s="12"/>
      <c r="Q60" s="12"/>
      <c r="R60" s="12"/>
      <c r="S60" s="12"/>
      <c r="T60" s="12"/>
      <c r="U60" s="12"/>
      <c r="V60" s="12"/>
      <c r="W60" s="12"/>
    </row>
    <row r="61" spans="1:24" s="7" customFormat="1" ht="15.75">
      <c r="A61" s="178">
        <v>3</v>
      </c>
      <c r="B61" s="124" t="s">
        <v>399</v>
      </c>
      <c r="C61" s="124"/>
      <c r="D61" s="12"/>
      <c r="E61" s="47"/>
      <c r="F61" s="12"/>
      <c r="G61" s="12"/>
      <c r="H61" s="12"/>
      <c r="I61" s="12"/>
      <c r="J61" s="12"/>
      <c r="K61" s="12"/>
      <c r="L61" s="12"/>
      <c r="M61" s="50"/>
      <c r="N61" s="140"/>
      <c r="O61" s="12"/>
      <c r="P61" s="12"/>
      <c r="Q61" s="12"/>
      <c r="R61" s="12"/>
      <c r="S61" s="12"/>
      <c r="T61" s="12"/>
      <c r="U61" s="12"/>
      <c r="V61" s="12"/>
      <c r="W61" s="12"/>
    </row>
    <row r="62" spans="1:24" s="7" customFormat="1" ht="15.75">
      <c r="A62" s="149"/>
      <c r="B62" s="150"/>
      <c r="C62" s="12"/>
      <c r="D62" s="12"/>
      <c r="E62" s="47"/>
      <c r="F62" s="12"/>
      <c r="G62" s="12"/>
      <c r="H62" s="12"/>
      <c r="I62" s="12"/>
      <c r="J62" s="12"/>
      <c r="K62" s="12"/>
      <c r="L62" s="12"/>
      <c r="M62" s="50"/>
      <c r="N62" s="140"/>
      <c r="O62" s="12"/>
      <c r="P62" s="12"/>
      <c r="Q62" s="12"/>
      <c r="R62" s="12"/>
      <c r="S62" s="12"/>
      <c r="T62" s="12"/>
      <c r="U62" s="12"/>
      <c r="V62" s="12"/>
      <c r="W62" s="12"/>
    </row>
    <row r="63" spans="1:24" s="7" customFormat="1" ht="12" thickBot="1">
      <c r="B63" s="39"/>
      <c r="C63" s="141"/>
      <c r="D63" s="16"/>
      <c r="E63" s="16"/>
      <c r="F63" s="16"/>
      <c r="G63" s="16"/>
      <c r="H63" s="12"/>
      <c r="I63" s="50"/>
      <c r="J63" s="12"/>
      <c r="K63" s="12"/>
      <c r="L63" s="12"/>
      <c r="M63" s="12"/>
      <c r="N63" s="12"/>
      <c r="O63" s="12"/>
      <c r="P63" s="12"/>
      <c r="Q63" s="12"/>
      <c r="R63" s="12"/>
      <c r="S63" s="12"/>
      <c r="T63" s="12"/>
      <c r="U63" s="12"/>
      <c r="V63" s="12"/>
      <c r="W63" s="12"/>
    </row>
    <row r="64" spans="1:24" s="7" customFormat="1" ht="12" thickBot="1">
      <c r="B64" s="39"/>
      <c r="C64" s="55" t="s">
        <v>35</v>
      </c>
      <c r="D64" s="55" t="s">
        <v>34</v>
      </c>
      <c r="E64" s="143" t="s">
        <v>33</v>
      </c>
      <c r="F64" s="16"/>
      <c r="G64" s="16"/>
      <c r="K64" s="12"/>
      <c r="L64" s="12"/>
      <c r="M64" s="12"/>
      <c r="N64" s="12"/>
      <c r="O64" s="12"/>
      <c r="P64" s="12"/>
      <c r="Q64" s="12"/>
      <c r="R64" s="12"/>
      <c r="S64" s="12"/>
      <c r="T64" s="12"/>
      <c r="U64" s="12"/>
      <c r="V64" s="12"/>
      <c r="W64" s="12"/>
    </row>
    <row r="65" spans="1:23" s="7" customFormat="1">
      <c r="B65" s="154" t="s">
        <v>369</v>
      </c>
      <c r="C65" s="155">
        <f>VLOOKUP(2.11,'Sim-Report'!1:1048576,3+CycleInCalculation,FALSE)</f>
        <v>62500</v>
      </c>
      <c r="D65" s="155">
        <f>VLOOKUP(2.12,'Sim-Report'!1:1048576,3+CycleInCalculation,FALSE)</f>
        <v>66950</v>
      </c>
      <c r="E65" s="155">
        <f>VLOOKUP(2.13,'Sim-Report'!1:1048576,3+CycleInCalculation,FALSE)</f>
        <v>72857</v>
      </c>
      <c r="F65" s="97"/>
      <c r="G65" s="16"/>
      <c r="K65" s="12"/>
      <c r="L65" s="12"/>
      <c r="M65" s="12"/>
      <c r="N65" s="12"/>
      <c r="O65" s="12"/>
      <c r="P65" s="12"/>
      <c r="Q65" s="12"/>
      <c r="R65" s="12"/>
      <c r="S65" s="12"/>
      <c r="T65" s="12"/>
      <c r="U65" s="12"/>
      <c r="V65" s="12"/>
      <c r="W65" s="12"/>
    </row>
    <row r="66" spans="1:23" s="7" customFormat="1">
      <c r="B66" s="39" t="s">
        <v>387</v>
      </c>
      <c r="C66" s="148">
        <f>VLOOKUP(2.31,'Sim-Report'!1:1048576,3+CycleInCalculation,FALSE)</f>
        <v>23500</v>
      </c>
      <c r="D66" s="148">
        <f>VLOOKUP(2.32,'Sim-Report'!1:1048576,3+CycleInCalculation,FALSE)</f>
        <v>31410</v>
      </c>
      <c r="E66" s="148">
        <f>VLOOKUP(2.33,'Sim-Report'!1:1048576,3+CycleInCalculation,FALSE)</f>
        <v>31299.599999999999</v>
      </c>
      <c r="F66" s="16"/>
      <c r="G66" s="16"/>
      <c r="K66" s="12"/>
      <c r="L66" s="12"/>
      <c r="M66" s="12"/>
      <c r="N66" s="12"/>
      <c r="O66" s="12"/>
      <c r="P66" s="12"/>
      <c r="Q66" s="12"/>
      <c r="R66" s="12"/>
      <c r="S66" s="12"/>
      <c r="T66" s="12"/>
      <c r="U66" s="12"/>
      <c r="V66" s="12"/>
      <c r="W66" s="12"/>
    </row>
    <row r="67" spans="1:23" s="7" customFormat="1">
      <c r="B67" s="154" t="s">
        <v>366</v>
      </c>
      <c r="C67" s="155">
        <f>VLOOKUP(2.41,'Sim-Report'!1:1048576,3+CycleInCalculation,FALSE)</f>
        <v>51500</v>
      </c>
      <c r="D67" s="155">
        <f>VLOOKUP(2.42,'Sim-Report'!1:1048576,3+CycleInCalculation,FALSE)</f>
        <v>51200</v>
      </c>
      <c r="E67" s="155">
        <f>VLOOKUP(2.43,'Sim-Report'!1:1048576,3+CycleInCalculation,FALSE)</f>
        <v>59145</v>
      </c>
      <c r="F67" s="16"/>
      <c r="G67" s="16"/>
      <c r="K67" s="12"/>
      <c r="L67" s="12"/>
      <c r="M67" s="12"/>
      <c r="N67" s="35"/>
      <c r="O67" s="12"/>
      <c r="P67" s="12"/>
      <c r="Q67" s="12"/>
      <c r="R67" s="12"/>
      <c r="S67" s="12"/>
      <c r="T67" s="12"/>
      <c r="U67" s="12"/>
      <c r="V67" s="12"/>
      <c r="W67" s="12"/>
    </row>
    <row r="68" spans="1:23" s="7" customFormat="1">
      <c r="B68" s="39" t="s">
        <v>83</v>
      </c>
      <c r="C68" s="148">
        <f>VLOOKUP(2.51,'Sim-Report'!1:1048576,3+CycleInCalculation,FALSE)</f>
        <v>5000</v>
      </c>
      <c r="D68" s="148">
        <f>VLOOKUP(2.52,'Sim-Report'!1:1048576,3+CycleInCalculation,FALSE)</f>
        <v>5400</v>
      </c>
      <c r="E68" s="148">
        <f>VLOOKUP(2.53,'Sim-Report'!1:1048576,3+CycleInCalculation,FALSE)</f>
        <v>6264</v>
      </c>
      <c r="F68" s="16"/>
      <c r="G68" s="16"/>
      <c r="K68" s="12"/>
      <c r="L68" s="12"/>
      <c r="M68" s="12"/>
      <c r="N68" s="12"/>
      <c r="O68" s="12"/>
      <c r="P68" s="12"/>
      <c r="Q68" s="12"/>
      <c r="R68" s="12"/>
      <c r="S68" s="12"/>
      <c r="T68" s="12"/>
      <c r="U68" s="12"/>
      <c r="V68" s="12"/>
      <c r="W68" s="12"/>
    </row>
    <row r="69" spans="1:23" s="7" customFormat="1">
      <c r="B69" s="154" t="s">
        <v>388</v>
      </c>
      <c r="C69" s="155">
        <f>VLOOKUP(2.61,'Sim-Report'!1:1048576,3+CycleInCalculation,FALSE)</f>
        <v>21697.57</v>
      </c>
      <c r="D69" s="155">
        <f>VLOOKUP(2.62,'Sim-Report'!1:1048576,3+CycleInCalculation,FALSE)</f>
        <v>21697.57</v>
      </c>
      <c r="E69" s="155">
        <f>VLOOKUP(2.63,'Sim-Report'!1:1048576,3+CycleInCalculation,FALSE)</f>
        <v>21697.57</v>
      </c>
      <c r="F69" s="16"/>
      <c r="G69" s="16"/>
      <c r="K69" s="12"/>
      <c r="L69" s="12"/>
      <c r="M69" s="12"/>
      <c r="N69" s="12"/>
      <c r="O69" s="12"/>
      <c r="P69" s="12"/>
      <c r="Q69" s="12"/>
      <c r="R69" s="12"/>
      <c r="S69" s="12"/>
      <c r="T69" s="12"/>
      <c r="U69" s="12"/>
      <c r="V69" s="12"/>
      <c r="W69" s="12"/>
    </row>
    <row r="70" spans="1:23" s="7" customFormat="1">
      <c r="B70" s="12"/>
      <c r="C70" s="98"/>
      <c r="D70" s="12"/>
      <c r="E70" s="12"/>
      <c r="F70" s="12"/>
      <c r="G70" s="12"/>
      <c r="K70" s="12"/>
      <c r="L70" s="12"/>
      <c r="M70" s="12"/>
      <c r="N70" s="12"/>
      <c r="O70" s="12"/>
      <c r="P70" s="12"/>
      <c r="Q70" s="12"/>
      <c r="R70" s="12"/>
      <c r="S70" s="12"/>
      <c r="T70" s="12"/>
      <c r="U70" s="12"/>
      <c r="V70" s="12"/>
      <c r="W70" s="12"/>
    </row>
    <row r="71" spans="1:23" s="7" customFormat="1">
      <c r="B71" s="40" t="s">
        <v>129</v>
      </c>
      <c r="C71" s="144">
        <f>SUM(C65:C70)</f>
        <v>164197.57</v>
      </c>
      <c r="D71" s="142">
        <f>SUM(D65:D70)</f>
        <v>176657.57</v>
      </c>
      <c r="E71" s="142">
        <f>SUM(E65:E70)</f>
        <v>191263.17</v>
      </c>
      <c r="F71" s="12"/>
      <c r="G71" s="12"/>
      <c r="H71" s="35"/>
      <c r="I71" s="35"/>
      <c r="J71" s="35"/>
      <c r="K71" s="12"/>
      <c r="L71" s="12"/>
      <c r="M71" s="12"/>
      <c r="N71" s="12"/>
      <c r="O71" s="12"/>
      <c r="P71" s="12"/>
      <c r="Q71" s="12"/>
      <c r="R71" s="12"/>
      <c r="S71" s="12"/>
      <c r="T71" s="12"/>
      <c r="U71" s="12"/>
      <c r="V71" s="12"/>
      <c r="W71" s="12"/>
    </row>
    <row r="72" spans="1:23" s="7" customFormat="1">
      <c r="B72" s="12"/>
      <c r="C72" s="12"/>
      <c r="D72" s="12"/>
      <c r="E72" s="12"/>
      <c r="F72" s="12"/>
      <c r="G72" s="12"/>
      <c r="H72" s="12"/>
      <c r="I72" s="12"/>
      <c r="J72" s="12"/>
      <c r="K72" s="12"/>
      <c r="L72" s="12"/>
      <c r="M72" s="12"/>
      <c r="N72" s="12"/>
      <c r="O72" s="12"/>
      <c r="P72" s="12"/>
      <c r="Q72" s="16"/>
      <c r="R72" s="84"/>
      <c r="S72" s="84"/>
      <c r="T72" s="84"/>
      <c r="U72" s="84"/>
      <c r="V72" s="84"/>
      <c r="W72" s="83"/>
    </row>
    <row r="73" spans="1:23" s="7" customFormat="1">
      <c r="B73" s="12" t="s">
        <v>680</v>
      </c>
      <c r="C73" s="924">
        <f>VLOOKUP(2.64,'Sim-Report'!1:1048576,3+CycleInCalculation,FALSE)</f>
        <v>60000</v>
      </c>
      <c r="D73" s="12"/>
      <c r="E73" s="12"/>
      <c r="F73" s="12"/>
      <c r="G73" s="12"/>
      <c r="H73" s="12"/>
      <c r="I73" s="12"/>
      <c r="J73" s="12"/>
      <c r="K73" s="12"/>
      <c r="L73" s="12"/>
      <c r="M73" s="12"/>
      <c r="N73" s="12"/>
      <c r="O73" s="12"/>
      <c r="P73" s="12"/>
      <c r="Q73" s="16"/>
      <c r="R73" s="84"/>
      <c r="S73" s="84"/>
      <c r="T73" s="84"/>
      <c r="U73" s="84"/>
      <c r="V73" s="84"/>
      <c r="W73" s="83"/>
    </row>
    <row r="74" spans="1:23" s="7" customFormat="1">
      <c r="B74" s="12" t="s">
        <v>679</v>
      </c>
      <c r="C74" s="924">
        <f>VLOOKUP(2,'Sim-Report'!1:1048576,3+CycleInCalculation,FALSE)</f>
        <v>150000</v>
      </c>
      <c r="D74" s="12"/>
      <c r="E74" s="12"/>
      <c r="F74" s="12"/>
      <c r="G74" s="12"/>
      <c r="H74" s="12"/>
      <c r="I74" s="12"/>
      <c r="J74" s="12"/>
      <c r="K74" s="12"/>
      <c r="L74" s="12"/>
      <c r="M74" s="12"/>
      <c r="N74" s="12"/>
      <c r="O74" s="12"/>
      <c r="P74" s="12"/>
      <c r="Q74" s="16"/>
      <c r="R74" s="84"/>
      <c r="S74" s="84"/>
      <c r="T74" s="84"/>
      <c r="U74" s="84"/>
      <c r="V74" s="84"/>
      <c r="W74" s="83"/>
    </row>
    <row r="75" spans="1:23" s="7" customFormat="1">
      <c r="B75" s="40"/>
      <c r="C75" s="82"/>
      <c r="D75" s="12"/>
      <c r="E75" s="12"/>
      <c r="F75" s="12"/>
      <c r="G75" s="12"/>
      <c r="H75" s="35"/>
      <c r="I75" s="35"/>
      <c r="J75" s="35"/>
      <c r="K75" s="12"/>
      <c r="L75" s="12"/>
      <c r="M75" s="12"/>
      <c r="N75" s="12"/>
      <c r="O75" s="12"/>
      <c r="P75" s="12"/>
      <c r="Q75" s="12"/>
      <c r="R75" s="12"/>
      <c r="S75" s="12"/>
      <c r="T75" s="12"/>
      <c r="U75" s="12"/>
      <c r="V75" s="12"/>
      <c r="W75" s="12"/>
    </row>
    <row r="76" spans="1:23" s="7" customFormat="1" ht="16.5" thickBot="1">
      <c r="A76" s="179">
        <v>4</v>
      </c>
      <c r="B76" s="124" t="s">
        <v>398</v>
      </c>
      <c r="C76" s="124"/>
      <c r="D76" s="12"/>
      <c r="E76" s="12"/>
      <c r="F76" s="12"/>
      <c r="G76" s="12"/>
      <c r="H76" s="12"/>
      <c r="I76" s="12"/>
      <c r="J76" s="12"/>
      <c r="K76" s="12"/>
      <c r="L76" s="12"/>
      <c r="M76" s="12"/>
      <c r="N76" s="12"/>
      <c r="O76" s="12"/>
      <c r="P76" s="12"/>
      <c r="Q76" s="12"/>
      <c r="R76" s="12"/>
      <c r="S76" s="12"/>
      <c r="T76" s="12"/>
      <c r="U76" s="12"/>
      <c r="V76" s="12"/>
      <c r="W76" s="12"/>
    </row>
    <row r="77" spans="1:23" s="7" customFormat="1" ht="12" thickBot="1">
      <c r="B77" s="13" t="s">
        <v>116</v>
      </c>
      <c r="C77" s="13"/>
      <c r="D77" s="51" t="s">
        <v>35</v>
      </c>
      <c r="E77" s="51" t="s">
        <v>35</v>
      </c>
      <c r="F77" s="51" t="s">
        <v>35</v>
      </c>
      <c r="G77" s="51" t="s">
        <v>35</v>
      </c>
      <c r="H77" s="51" t="s">
        <v>35</v>
      </c>
      <c r="I77" s="51" t="s">
        <v>35</v>
      </c>
      <c r="J77" s="51" t="s">
        <v>35</v>
      </c>
      <c r="K77" s="51" t="s">
        <v>35</v>
      </c>
      <c r="L77" s="51" t="s">
        <v>35</v>
      </c>
      <c r="M77" s="51" t="s">
        <v>35</v>
      </c>
      <c r="N77" s="51" t="s">
        <v>35</v>
      </c>
      <c r="O77" s="51" t="s">
        <v>35</v>
      </c>
      <c r="P77" s="55" t="s">
        <v>128</v>
      </c>
      <c r="Q77" s="12"/>
      <c r="R77" s="12"/>
      <c r="S77" s="12"/>
      <c r="T77" s="12"/>
      <c r="U77" s="12"/>
      <c r="V77" s="12"/>
      <c r="W77" s="12"/>
    </row>
    <row r="78" spans="1:23" s="7" customFormat="1" ht="12" thickBot="1">
      <c r="B78" s="13" t="s">
        <v>115</v>
      </c>
      <c r="C78" s="13"/>
      <c r="D78" s="42" t="s">
        <v>47</v>
      </c>
      <c r="E78" s="42" t="s">
        <v>46</v>
      </c>
      <c r="F78" s="42" t="s">
        <v>45</v>
      </c>
      <c r="G78" s="42" t="s">
        <v>44</v>
      </c>
      <c r="H78" s="42" t="s">
        <v>43</v>
      </c>
      <c r="I78" s="42" t="s">
        <v>42</v>
      </c>
      <c r="J78" s="42" t="s">
        <v>41</v>
      </c>
      <c r="K78" s="42" t="s">
        <v>40</v>
      </c>
      <c r="L78" s="42" t="s">
        <v>39</v>
      </c>
      <c r="M78" s="42" t="s">
        <v>38</v>
      </c>
      <c r="N78" s="42" t="s">
        <v>37</v>
      </c>
      <c r="O78" s="42" t="s">
        <v>36</v>
      </c>
      <c r="P78" s="55" t="s">
        <v>101</v>
      </c>
      <c r="Q78" s="12"/>
      <c r="R78" s="12"/>
      <c r="S78" s="12"/>
      <c r="T78" s="12"/>
      <c r="U78" s="12"/>
      <c r="V78" s="12"/>
      <c r="W78" s="12"/>
    </row>
    <row r="79" spans="1:23" s="7" customFormat="1">
      <c r="B79" s="71" t="s">
        <v>698</v>
      </c>
      <c r="C79" s="39" t="s">
        <v>390</v>
      </c>
      <c r="D79" s="163">
        <f>Price4_36MoPr(VarCostByProduct,B79)</f>
        <v>8</v>
      </c>
      <c r="E79" s="12"/>
      <c r="F79" s="12"/>
      <c r="G79" s="12"/>
      <c r="H79" s="70"/>
      <c r="I79" s="12"/>
      <c r="J79" s="12"/>
      <c r="K79" s="12"/>
      <c r="L79" s="12"/>
      <c r="M79" s="12"/>
      <c r="N79" s="12"/>
      <c r="O79" s="12"/>
      <c r="P79" s="53"/>
      <c r="Q79" s="12"/>
      <c r="R79" s="12"/>
      <c r="S79" s="12"/>
      <c r="T79" s="12"/>
      <c r="U79" s="12"/>
      <c r="V79" s="12"/>
      <c r="W79" s="12"/>
    </row>
    <row r="80" spans="1:23" s="7" customFormat="1">
      <c r="B80" s="40"/>
      <c r="C80" s="39" t="s">
        <v>121</v>
      </c>
      <c r="D80" s="164">
        <f>Varcosts4_36MoPr(VarCostByProduct,B79)</f>
        <v>1.1299999999999999</v>
      </c>
      <c r="E80" s="12"/>
      <c r="F80" s="12"/>
      <c r="G80" s="12"/>
      <c r="H80" s="12"/>
      <c r="I80" s="12"/>
      <c r="J80" s="12"/>
      <c r="K80" s="12"/>
      <c r="L80" s="12"/>
      <c r="M80" s="12"/>
      <c r="N80" s="12"/>
      <c r="O80" s="12"/>
      <c r="P80" s="53"/>
      <c r="Q80" s="12"/>
      <c r="R80" s="12"/>
      <c r="S80" s="12"/>
      <c r="T80" s="12"/>
      <c r="U80" s="12"/>
      <c r="V80" s="12"/>
      <c r="W80" s="12"/>
    </row>
    <row r="81" spans="1:49" s="74" customFormat="1">
      <c r="A81" s="7"/>
      <c r="B81" s="40"/>
      <c r="C81" s="161" t="s">
        <v>114</v>
      </c>
      <c r="D81" s="77">
        <f>Sales4_36MoPr(SalesJan,"FY-1",$B79)</f>
        <v>334.20498244440734</v>
      </c>
      <c r="E81" s="81">
        <f>Sales4_36MoPr(SalesFeb,"FY-1",$B79)</f>
        <v>334.20498244440734</v>
      </c>
      <c r="F81" s="81">
        <f>Sales4_36MoPr(SalesMar,"FY-1",$B79)</f>
        <v>411.41148047999997</v>
      </c>
      <c r="G81" s="81">
        <f>Sales4_36MoPr(SalesApr,"FY-1",$B79)</f>
        <v>372.41584896286179</v>
      </c>
      <c r="H81" s="81">
        <f>Sales4_36MoPr(SalesMay,"FY-1",$B79)</f>
        <v>548.54864063999992</v>
      </c>
      <c r="I81" s="81">
        <f>Sales4_36MoPr(SalesJun,"FY-1",$B79)</f>
        <v>712.25769669327246</v>
      </c>
      <c r="J81" s="81">
        <f>Sales4_36MoPr(SalesJul,"FY-1",$B79)</f>
        <v>712.25769669327246</v>
      </c>
      <c r="K81" s="81">
        <f>Sales4_36MoPr(SalesAug,"FY-1",$B79)</f>
        <v>712.25769669327246</v>
      </c>
      <c r="L81" s="81">
        <f>Sales4_36MoPr(SalesSep,"FY-1",$B79)</f>
        <v>685.68580079999992</v>
      </c>
      <c r="M81" s="81">
        <f>Sales4_36MoPr(SalesOct,"FY-1",$B79)</f>
        <v>625.13838936669276</v>
      </c>
      <c r="N81" s="81">
        <f>Sales4_36MoPr(SalesNov,"FY-1",$B79)</f>
        <v>372.41584896286179</v>
      </c>
      <c r="O81" s="81">
        <f>Sales4_36MoPr(SalesDec,"FY-1",$B79)</f>
        <v>372.41584896286179</v>
      </c>
      <c r="P81" s="938">
        <f>SUM(D81:O81)</f>
        <v>6193.2149131439101</v>
      </c>
      <c r="Q81" s="76"/>
      <c r="R81" s="76"/>
      <c r="S81" s="76"/>
      <c r="T81" s="76"/>
      <c r="U81" s="76"/>
      <c r="V81" s="76"/>
      <c r="W81" s="76"/>
      <c r="AW81" s="75"/>
    </row>
    <row r="82" spans="1:49" s="7" customFormat="1">
      <c r="B82" s="162"/>
      <c r="C82" s="39" t="s">
        <v>113</v>
      </c>
      <c r="D82" s="156">
        <f t="shared" ref="D82:O82" si="0">D81*$D79</f>
        <v>2673.6398595552587</v>
      </c>
      <c r="E82" s="54">
        <f t="shared" si="0"/>
        <v>2673.6398595552587</v>
      </c>
      <c r="F82" s="54">
        <f t="shared" si="0"/>
        <v>3291.2918438399997</v>
      </c>
      <c r="G82" s="54">
        <f t="shared" si="0"/>
        <v>2979.3267917028943</v>
      </c>
      <c r="H82" s="54">
        <f t="shared" si="0"/>
        <v>4388.3891251199993</v>
      </c>
      <c r="I82" s="54">
        <f t="shared" si="0"/>
        <v>5698.0615735461797</v>
      </c>
      <c r="J82" s="54">
        <f t="shared" si="0"/>
        <v>5698.0615735461797</v>
      </c>
      <c r="K82" s="54">
        <f t="shared" si="0"/>
        <v>5698.0615735461797</v>
      </c>
      <c r="L82" s="54">
        <f t="shared" si="0"/>
        <v>5485.4864063999994</v>
      </c>
      <c r="M82" s="54">
        <f t="shared" si="0"/>
        <v>5001.1071149335421</v>
      </c>
      <c r="N82" s="54">
        <f t="shared" si="0"/>
        <v>2979.3267917028943</v>
      </c>
      <c r="O82" s="54">
        <f t="shared" si="0"/>
        <v>2979.3267917028943</v>
      </c>
      <c r="P82" s="62">
        <f>SUM(D82:O82)</f>
        <v>49545.71930515128</v>
      </c>
      <c r="Q82" s="12"/>
      <c r="R82" s="12"/>
      <c r="S82" s="12"/>
      <c r="T82" s="12"/>
      <c r="U82" s="12"/>
      <c r="V82" s="12"/>
      <c r="W82" s="12"/>
    </row>
    <row r="83" spans="1:49" s="7" customFormat="1">
      <c r="B83" s="40"/>
      <c r="C83" s="39" t="s">
        <v>112</v>
      </c>
      <c r="D83" s="156">
        <f>D81*$D$80</f>
        <v>377.65163016218025</v>
      </c>
      <c r="E83" s="54">
        <f>E81*$D$80</f>
        <v>377.65163016218025</v>
      </c>
      <c r="F83" s="54">
        <f t="shared" ref="F83:O83" si="1">F81*$D80</f>
        <v>464.89497294239993</v>
      </c>
      <c r="G83" s="54">
        <f t="shared" si="1"/>
        <v>420.82990932803381</v>
      </c>
      <c r="H83" s="54">
        <f t="shared" si="1"/>
        <v>619.85996392319987</v>
      </c>
      <c r="I83" s="54">
        <f t="shared" si="1"/>
        <v>804.85119726339781</v>
      </c>
      <c r="J83" s="54">
        <f t="shared" si="1"/>
        <v>804.85119726339781</v>
      </c>
      <c r="K83" s="54">
        <f t="shared" si="1"/>
        <v>804.85119726339781</v>
      </c>
      <c r="L83" s="54">
        <f t="shared" si="1"/>
        <v>774.82495490399981</v>
      </c>
      <c r="M83" s="54">
        <f t="shared" si="1"/>
        <v>706.40637998436273</v>
      </c>
      <c r="N83" s="54">
        <f t="shared" si="1"/>
        <v>420.82990932803381</v>
      </c>
      <c r="O83" s="54">
        <f t="shared" si="1"/>
        <v>420.82990932803381</v>
      </c>
      <c r="P83" s="62">
        <f>SUM(D83:O83)</f>
        <v>6998.3328518526178</v>
      </c>
      <c r="Q83" s="12"/>
      <c r="R83" s="12"/>
      <c r="S83" s="12"/>
      <c r="T83" s="12"/>
      <c r="U83" s="12"/>
      <c r="V83" s="12"/>
      <c r="W83" s="12"/>
    </row>
    <row r="84" spans="1:49" s="7" customFormat="1">
      <c r="B84" s="40"/>
      <c r="C84" s="39" t="s">
        <v>111</v>
      </c>
      <c r="D84" s="156">
        <f>D82-D83</f>
        <v>2295.9882293930787</v>
      </c>
      <c r="E84" s="54">
        <f t="shared" ref="E84:O84" si="2">E82-E83</f>
        <v>2295.9882293930787</v>
      </c>
      <c r="F84" s="54">
        <f t="shared" si="2"/>
        <v>2826.3968708975999</v>
      </c>
      <c r="G84" s="54">
        <f t="shared" si="2"/>
        <v>2558.4968823748604</v>
      </c>
      <c r="H84" s="54">
        <f t="shared" si="2"/>
        <v>3768.5291611967996</v>
      </c>
      <c r="I84" s="54">
        <f t="shared" si="2"/>
        <v>4893.2103762827819</v>
      </c>
      <c r="J84" s="54">
        <f t="shared" si="2"/>
        <v>4893.2103762827819</v>
      </c>
      <c r="K84" s="54">
        <f t="shared" si="2"/>
        <v>4893.2103762827819</v>
      </c>
      <c r="L84" s="54">
        <f t="shared" si="2"/>
        <v>4710.6614514959992</v>
      </c>
      <c r="M84" s="54">
        <f t="shared" si="2"/>
        <v>4294.7007349491796</v>
      </c>
      <c r="N84" s="54">
        <f t="shared" si="2"/>
        <v>2558.4968823748604</v>
      </c>
      <c r="O84" s="54">
        <f t="shared" si="2"/>
        <v>2558.4968823748604</v>
      </c>
      <c r="P84" s="62">
        <f>SUM(D84:O84)</f>
        <v>42547.386453298677</v>
      </c>
      <c r="Q84" s="12"/>
      <c r="R84" s="12"/>
      <c r="S84" s="12"/>
      <c r="T84" s="12"/>
      <c r="U84" s="12"/>
      <c r="V84" s="12"/>
      <c r="W84" s="12"/>
    </row>
    <row r="85" spans="1:49" s="7" customFormat="1">
      <c r="B85" s="71" t="s">
        <v>699</v>
      </c>
      <c r="C85" s="39" t="s">
        <v>390</v>
      </c>
      <c r="D85" s="163">
        <f>Price4_36MoPr(VarCostByProduct,B85)</f>
        <v>8</v>
      </c>
      <c r="E85" s="12"/>
      <c r="F85" s="12"/>
      <c r="G85" s="12"/>
      <c r="H85" s="70"/>
      <c r="I85" s="12"/>
      <c r="J85" s="12"/>
      <c r="K85" s="12"/>
      <c r="L85" s="12"/>
      <c r="M85" s="12"/>
      <c r="N85" s="12"/>
      <c r="O85" s="12"/>
      <c r="P85" s="62"/>
      <c r="Q85" s="12"/>
      <c r="R85" s="12"/>
      <c r="S85" s="12"/>
      <c r="T85" s="12"/>
      <c r="U85" s="12"/>
      <c r="V85" s="12"/>
      <c r="W85" s="12"/>
    </row>
    <row r="86" spans="1:49" s="7" customFormat="1">
      <c r="B86" s="40"/>
      <c r="C86" s="39" t="s">
        <v>121</v>
      </c>
      <c r="D86" s="164">
        <f>Varcosts4_36MoPr(VarCostByProduct,B85)</f>
        <v>1.07</v>
      </c>
      <c r="E86" s="12"/>
      <c r="F86" s="12"/>
      <c r="G86" s="12"/>
      <c r="H86" s="12"/>
      <c r="I86" s="12"/>
      <c r="J86" s="12"/>
      <c r="K86" s="12"/>
      <c r="L86" s="12"/>
      <c r="M86" s="12"/>
      <c r="N86" s="12"/>
      <c r="O86" s="12"/>
      <c r="P86" s="62"/>
      <c r="Q86" s="12"/>
      <c r="R86" s="12"/>
      <c r="S86" s="12"/>
      <c r="T86" s="12"/>
      <c r="U86" s="12"/>
      <c r="V86" s="12"/>
      <c r="W86" s="12"/>
    </row>
    <row r="87" spans="1:49" s="74" customFormat="1">
      <c r="A87" s="7"/>
      <c r="B87" s="40"/>
      <c r="C87" s="161" t="s">
        <v>114</v>
      </c>
      <c r="D87" s="77">
        <f>Sales4_36MoPr(SalesJan,"FY-1",$B85)</f>
        <v>411.41148047999997</v>
      </c>
      <c r="E87" s="81">
        <f>Sales4_36MoPr(SalesFeb,"FY-1",$B85)</f>
        <v>411.41148047999997</v>
      </c>
      <c r="F87" s="81">
        <f>Sales4_36MoPr(SalesMar,"FY-1",$B85)</f>
        <v>357.11291090995718</v>
      </c>
      <c r="G87" s="81">
        <f>Sales4_36MoPr(SalesApr,"FY-1",$B85)</f>
        <v>476.15054787994279</v>
      </c>
      <c r="H87" s="81">
        <f>Sales4_36MoPr(SalesMay,"FY-1",$B85)</f>
        <v>476.15054787994285</v>
      </c>
      <c r="I87" s="81">
        <f>Sales4_36MoPr(SalesJun,"FY-1",$B85)</f>
        <v>754.25438087999987</v>
      </c>
      <c r="J87" s="81">
        <f>Sales4_36MoPr(SalesJul,"FY-1",$B85)</f>
        <v>772.41450376763066</v>
      </c>
      <c r="K87" s="81">
        <f>Sales4_36MoPr(SalesAug,"FY-1",$B85)</f>
        <v>754.25438087999987</v>
      </c>
      <c r="L87" s="81">
        <f>Sales4_36MoPr(SalesSep,"FY-1",$B85)</f>
        <v>685.68580079999992</v>
      </c>
      <c r="M87" s="81">
        <f>Sales4_36MoPr(SalesOct,"FY-1",$B85)</f>
        <v>655.01256144183503</v>
      </c>
      <c r="N87" s="81">
        <f>Sales4_36MoPr(SalesNov,"FY-1",$B85)</f>
        <v>411.41148047999997</v>
      </c>
      <c r="O87" s="81">
        <f>Sales4_36MoPr(SalesDec,"FY-1",$B85)</f>
        <v>410.07072799030914</v>
      </c>
      <c r="P87" s="938">
        <f>SUM(D87:O87)</f>
        <v>6575.340803869617</v>
      </c>
      <c r="Q87" s="76"/>
      <c r="R87" s="76"/>
      <c r="S87" s="76"/>
      <c r="T87" s="76"/>
      <c r="U87" s="76"/>
      <c r="V87" s="76"/>
      <c r="W87" s="76"/>
      <c r="AW87" s="75"/>
    </row>
    <row r="88" spans="1:49" s="7" customFormat="1">
      <c r="B88" s="162"/>
      <c r="C88" s="39" t="s">
        <v>113</v>
      </c>
      <c r="D88" s="156">
        <f t="shared" ref="D88:O88" si="3">D87*$D85</f>
        <v>3291.2918438399997</v>
      </c>
      <c r="E88" s="54">
        <f t="shared" si="3"/>
        <v>3291.2918438399997</v>
      </c>
      <c r="F88" s="54">
        <f t="shared" si="3"/>
        <v>2856.9032872796574</v>
      </c>
      <c r="G88" s="54">
        <f t="shared" si="3"/>
        <v>3809.2043830395423</v>
      </c>
      <c r="H88" s="54">
        <f t="shared" si="3"/>
        <v>3809.2043830395428</v>
      </c>
      <c r="I88" s="54">
        <f t="shared" si="3"/>
        <v>6034.035047039999</v>
      </c>
      <c r="J88" s="54">
        <f t="shared" si="3"/>
        <v>6179.3160301410453</v>
      </c>
      <c r="K88" s="54">
        <f t="shared" si="3"/>
        <v>6034.035047039999</v>
      </c>
      <c r="L88" s="54">
        <f t="shared" si="3"/>
        <v>5485.4864063999994</v>
      </c>
      <c r="M88" s="54">
        <f t="shared" si="3"/>
        <v>5240.1004915346803</v>
      </c>
      <c r="N88" s="54">
        <f t="shared" si="3"/>
        <v>3291.2918438399997</v>
      </c>
      <c r="O88" s="54">
        <f t="shared" si="3"/>
        <v>3280.5658239224731</v>
      </c>
      <c r="P88" s="62">
        <f>SUM(D88:O88)</f>
        <v>52602.726430956936</v>
      </c>
      <c r="Q88" s="12"/>
      <c r="R88" s="12"/>
      <c r="S88" s="12"/>
      <c r="T88" s="12"/>
      <c r="U88" s="12"/>
      <c r="V88" s="12"/>
      <c r="W88" s="12"/>
    </row>
    <row r="89" spans="1:49" s="7" customFormat="1">
      <c r="B89" s="40"/>
      <c r="C89" s="39" t="s">
        <v>112</v>
      </c>
      <c r="D89" s="156">
        <f>D87*$D$80</f>
        <v>464.89497294239993</v>
      </c>
      <c r="E89" s="54">
        <f>E87*$D$80</f>
        <v>464.89497294239993</v>
      </c>
      <c r="F89" s="54">
        <f t="shared" ref="F89:O89" si="4">F87*$D86</f>
        <v>382.1108146736542</v>
      </c>
      <c r="G89" s="54">
        <f t="shared" si="4"/>
        <v>509.48108623153882</v>
      </c>
      <c r="H89" s="54">
        <f t="shared" si="4"/>
        <v>509.48108623153888</v>
      </c>
      <c r="I89" s="54">
        <f t="shared" si="4"/>
        <v>807.05218754159989</v>
      </c>
      <c r="J89" s="54">
        <f t="shared" si="4"/>
        <v>826.48351903136484</v>
      </c>
      <c r="K89" s="54">
        <f t="shared" si="4"/>
        <v>807.05218754159989</v>
      </c>
      <c r="L89" s="54">
        <f t="shared" si="4"/>
        <v>733.68380685599993</v>
      </c>
      <c r="M89" s="54">
        <f t="shared" si="4"/>
        <v>700.86344074276349</v>
      </c>
      <c r="N89" s="54">
        <f t="shared" si="4"/>
        <v>440.21028411359998</v>
      </c>
      <c r="O89" s="54">
        <f t="shared" si="4"/>
        <v>438.77567894963079</v>
      </c>
      <c r="P89" s="62">
        <f>SUM(D89:O89)</f>
        <v>7084.9840377980909</v>
      </c>
      <c r="Q89" s="12"/>
      <c r="R89" s="12"/>
      <c r="S89" s="12"/>
      <c r="T89" s="12"/>
      <c r="U89" s="12"/>
      <c r="V89" s="12"/>
      <c r="W89" s="12"/>
    </row>
    <row r="90" spans="1:49" s="7" customFormat="1">
      <c r="B90" s="40"/>
      <c r="C90" s="39" t="s">
        <v>111</v>
      </c>
      <c r="D90" s="156">
        <f>D88-D89</f>
        <v>2826.3968708975999</v>
      </c>
      <c r="E90" s="54">
        <f t="shared" ref="E90:O90" si="5">E88-E89</f>
        <v>2826.3968708975999</v>
      </c>
      <c r="F90" s="54">
        <f t="shared" si="5"/>
        <v>2474.7924726060032</v>
      </c>
      <c r="G90" s="54">
        <f t="shared" si="5"/>
        <v>3299.7232968080034</v>
      </c>
      <c r="H90" s="54">
        <f t="shared" si="5"/>
        <v>3299.7232968080039</v>
      </c>
      <c r="I90" s="54">
        <f t="shared" si="5"/>
        <v>5226.9828594983992</v>
      </c>
      <c r="J90" s="54">
        <f t="shared" si="5"/>
        <v>5352.8325111096801</v>
      </c>
      <c r="K90" s="54">
        <f t="shared" si="5"/>
        <v>5226.9828594983992</v>
      </c>
      <c r="L90" s="54">
        <f t="shared" si="5"/>
        <v>4751.8025995439993</v>
      </c>
      <c r="M90" s="54">
        <f t="shared" si="5"/>
        <v>4539.2370507919168</v>
      </c>
      <c r="N90" s="54">
        <f t="shared" si="5"/>
        <v>2851.0815597264</v>
      </c>
      <c r="O90" s="54">
        <f t="shared" si="5"/>
        <v>2841.7901449728424</v>
      </c>
      <c r="P90" s="62">
        <f>SUM(D90:O90)</f>
        <v>45517.742393158849</v>
      </c>
      <c r="Q90" s="12"/>
      <c r="R90" s="12"/>
      <c r="S90" s="12"/>
      <c r="T90" s="12"/>
      <c r="U90" s="12"/>
      <c r="V90" s="12"/>
      <c r="W90" s="12"/>
    </row>
    <row r="91" spans="1:49" s="7" customFormat="1">
      <c r="B91" s="71" t="s">
        <v>700</v>
      </c>
      <c r="C91" s="39" t="s">
        <v>390</v>
      </c>
      <c r="D91" s="163">
        <f>Price4_36MoPr(VarCostByProduct,B91)</f>
        <v>7.5</v>
      </c>
      <c r="E91" s="12"/>
      <c r="F91" s="12"/>
      <c r="G91" s="12"/>
      <c r="H91" s="70"/>
      <c r="I91" s="12"/>
      <c r="J91" s="12"/>
      <c r="K91" s="12"/>
      <c r="L91" s="12"/>
      <c r="M91" s="12"/>
      <c r="N91" s="12"/>
      <c r="O91" s="12"/>
      <c r="P91" s="62"/>
      <c r="Q91" s="12"/>
      <c r="R91" s="12"/>
      <c r="S91" s="12"/>
      <c r="T91" s="12"/>
      <c r="U91" s="12"/>
      <c r="V91" s="12"/>
      <c r="W91" s="12"/>
    </row>
    <row r="92" spans="1:49" s="7" customFormat="1">
      <c r="B92" s="40"/>
      <c r="C92" s="39" t="s">
        <v>121</v>
      </c>
      <c r="D92" s="164">
        <f>Varcosts4_36MoPr(VarCostByProduct,B91)</f>
        <v>1.07</v>
      </c>
      <c r="E92" s="12"/>
      <c r="F92" s="12"/>
      <c r="G92" s="12"/>
      <c r="H92" s="12"/>
      <c r="I92" s="12"/>
      <c r="J92" s="12"/>
      <c r="K92" s="12"/>
      <c r="L92" s="12"/>
      <c r="M92" s="12"/>
      <c r="N92" s="12"/>
      <c r="O92" s="12"/>
      <c r="P92" s="62"/>
      <c r="Q92" s="12"/>
      <c r="R92" s="12"/>
      <c r="S92" s="12"/>
      <c r="T92" s="12"/>
      <c r="U92" s="12"/>
      <c r="V92" s="12"/>
      <c r="W92" s="12"/>
    </row>
    <row r="93" spans="1:49" s="74" customFormat="1">
      <c r="A93" s="7"/>
      <c r="B93" s="40"/>
      <c r="C93" s="161" t="s">
        <v>114</v>
      </c>
      <c r="D93" s="77">
        <f>Sales4_36MoPr(SalesJan,"FY-1",$B91)</f>
        <v>0</v>
      </c>
      <c r="E93" s="81">
        <f>Sales4_36MoPr(SalesFeb,"FY-1",$B91)</f>
        <v>0</v>
      </c>
      <c r="F93" s="81">
        <f>Sales4_36MoPr(SalesMar,"FY-1",$B91)</f>
        <v>0</v>
      </c>
      <c r="G93" s="81">
        <f>Sales4_36MoPr(SalesApr,"FY-1",$B91)</f>
        <v>0</v>
      </c>
      <c r="H93" s="81">
        <f>Sales4_36MoPr(SalesMay,"FY-1",$B91)</f>
        <v>717.33283775999996</v>
      </c>
      <c r="I93" s="81">
        <f>Sales4_36MoPr(SalesJun,"FY-1",$B91)</f>
        <v>717.33283775999996</v>
      </c>
      <c r="J93" s="81">
        <f>Sales4_36MoPr(SalesJul,"FY-1",$B91)</f>
        <v>1972.66530384</v>
      </c>
      <c r="K93" s="81">
        <f>Sales4_36MoPr(SalesAug,"FY-1",$B91)</f>
        <v>1075.9992566399999</v>
      </c>
      <c r="L93" s="81">
        <f>Sales4_36MoPr(SalesSep,"FY-1",$B91)</f>
        <v>1075.9992566399999</v>
      </c>
      <c r="M93" s="81">
        <f>Sales4_36MoPr(SalesOct,"FY-1",$B91)</f>
        <v>986.33265191999999</v>
      </c>
      <c r="N93" s="81">
        <f>Sales4_36MoPr(SalesNov,"FY-1",$B91)</f>
        <v>0</v>
      </c>
      <c r="O93" s="81">
        <f>Sales4_36MoPr(SalesDec,"FY-1",$B91)</f>
        <v>0</v>
      </c>
      <c r="P93" s="938">
        <f>SUM(D93:O93)</f>
        <v>6545.6621445599994</v>
      </c>
      <c r="Q93" s="76"/>
      <c r="R93" s="76"/>
      <c r="S93" s="76"/>
      <c r="T93" s="76"/>
      <c r="U93" s="76"/>
      <c r="V93" s="76"/>
      <c r="W93" s="76"/>
      <c r="AW93" s="75"/>
    </row>
    <row r="94" spans="1:49" s="7" customFormat="1">
      <c r="B94" s="162"/>
      <c r="C94" s="39" t="s">
        <v>113</v>
      </c>
      <c r="D94" s="156">
        <f t="shared" ref="D94:O94" si="6">D93*$D91</f>
        <v>0</v>
      </c>
      <c r="E94" s="54">
        <f t="shared" si="6"/>
        <v>0</v>
      </c>
      <c r="F94" s="54">
        <f t="shared" si="6"/>
        <v>0</v>
      </c>
      <c r="G94" s="54">
        <f t="shared" si="6"/>
        <v>0</v>
      </c>
      <c r="H94" s="54">
        <f t="shared" si="6"/>
        <v>5379.9962832000001</v>
      </c>
      <c r="I94" s="54">
        <f t="shared" si="6"/>
        <v>5379.9962832000001</v>
      </c>
      <c r="J94" s="54">
        <f t="shared" si="6"/>
        <v>14794.9897788</v>
      </c>
      <c r="K94" s="54">
        <f t="shared" si="6"/>
        <v>8069.9944247999993</v>
      </c>
      <c r="L94" s="54">
        <f t="shared" si="6"/>
        <v>8069.9944247999993</v>
      </c>
      <c r="M94" s="54">
        <f t="shared" si="6"/>
        <v>7397.4948893999999</v>
      </c>
      <c r="N94" s="54">
        <f t="shared" si="6"/>
        <v>0</v>
      </c>
      <c r="O94" s="54">
        <f t="shared" si="6"/>
        <v>0</v>
      </c>
      <c r="P94" s="62">
        <f>SUM(D94:O94)</f>
        <v>49092.466084199987</v>
      </c>
      <c r="Q94" s="12"/>
      <c r="R94" s="12"/>
      <c r="S94" s="12"/>
      <c r="T94" s="12"/>
      <c r="U94" s="12"/>
      <c r="V94" s="12"/>
      <c r="W94" s="12"/>
    </row>
    <row r="95" spans="1:49" s="7" customFormat="1">
      <c r="B95" s="40"/>
      <c r="C95" s="39" t="s">
        <v>112</v>
      </c>
      <c r="D95" s="156">
        <f>D93*$D$80</f>
        <v>0</v>
      </c>
      <c r="E95" s="54">
        <f>E93*$D$80</f>
        <v>0</v>
      </c>
      <c r="F95" s="54">
        <f t="shared" ref="F95:O95" si="7">F93*$D92</f>
        <v>0</v>
      </c>
      <c r="G95" s="54">
        <f t="shared" si="7"/>
        <v>0</v>
      </c>
      <c r="H95" s="54">
        <f t="shared" si="7"/>
        <v>767.54613640319997</v>
      </c>
      <c r="I95" s="54">
        <f t="shared" si="7"/>
        <v>767.54613640319997</v>
      </c>
      <c r="J95" s="54">
        <f t="shared" si="7"/>
        <v>2110.7518751088</v>
      </c>
      <c r="K95" s="54">
        <f t="shared" si="7"/>
        <v>1151.3192046048</v>
      </c>
      <c r="L95" s="54">
        <f t="shared" si="7"/>
        <v>1151.3192046048</v>
      </c>
      <c r="M95" s="54">
        <f t="shared" si="7"/>
        <v>1055.3759375544</v>
      </c>
      <c r="N95" s="54">
        <f t="shared" si="7"/>
        <v>0</v>
      </c>
      <c r="O95" s="54">
        <f t="shared" si="7"/>
        <v>0</v>
      </c>
      <c r="P95" s="62">
        <f>SUM(D95:O95)</f>
        <v>7003.8584946791998</v>
      </c>
      <c r="Q95" s="12"/>
      <c r="R95" s="12"/>
      <c r="S95" s="12"/>
      <c r="T95" s="12"/>
      <c r="U95" s="12"/>
      <c r="V95" s="12"/>
      <c r="W95" s="12"/>
    </row>
    <row r="96" spans="1:49" s="7" customFormat="1">
      <c r="B96" s="40"/>
      <c r="C96" s="39" t="s">
        <v>111</v>
      </c>
      <c r="D96" s="156">
        <f>D94-D95</f>
        <v>0</v>
      </c>
      <c r="E96" s="54">
        <f t="shared" ref="E96:O96" si="8">E94-E95</f>
        <v>0</v>
      </c>
      <c r="F96" s="54">
        <f t="shared" si="8"/>
        <v>0</v>
      </c>
      <c r="G96" s="54">
        <f t="shared" si="8"/>
        <v>0</v>
      </c>
      <c r="H96" s="54">
        <f t="shared" si="8"/>
        <v>4612.4501467968003</v>
      </c>
      <c r="I96" s="54">
        <f t="shared" si="8"/>
        <v>4612.4501467968003</v>
      </c>
      <c r="J96" s="54">
        <f t="shared" si="8"/>
        <v>12684.237903691199</v>
      </c>
      <c r="K96" s="54">
        <f t="shared" si="8"/>
        <v>6918.6752201951995</v>
      </c>
      <c r="L96" s="54">
        <f t="shared" si="8"/>
        <v>6918.6752201951995</v>
      </c>
      <c r="M96" s="54">
        <f t="shared" si="8"/>
        <v>6342.1189518455994</v>
      </c>
      <c r="N96" s="54">
        <f t="shared" si="8"/>
        <v>0</v>
      </c>
      <c r="O96" s="54">
        <f t="shared" si="8"/>
        <v>0</v>
      </c>
      <c r="P96" s="62">
        <f>SUM(D96:O96)</f>
        <v>42088.607589520798</v>
      </c>
      <c r="Q96" s="12"/>
      <c r="R96" s="12"/>
      <c r="S96" s="12"/>
      <c r="T96" s="12"/>
      <c r="U96" s="12"/>
      <c r="V96" s="12"/>
      <c r="W96" s="12"/>
    </row>
    <row r="97" spans="1:49" s="7" customFormat="1">
      <c r="B97" s="71" t="s">
        <v>701</v>
      </c>
      <c r="C97" s="39" t="s">
        <v>390</v>
      </c>
      <c r="D97" s="163">
        <f>Price4_36MoPr(VarCostByProduct,B97)</f>
        <v>7.5</v>
      </c>
      <c r="E97" s="12"/>
      <c r="F97" s="12"/>
      <c r="G97" s="12"/>
      <c r="H97" s="70"/>
      <c r="I97" s="12"/>
      <c r="J97" s="12"/>
      <c r="K97" s="12"/>
      <c r="L97" s="12"/>
      <c r="M97" s="12"/>
      <c r="N97" s="12"/>
      <c r="O97" s="12"/>
      <c r="P97" s="62"/>
      <c r="Q97" s="12"/>
      <c r="R97" s="12"/>
      <c r="S97" s="12"/>
      <c r="T97" s="12"/>
      <c r="U97" s="12"/>
      <c r="V97" s="12"/>
      <c r="W97" s="12"/>
    </row>
    <row r="98" spans="1:49" s="7" customFormat="1">
      <c r="B98" s="40"/>
      <c r="C98" s="39" t="s">
        <v>121</v>
      </c>
      <c r="D98" s="164">
        <f>Varcosts4_36MoPr(VarCostByProduct,B97)</f>
        <v>1.07</v>
      </c>
      <c r="E98" s="12"/>
      <c r="F98" s="12"/>
      <c r="G98" s="12"/>
      <c r="H98" s="12"/>
      <c r="I98" s="12"/>
      <c r="J98" s="12"/>
      <c r="K98" s="12"/>
      <c r="L98" s="12"/>
      <c r="M98" s="12"/>
      <c r="N98" s="12"/>
      <c r="O98" s="12"/>
      <c r="P98" s="62"/>
      <c r="Q98" s="12"/>
      <c r="R98" s="12"/>
      <c r="S98" s="12"/>
      <c r="T98" s="12"/>
      <c r="U98" s="12"/>
      <c r="V98" s="12"/>
      <c r="W98" s="12"/>
    </row>
    <row r="99" spans="1:49" s="74" customFormat="1">
      <c r="A99" s="7"/>
      <c r="B99" s="40"/>
      <c r="C99" s="161" t="s">
        <v>114</v>
      </c>
      <c r="D99" s="77">
        <f>Sales4_36MoPr(SalesJan,"FY-1",$B97)</f>
        <v>0</v>
      </c>
      <c r="E99" s="81">
        <f>Sales4_36MoPr(SalesFeb,"FY-1",$B97)</f>
        <v>0</v>
      </c>
      <c r="F99" s="81">
        <f>Sales4_36MoPr(SalesMar,"FY-1",$B97)</f>
        <v>0</v>
      </c>
      <c r="G99" s="81">
        <f>Sales4_36MoPr(SalesApr,"FY-1",$B97)</f>
        <v>701.50931928</v>
      </c>
      <c r="H99" s="81">
        <f>Sales4_36MoPr(SalesMay,"FY-1",$B97)</f>
        <v>801.72493631999998</v>
      </c>
      <c r="I99" s="81">
        <f>Sales4_36MoPr(SalesJun,"FY-1",$B97)</f>
        <v>1240</v>
      </c>
      <c r="J99" s="81">
        <f>Sales4_36MoPr(SalesJul,"FY-1",$B97)</f>
        <v>2204.7435748799999</v>
      </c>
      <c r="K99" s="81">
        <f>Sales4_36MoPr(SalesAug,"FY-1",$B97)</f>
        <v>2204.7435748799999</v>
      </c>
      <c r="L99" s="81">
        <f>Sales4_36MoPr(SalesSep,"FY-1",$B97)</f>
        <v>1240</v>
      </c>
      <c r="M99" s="81">
        <f>Sales4_36MoPr(SalesOct,"FY-1",$B97)</f>
        <v>0</v>
      </c>
      <c r="N99" s="81">
        <f>Sales4_36MoPr(SalesNov,"FY-1",$B97)</f>
        <v>0</v>
      </c>
      <c r="O99" s="81">
        <f>Sales4_36MoPr(SalesDec,"FY-1",$B97)</f>
        <v>0</v>
      </c>
      <c r="P99" s="938">
        <f>SUM(D99:O99)</f>
        <v>8392.7214053600001</v>
      </c>
      <c r="Q99" s="76"/>
      <c r="R99" s="76"/>
      <c r="S99" s="76"/>
      <c r="T99" s="76"/>
      <c r="U99" s="76"/>
      <c r="V99" s="76"/>
      <c r="W99" s="76"/>
      <c r="AW99" s="75"/>
    </row>
    <row r="100" spans="1:49" s="7" customFormat="1">
      <c r="B100" s="162"/>
      <c r="C100" s="39" t="s">
        <v>113</v>
      </c>
      <c r="D100" s="156">
        <f t="shared" ref="D100:O100" si="9">D99*$D97</f>
        <v>0</v>
      </c>
      <c r="E100" s="54">
        <f t="shared" si="9"/>
        <v>0</v>
      </c>
      <c r="F100" s="54">
        <f t="shared" si="9"/>
        <v>0</v>
      </c>
      <c r="G100" s="54">
        <f t="shared" si="9"/>
        <v>5261.3198946000002</v>
      </c>
      <c r="H100" s="54">
        <f t="shared" si="9"/>
        <v>6012.9370223999995</v>
      </c>
      <c r="I100" s="54">
        <f t="shared" si="9"/>
        <v>9300</v>
      </c>
      <c r="J100" s="54">
        <f t="shared" si="9"/>
        <v>16535.5768116</v>
      </c>
      <c r="K100" s="54">
        <f t="shared" si="9"/>
        <v>16535.5768116</v>
      </c>
      <c r="L100" s="54">
        <f t="shared" si="9"/>
        <v>9300</v>
      </c>
      <c r="M100" s="54">
        <f t="shared" si="9"/>
        <v>0</v>
      </c>
      <c r="N100" s="54">
        <f t="shared" si="9"/>
        <v>0</v>
      </c>
      <c r="O100" s="54">
        <f t="shared" si="9"/>
        <v>0</v>
      </c>
      <c r="P100" s="62">
        <f>SUM(D100:O100)</f>
        <v>62945.410540199999</v>
      </c>
      <c r="Q100" s="12"/>
      <c r="R100" s="12"/>
      <c r="S100" s="12"/>
      <c r="T100" s="12"/>
      <c r="U100" s="12"/>
      <c r="V100" s="12"/>
      <c r="W100" s="12"/>
    </row>
    <row r="101" spans="1:49" s="7" customFormat="1">
      <c r="B101" s="40"/>
      <c r="C101" s="39" t="s">
        <v>112</v>
      </c>
      <c r="D101" s="156">
        <f>D99*$D$80</f>
        <v>0</v>
      </c>
      <c r="E101" s="54">
        <f>E99*$D$80</f>
        <v>0</v>
      </c>
      <c r="F101" s="54">
        <f t="shared" ref="F101:O101" si="10">F99*$D98</f>
        <v>0</v>
      </c>
      <c r="G101" s="54">
        <f t="shared" si="10"/>
        <v>750.61497162960006</v>
      </c>
      <c r="H101" s="54">
        <f t="shared" si="10"/>
        <v>857.84568186240006</v>
      </c>
      <c r="I101" s="54">
        <f t="shared" si="10"/>
        <v>1326.8000000000002</v>
      </c>
      <c r="J101" s="54">
        <f t="shared" si="10"/>
        <v>2359.0756251215998</v>
      </c>
      <c r="K101" s="54">
        <f t="shared" si="10"/>
        <v>2359.0756251215998</v>
      </c>
      <c r="L101" s="54">
        <f t="shared" si="10"/>
        <v>1326.8000000000002</v>
      </c>
      <c r="M101" s="54">
        <f t="shared" si="10"/>
        <v>0</v>
      </c>
      <c r="N101" s="54">
        <f t="shared" si="10"/>
        <v>0</v>
      </c>
      <c r="O101" s="54">
        <f t="shared" si="10"/>
        <v>0</v>
      </c>
      <c r="P101" s="62">
        <f>SUM(D101:O101)</f>
        <v>8980.2119037352004</v>
      </c>
      <c r="Q101" s="12"/>
      <c r="R101" s="12"/>
      <c r="S101" s="12"/>
      <c r="T101" s="12"/>
      <c r="U101" s="12"/>
      <c r="V101" s="12"/>
      <c r="W101" s="12"/>
    </row>
    <row r="102" spans="1:49" s="7" customFormat="1">
      <c r="B102" s="40"/>
      <c r="C102" s="39" t="s">
        <v>111</v>
      </c>
      <c r="D102" s="156">
        <f>D100-D101</f>
        <v>0</v>
      </c>
      <c r="E102" s="54">
        <f t="shared" ref="E102:O102" si="11">E100-E101</f>
        <v>0</v>
      </c>
      <c r="F102" s="54">
        <f t="shared" si="11"/>
        <v>0</v>
      </c>
      <c r="G102" s="54">
        <f t="shared" si="11"/>
        <v>4510.7049229703998</v>
      </c>
      <c r="H102" s="54">
        <f t="shared" si="11"/>
        <v>5155.0913405375995</v>
      </c>
      <c r="I102" s="54">
        <f t="shared" si="11"/>
        <v>7973.2</v>
      </c>
      <c r="J102" s="54">
        <f t="shared" si="11"/>
        <v>14176.501186478399</v>
      </c>
      <c r="K102" s="54">
        <f t="shared" si="11"/>
        <v>14176.501186478399</v>
      </c>
      <c r="L102" s="54">
        <f t="shared" si="11"/>
        <v>7973.2</v>
      </c>
      <c r="M102" s="54">
        <f t="shared" si="11"/>
        <v>0</v>
      </c>
      <c r="N102" s="54">
        <f t="shared" si="11"/>
        <v>0</v>
      </c>
      <c r="O102" s="54">
        <f t="shared" si="11"/>
        <v>0</v>
      </c>
      <c r="P102" s="62">
        <f>SUM(D102:O102)</f>
        <v>53965.198636464796</v>
      </c>
      <c r="Q102" s="12"/>
      <c r="R102" s="12"/>
      <c r="S102" s="12"/>
      <c r="T102" s="12"/>
      <c r="U102" s="12"/>
      <c r="V102" s="12"/>
      <c r="W102" s="12"/>
    </row>
    <row r="103" spans="1:49" s="7" customFormat="1">
      <c r="B103" s="71" t="s">
        <v>702</v>
      </c>
      <c r="C103" s="39" t="s">
        <v>390</v>
      </c>
      <c r="D103" s="163">
        <f>Price4_36MoPr(VarCostByProduct,B103)</f>
        <v>7.5</v>
      </c>
      <c r="E103" s="12"/>
      <c r="F103" s="12"/>
      <c r="G103" s="12"/>
      <c r="H103" s="70"/>
      <c r="I103" s="12"/>
      <c r="J103" s="12"/>
      <c r="K103" s="12"/>
      <c r="L103" s="12"/>
      <c r="M103" s="12"/>
      <c r="N103" s="12"/>
      <c r="O103" s="12"/>
      <c r="P103" s="62"/>
      <c r="Q103" s="12"/>
      <c r="R103" s="12"/>
      <c r="S103" s="12"/>
      <c r="T103" s="12"/>
      <c r="U103" s="12"/>
      <c r="V103" s="12"/>
      <c r="W103" s="12"/>
    </row>
    <row r="104" spans="1:49" s="7" customFormat="1">
      <c r="B104" s="40"/>
      <c r="C104" s="39" t="s">
        <v>121</v>
      </c>
      <c r="D104" s="164">
        <f>Varcosts4_36MoPr(VarCostByProduct,B103)</f>
        <v>1.07</v>
      </c>
      <c r="E104" s="12"/>
      <c r="F104" s="12"/>
      <c r="G104" s="12"/>
      <c r="H104" s="12"/>
      <c r="I104" s="12"/>
      <c r="J104" s="12"/>
      <c r="K104" s="12"/>
      <c r="L104" s="12"/>
      <c r="M104" s="12"/>
      <c r="N104" s="12"/>
      <c r="O104" s="12"/>
      <c r="P104" s="62"/>
      <c r="Q104" s="12"/>
      <c r="R104" s="12"/>
      <c r="S104" s="12"/>
      <c r="T104" s="12"/>
      <c r="U104" s="12"/>
      <c r="V104" s="12"/>
      <c r="W104" s="12"/>
    </row>
    <row r="105" spans="1:49" s="74" customFormat="1">
      <c r="A105" s="7"/>
      <c r="B105" s="40"/>
      <c r="C105" s="161" t="s">
        <v>114</v>
      </c>
      <c r="D105" s="77">
        <f>Sales4_36MoPr(SalesJan,"FY-1",$B103)</f>
        <v>1240</v>
      </c>
      <c r="E105" s="81">
        <f>Sales4_36MoPr(SalesFeb,"FY-1",$B103)</f>
        <v>812.27394863999996</v>
      </c>
      <c r="F105" s="81">
        <f>Sales4_36MoPr(SalesMar,"FY-1",$B103)</f>
        <v>812.27394863999996</v>
      </c>
      <c r="G105" s="81">
        <f>Sales4_36MoPr(SalesApr,"FY-1",$B103)</f>
        <v>812.27394863999996</v>
      </c>
      <c r="H105" s="81">
        <f>Sales4_36MoPr(SalesMay,"FY-1",$B103)</f>
        <v>0</v>
      </c>
      <c r="I105" s="81">
        <f>Sales4_36MoPr(SalesJun,"FY-1",$B103)</f>
        <v>0</v>
      </c>
      <c r="J105" s="81">
        <f>Sales4_36MoPr(SalesJul,"FY-1",$B103)</f>
        <v>0</v>
      </c>
      <c r="K105" s="81">
        <f>Sales4_36MoPr(SalesAug,"FY-1",$B103)</f>
        <v>812.27394863999996</v>
      </c>
      <c r="L105" s="81">
        <f>Sales4_36MoPr(SalesSep,"FY-1",$B103)</f>
        <v>928.3130841599999</v>
      </c>
      <c r="M105" s="81">
        <f>Sales4_36MoPr(SalesOct,"FY-1",$B103)</f>
        <v>1240</v>
      </c>
      <c r="N105" s="81">
        <f>Sales4_36MoPr(SalesNov,"FY-1",$B103)</f>
        <v>1240</v>
      </c>
      <c r="O105" s="81">
        <f>Sales4_36MoPr(SalesDec,"FY-1",$B103)</f>
        <v>1240</v>
      </c>
      <c r="P105" s="938">
        <f>SUM(D105:O105)</f>
        <v>9137.4088787199998</v>
      </c>
      <c r="Q105" s="76"/>
      <c r="R105" s="76"/>
      <c r="S105" s="76"/>
      <c r="T105" s="76"/>
      <c r="U105" s="76"/>
      <c r="V105" s="76"/>
      <c r="W105" s="76"/>
      <c r="AW105" s="75"/>
    </row>
    <row r="106" spans="1:49" s="7" customFormat="1">
      <c r="B106" s="162"/>
      <c r="C106" s="39" t="s">
        <v>113</v>
      </c>
      <c r="D106" s="156">
        <f t="shared" ref="D106:O106" si="12">D105*$D103</f>
        <v>9300</v>
      </c>
      <c r="E106" s="54">
        <f t="shared" si="12"/>
        <v>6092.0546147999994</v>
      </c>
      <c r="F106" s="54">
        <f t="shared" si="12"/>
        <v>6092.0546147999994</v>
      </c>
      <c r="G106" s="54">
        <f t="shared" si="12"/>
        <v>6092.0546147999994</v>
      </c>
      <c r="H106" s="54">
        <f t="shared" si="12"/>
        <v>0</v>
      </c>
      <c r="I106" s="54">
        <f t="shared" si="12"/>
        <v>0</v>
      </c>
      <c r="J106" s="54">
        <f t="shared" si="12"/>
        <v>0</v>
      </c>
      <c r="K106" s="54">
        <f t="shared" si="12"/>
        <v>6092.0546147999994</v>
      </c>
      <c r="L106" s="54">
        <f t="shared" si="12"/>
        <v>6962.3481311999994</v>
      </c>
      <c r="M106" s="54">
        <f t="shared" si="12"/>
        <v>9300</v>
      </c>
      <c r="N106" s="54">
        <f t="shared" si="12"/>
        <v>9300</v>
      </c>
      <c r="O106" s="54">
        <f t="shared" si="12"/>
        <v>9300</v>
      </c>
      <c r="P106" s="62">
        <f>SUM(D106:O106)</f>
        <v>68530.566590400005</v>
      </c>
      <c r="Q106" s="12"/>
      <c r="R106" s="12"/>
      <c r="S106" s="12"/>
      <c r="T106" s="12"/>
      <c r="U106" s="12"/>
      <c r="V106" s="12"/>
      <c r="W106" s="12"/>
    </row>
    <row r="107" spans="1:49" s="7" customFormat="1">
      <c r="B107" s="40"/>
      <c r="C107" s="39" t="s">
        <v>112</v>
      </c>
      <c r="D107" s="156">
        <f>D105*$D$80</f>
        <v>1401.1999999999998</v>
      </c>
      <c r="E107" s="54">
        <f>E105*$D$80</f>
        <v>917.86956196319989</v>
      </c>
      <c r="F107" s="54">
        <f t="shared" ref="F107:O107" si="13">F105*$D104</f>
        <v>869.13312504479995</v>
      </c>
      <c r="G107" s="54">
        <f t="shared" si="13"/>
        <v>869.13312504479995</v>
      </c>
      <c r="H107" s="54">
        <f t="shared" si="13"/>
        <v>0</v>
      </c>
      <c r="I107" s="54">
        <f t="shared" si="13"/>
        <v>0</v>
      </c>
      <c r="J107" s="54">
        <f t="shared" si="13"/>
        <v>0</v>
      </c>
      <c r="K107" s="54">
        <f t="shared" si="13"/>
        <v>869.13312504479995</v>
      </c>
      <c r="L107" s="54">
        <f t="shared" si="13"/>
        <v>993.29500005119996</v>
      </c>
      <c r="M107" s="54">
        <f t="shared" si="13"/>
        <v>1326.8000000000002</v>
      </c>
      <c r="N107" s="54">
        <f t="shared" si="13"/>
        <v>1326.8000000000002</v>
      </c>
      <c r="O107" s="54">
        <f t="shared" si="13"/>
        <v>1326.8000000000002</v>
      </c>
      <c r="P107" s="62">
        <f>SUM(D107:O107)</f>
        <v>9900.1639371488018</v>
      </c>
      <c r="Q107" s="12"/>
      <c r="R107" s="12"/>
      <c r="S107" s="12"/>
      <c r="T107" s="12"/>
      <c r="U107" s="12"/>
      <c r="V107" s="12"/>
      <c r="W107" s="12"/>
    </row>
    <row r="108" spans="1:49" s="7" customFormat="1">
      <c r="B108" s="40"/>
      <c r="C108" s="39" t="s">
        <v>111</v>
      </c>
      <c r="D108" s="156">
        <f>D106-D107</f>
        <v>7898.8</v>
      </c>
      <c r="E108" s="54">
        <f t="shared" ref="E108:O108" si="14">E106-E107</f>
        <v>5174.1850528367995</v>
      </c>
      <c r="F108" s="54">
        <f t="shared" si="14"/>
        <v>5222.9214897551992</v>
      </c>
      <c r="G108" s="54">
        <f t="shared" si="14"/>
        <v>5222.9214897551992</v>
      </c>
      <c r="H108" s="54">
        <f t="shared" si="14"/>
        <v>0</v>
      </c>
      <c r="I108" s="54">
        <f t="shared" si="14"/>
        <v>0</v>
      </c>
      <c r="J108" s="54">
        <f t="shared" si="14"/>
        <v>0</v>
      </c>
      <c r="K108" s="54">
        <f t="shared" si="14"/>
        <v>5222.9214897551992</v>
      </c>
      <c r="L108" s="54">
        <f t="shared" si="14"/>
        <v>5969.0531311487994</v>
      </c>
      <c r="M108" s="54">
        <f t="shared" si="14"/>
        <v>7973.2</v>
      </c>
      <c r="N108" s="54">
        <f t="shared" si="14"/>
        <v>7973.2</v>
      </c>
      <c r="O108" s="54">
        <f t="shared" si="14"/>
        <v>7973.2</v>
      </c>
      <c r="P108" s="62">
        <f>SUM(D108:O108)</f>
        <v>58630.402653251193</v>
      </c>
      <c r="Q108" s="12"/>
      <c r="R108" s="12"/>
      <c r="S108" s="12"/>
      <c r="T108" s="12"/>
      <c r="U108" s="12"/>
      <c r="V108" s="12"/>
      <c r="W108" s="12"/>
    </row>
    <row r="109" spans="1:49" s="7" customFormat="1">
      <c r="B109" s="71" t="s">
        <v>703</v>
      </c>
      <c r="C109" s="39" t="s">
        <v>390</v>
      </c>
      <c r="D109" s="163">
        <f>Price4_36MoPr(VarCostByProduct,B109)</f>
        <v>7.5</v>
      </c>
      <c r="E109" s="12"/>
      <c r="F109" s="12"/>
      <c r="G109" s="12"/>
      <c r="H109" s="70"/>
      <c r="I109" s="12"/>
      <c r="J109" s="12"/>
      <c r="K109" s="12"/>
      <c r="L109" s="12"/>
      <c r="M109" s="12"/>
      <c r="N109" s="12"/>
      <c r="O109" s="12"/>
      <c r="P109" s="62"/>
      <c r="Q109" s="12"/>
      <c r="R109" s="12"/>
      <c r="S109" s="12"/>
      <c r="T109" s="12"/>
      <c r="U109" s="12"/>
      <c r="V109" s="12"/>
      <c r="W109" s="12"/>
    </row>
    <row r="110" spans="1:49" s="7" customFormat="1">
      <c r="B110" s="40"/>
      <c r="C110" s="39" t="s">
        <v>121</v>
      </c>
      <c r="D110" s="164">
        <f>Varcosts4_36MoPr(VarCostByProduct,B109)</f>
        <v>1.07</v>
      </c>
      <c r="E110" s="12"/>
      <c r="F110" s="12"/>
      <c r="G110" s="12"/>
      <c r="H110" s="12"/>
      <c r="I110" s="12"/>
      <c r="J110" s="12"/>
      <c r="K110" s="12"/>
      <c r="L110" s="12"/>
      <c r="M110" s="12"/>
      <c r="N110" s="12"/>
      <c r="O110" s="12"/>
      <c r="P110" s="62"/>
      <c r="Q110" s="12"/>
      <c r="R110" s="12"/>
      <c r="S110" s="12"/>
      <c r="T110" s="12"/>
      <c r="U110" s="12"/>
      <c r="V110" s="12"/>
      <c r="W110" s="12"/>
    </row>
    <row r="111" spans="1:49" s="74" customFormat="1">
      <c r="A111" s="7"/>
      <c r="B111" s="40"/>
      <c r="C111" s="161" t="s">
        <v>114</v>
      </c>
      <c r="D111" s="77">
        <f>Sales4_36MoPr(SalesJan,"FY-1",$B109)</f>
        <v>1240</v>
      </c>
      <c r="E111" s="81">
        <f>Sales4_36MoPr(SalesFeb,"FY-1",$B109)</f>
        <v>928.3130841599999</v>
      </c>
      <c r="F111" s="81">
        <f>Sales4_36MoPr(SalesMar,"FY-1",$B109)</f>
        <v>759.52888703999997</v>
      </c>
      <c r="G111" s="81">
        <f>Sales4_36MoPr(SalesApr,"FY-1",$B109)</f>
        <v>0</v>
      </c>
      <c r="H111" s="81">
        <f>Sales4_36MoPr(SalesMay,"FY-1",$B109)</f>
        <v>0</v>
      </c>
      <c r="I111" s="81">
        <f>Sales4_36MoPr(SalesJun,"FY-1",$B109)</f>
        <v>0</v>
      </c>
      <c r="J111" s="81">
        <f>Sales4_36MoPr(SalesJul,"FY-1",$B109)</f>
        <v>0</v>
      </c>
      <c r="K111" s="81">
        <f>Sales4_36MoPr(SalesAug,"FY-1",$B109)</f>
        <v>0</v>
      </c>
      <c r="L111" s="81">
        <f>Sales4_36MoPr(SalesSep,"FY-1",$B109)</f>
        <v>0</v>
      </c>
      <c r="M111" s="81">
        <f>Sales4_36MoPr(SalesOct,"FY-1",$B109)</f>
        <v>928.3130841599999</v>
      </c>
      <c r="N111" s="81">
        <f>Sales4_36MoPr(SalesNov,"FY-1",$B109)</f>
        <v>1012.7051827199999</v>
      </c>
      <c r="O111" s="81">
        <f>Sales4_36MoPr(SalesDec,"FY-1",$B109)</f>
        <v>1240</v>
      </c>
      <c r="P111" s="938">
        <f>SUM(D111:O111)</f>
        <v>6108.8602380800003</v>
      </c>
      <c r="Q111" s="76"/>
      <c r="R111" s="76"/>
      <c r="S111" s="76"/>
      <c r="T111" s="76"/>
      <c r="U111" s="76"/>
      <c r="V111" s="76"/>
      <c r="W111" s="76"/>
      <c r="AW111" s="75"/>
    </row>
    <row r="112" spans="1:49" s="7" customFormat="1">
      <c r="B112" s="162"/>
      <c r="C112" s="39" t="s">
        <v>113</v>
      </c>
      <c r="D112" s="156">
        <f t="shared" ref="D112:O112" si="15">D111*$D109</f>
        <v>9300</v>
      </c>
      <c r="E112" s="54">
        <f t="shared" si="15"/>
        <v>6962.3481311999994</v>
      </c>
      <c r="F112" s="54">
        <f t="shared" si="15"/>
        <v>5696.4666527999998</v>
      </c>
      <c r="G112" s="54">
        <f t="shared" si="15"/>
        <v>0</v>
      </c>
      <c r="H112" s="54">
        <f t="shared" si="15"/>
        <v>0</v>
      </c>
      <c r="I112" s="54">
        <f t="shared" si="15"/>
        <v>0</v>
      </c>
      <c r="J112" s="54">
        <f t="shared" si="15"/>
        <v>0</v>
      </c>
      <c r="K112" s="54">
        <f t="shared" si="15"/>
        <v>0</v>
      </c>
      <c r="L112" s="54">
        <f t="shared" si="15"/>
        <v>0</v>
      </c>
      <c r="M112" s="54">
        <f t="shared" si="15"/>
        <v>6962.3481311999994</v>
      </c>
      <c r="N112" s="54">
        <f t="shared" si="15"/>
        <v>7595.2888703999997</v>
      </c>
      <c r="O112" s="54">
        <f t="shared" si="15"/>
        <v>9300</v>
      </c>
      <c r="P112" s="62">
        <f>SUM(D112:O112)</f>
        <v>45816.451785600002</v>
      </c>
      <c r="Q112" s="12"/>
      <c r="R112" s="12"/>
      <c r="S112" s="12"/>
      <c r="T112" s="12"/>
      <c r="U112" s="12"/>
      <c r="V112" s="12"/>
      <c r="W112" s="12"/>
    </row>
    <row r="113" spans="1:49" s="7" customFormat="1">
      <c r="B113" s="40"/>
      <c r="C113" s="39" t="s">
        <v>112</v>
      </c>
      <c r="D113" s="156">
        <f>D111*$D$80</f>
        <v>1401.1999999999998</v>
      </c>
      <c r="E113" s="54">
        <f>E111*$D$80</f>
        <v>1048.9937851007999</v>
      </c>
      <c r="F113" s="54">
        <f t="shared" ref="F113:O113" si="16">F111*$D110</f>
        <v>812.69590913280001</v>
      </c>
      <c r="G113" s="54">
        <f t="shared" si="16"/>
        <v>0</v>
      </c>
      <c r="H113" s="54">
        <f t="shared" si="16"/>
        <v>0</v>
      </c>
      <c r="I113" s="54">
        <f t="shared" si="16"/>
        <v>0</v>
      </c>
      <c r="J113" s="54">
        <f t="shared" si="16"/>
        <v>0</v>
      </c>
      <c r="K113" s="54">
        <f t="shared" si="16"/>
        <v>0</v>
      </c>
      <c r="L113" s="54">
        <f t="shared" si="16"/>
        <v>0</v>
      </c>
      <c r="M113" s="54">
        <f t="shared" si="16"/>
        <v>993.29500005119996</v>
      </c>
      <c r="N113" s="54">
        <f t="shared" si="16"/>
        <v>1083.5945455103999</v>
      </c>
      <c r="O113" s="54">
        <f t="shared" si="16"/>
        <v>1326.8000000000002</v>
      </c>
      <c r="P113" s="62">
        <f>SUM(D113:O113)</f>
        <v>6666.5792397952</v>
      </c>
      <c r="Q113" s="12"/>
      <c r="R113" s="12"/>
      <c r="S113" s="12"/>
      <c r="T113" s="12"/>
      <c r="U113" s="12"/>
      <c r="V113" s="12"/>
      <c r="W113" s="12"/>
    </row>
    <row r="114" spans="1:49" s="7" customFormat="1">
      <c r="B114" s="40"/>
      <c r="C114" s="39" t="s">
        <v>111</v>
      </c>
      <c r="D114" s="156">
        <f>D112-D113</f>
        <v>7898.8</v>
      </c>
      <c r="E114" s="54">
        <f t="shared" ref="E114:O114" si="17">E112-E113</f>
        <v>5913.3543460991996</v>
      </c>
      <c r="F114" s="54">
        <f t="shared" si="17"/>
        <v>4883.7707436671999</v>
      </c>
      <c r="G114" s="54">
        <f t="shared" si="17"/>
        <v>0</v>
      </c>
      <c r="H114" s="54">
        <f t="shared" si="17"/>
        <v>0</v>
      </c>
      <c r="I114" s="54">
        <f t="shared" si="17"/>
        <v>0</v>
      </c>
      <c r="J114" s="54">
        <f t="shared" si="17"/>
        <v>0</v>
      </c>
      <c r="K114" s="54">
        <f t="shared" si="17"/>
        <v>0</v>
      </c>
      <c r="L114" s="54">
        <f t="shared" si="17"/>
        <v>0</v>
      </c>
      <c r="M114" s="54">
        <f t="shared" si="17"/>
        <v>5969.0531311487994</v>
      </c>
      <c r="N114" s="54">
        <f t="shared" si="17"/>
        <v>6511.6943248895996</v>
      </c>
      <c r="O114" s="54">
        <f t="shared" si="17"/>
        <v>7973.2</v>
      </c>
      <c r="P114" s="62">
        <f>SUM(D114:O114)</f>
        <v>39149.872545804792</v>
      </c>
      <c r="Q114" s="12"/>
      <c r="R114" s="12"/>
      <c r="S114" s="12"/>
      <c r="T114" s="12"/>
      <c r="U114" s="12"/>
      <c r="V114" s="12"/>
      <c r="W114" s="12"/>
    </row>
    <row r="115" spans="1:49" s="7" customFormat="1">
      <c r="B115" s="71" t="s">
        <v>704</v>
      </c>
      <c r="C115" s="39" t="s">
        <v>390</v>
      </c>
      <c r="D115" s="163">
        <f>Price4_36MoPr(VarCostByProduct,B115)</f>
        <v>3.3</v>
      </c>
      <c r="E115" s="12"/>
      <c r="F115" s="12"/>
      <c r="G115" s="12"/>
      <c r="H115" s="70"/>
      <c r="I115" s="12"/>
      <c r="J115" s="12"/>
      <c r="K115" s="12"/>
      <c r="L115" s="12"/>
      <c r="M115" s="12"/>
      <c r="N115" s="12"/>
      <c r="O115" s="12"/>
      <c r="P115" s="62"/>
      <c r="Q115" s="12"/>
      <c r="R115" s="12"/>
      <c r="S115" s="12"/>
      <c r="T115" s="12"/>
      <c r="U115" s="12"/>
      <c r="V115" s="12"/>
      <c r="W115" s="12"/>
    </row>
    <row r="116" spans="1:49" s="7" customFormat="1">
      <c r="B116" s="40"/>
      <c r="C116" s="39" t="s">
        <v>121</v>
      </c>
      <c r="D116" s="164">
        <f>Varcosts4_36MoPr(VarCostByProduct,B115)</f>
        <v>1.0900000000000001</v>
      </c>
      <c r="E116" s="12"/>
      <c r="F116" s="12"/>
      <c r="G116" s="12"/>
      <c r="H116" s="12"/>
      <c r="I116" s="12"/>
      <c r="J116" s="12"/>
      <c r="K116" s="12"/>
      <c r="L116" s="12"/>
      <c r="M116" s="12"/>
      <c r="N116" s="12"/>
      <c r="O116" s="12"/>
      <c r="P116" s="62"/>
      <c r="Q116" s="12"/>
      <c r="R116" s="12"/>
      <c r="S116" s="12"/>
      <c r="T116" s="12"/>
      <c r="U116" s="12"/>
      <c r="V116" s="12"/>
      <c r="W116" s="12"/>
    </row>
    <row r="117" spans="1:49" s="74" customFormat="1">
      <c r="A117" s="7"/>
      <c r="B117" s="40"/>
      <c r="C117" s="161" t="s">
        <v>114</v>
      </c>
      <c r="D117" s="77">
        <f>Sales4_36MoPr(SalesJan,"FY-1",$B115)</f>
        <v>2145.7950175555925</v>
      </c>
      <c r="E117" s="81">
        <f>Sales4_36MoPr(SalesFeb,"FY-1",$B115)</f>
        <v>2145.7950175555925</v>
      </c>
      <c r="F117" s="81">
        <f>Sales4_36MoPr(SalesMar,"FY-1",$B115)</f>
        <v>3169.8080567999996</v>
      </c>
      <c r="G117" s="81">
        <f>Sales4_36MoPr(SalesApr,"FY-1",$B115)</f>
        <v>3347.5841510371383</v>
      </c>
      <c r="H117" s="81">
        <f>Sales4_36MoPr(SalesMay,"FY-1",$B115)</f>
        <v>4226.4107423999994</v>
      </c>
      <c r="I117" s="81">
        <f>Sales4_36MoPr(SalesJun,"FY-1",$B115)</f>
        <v>5487.742303306728</v>
      </c>
      <c r="J117" s="81">
        <f>Sales4_36MoPr(SalesJul,"FY-1",$B115)</f>
        <v>5487.742303306728</v>
      </c>
      <c r="K117" s="81">
        <f>Sales4_36MoPr(SalesAug,"FY-1",$B115)</f>
        <v>5487.742303306728</v>
      </c>
      <c r="L117" s="81">
        <f>Sales4_36MoPr(SalesSep,"FY-1",$B115)</f>
        <v>5283.0134279999993</v>
      </c>
      <c r="M117" s="81">
        <f>Sales4_36MoPr(SalesOct,"FY-1",$B115)</f>
        <v>4334.8616106333075</v>
      </c>
      <c r="N117" s="81">
        <f>Sales4_36MoPr(SalesNov,"FY-1",$B115)</f>
        <v>3347.5841510371383</v>
      </c>
      <c r="O117" s="81">
        <f>Sales4_36MoPr(SalesDec,"FY-1",$B115)</f>
        <v>3347.5841510371383</v>
      </c>
      <c r="P117" s="938">
        <f>SUM(D117:O117)</f>
        <v>47811.663235976092</v>
      </c>
      <c r="Q117" s="76"/>
      <c r="R117" s="76"/>
      <c r="S117" s="76"/>
      <c r="T117" s="76"/>
      <c r="U117" s="76"/>
      <c r="V117" s="76"/>
      <c r="W117" s="76"/>
      <c r="AW117" s="75"/>
    </row>
    <row r="118" spans="1:49" s="7" customFormat="1">
      <c r="B118" s="162"/>
      <c r="C118" s="39" t="s">
        <v>113</v>
      </c>
      <c r="D118" s="156">
        <f>D117*$D115</f>
        <v>7081.1235579334552</v>
      </c>
      <c r="E118" s="54">
        <f t="shared" ref="E118:O118" si="18">E117*$D115</f>
        <v>7081.1235579334552</v>
      </c>
      <c r="F118" s="54">
        <f t="shared" si="18"/>
        <v>10460.366587439998</v>
      </c>
      <c r="G118" s="54">
        <f t="shared" si="18"/>
        <v>11047.027698422557</v>
      </c>
      <c r="H118" s="54">
        <f t="shared" si="18"/>
        <v>13947.155449919997</v>
      </c>
      <c r="I118" s="54">
        <f t="shared" si="18"/>
        <v>18109.5496009122</v>
      </c>
      <c r="J118" s="54">
        <f t="shared" si="18"/>
        <v>18109.5496009122</v>
      </c>
      <c r="K118" s="54">
        <f t="shared" si="18"/>
        <v>18109.5496009122</v>
      </c>
      <c r="L118" s="54">
        <f t="shared" si="18"/>
        <v>17433.944312399995</v>
      </c>
      <c r="M118" s="54">
        <f t="shared" si="18"/>
        <v>14305.043315089913</v>
      </c>
      <c r="N118" s="54">
        <f t="shared" si="18"/>
        <v>11047.027698422557</v>
      </c>
      <c r="O118" s="54">
        <f t="shared" si="18"/>
        <v>11047.027698422557</v>
      </c>
      <c r="P118" s="62">
        <f>SUM(D118:O118)</f>
        <v>157778.48867872107</v>
      </c>
      <c r="Q118" s="12"/>
      <c r="R118" s="12"/>
      <c r="S118" s="12"/>
      <c r="T118" s="12"/>
      <c r="U118" s="12"/>
      <c r="V118" s="12"/>
      <c r="W118" s="12"/>
    </row>
    <row r="119" spans="1:49" s="7" customFormat="1">
      <c r="B119" s="40"/>
      <c r="C119" s="39" t="s">
        <v>112</v>
      </c>
      <c r="D119" s="156">
        <f>D117*$D$80</f>
        <v>2424.7483698378192</v>
      </c>
      <c r="E119" s="54">
        <f>E117*$D$80</f>
        <v>2424.7483698378192</v>
      </c>
      <c r="F119" s="54">
        <f t="shared" ref="F119:O119" si="19">F117*$D116</f>
        <v>3455.0907819119998</v>
      </c>
      <c r="G119" s="54">
        <f t="shared" si="19"/>
        <v>3648.8667246304813</v>
      </c>
      <c r="H119" s="54">
        <f t="shared" si="19"/>
        <v>4606.7877092159997</v>
      </c>
      <c r="I119" s="54">
        <f t="shared" si="19"/>
        <v>5981.6391106043338</v>
      </c>
      <c r="J119" s="54">
        <f t="shared" si="19"/>
        <v>5981.6391106043338</v>
      </c>
      <c r="K119" s="54">
        <f t="shared" si="19"/>
        <v>5981.6391106043338</v>
      </c>
      <c r="L119" s="54">
        <f t="shared" si="19"/>
        <v>5758.4846365200001</v>
      </c>
      <c r="M119" s="54">
        <f t="shared" si="19"/>
        <v>4724.9991555903052</v>
      </c>
      <c r="N119" s="54">
        <f t="shared" si="19"/>
        <v>3648.8667246304813</v>
      </c>
      <c r="O119" s="54">
        <f t="shared" si="19"/>
        <v>3648.8667246304813</v>
      </c>
      <c r="P119" s="62">
        <f>SUM(D119:O119)</f>
        <v>52286.376528618392</v>
      </c>
      <c r="Q119" s="12"/>
      <c r="R119" s="12"/>
      <c r="S119" s="12"/>
      <c r="T119" s="12"/>
      <c r="U119" s="12"/>
      <c r="V119" s="12"/>
      <c r="W119" s="12"/>
    </row>
    <row r="120" spans="1:49" s="7" customFormat="1">
      <c r="B120" s="40"/>
      <c r="C120" s="39" t="s">
        <v>111</v>
      </c>
      <c r="D120" s="156">
        <f>D118-D119</f>
        <v>4656.3751880956361</v>
      </c>
      <c r="E120" s="54">
        <f t="shared" ref="E120:O120" si="20">E118-E119</f>
        <v>4656.3751880956361</v>
      </c>
      <c r="F120" s="54">
        <f t="shared" si="20"/>
        <v>7005.2758055279974</v>
      </c>
      <c r="G120" s="54">
        <f t="shared" si="20"/>
        <v>7398.1609737920753</v>
      </c>
      <c r="H120" s="54">
        <f t="shared" si="20"/>
        <v>9340.3677407039977</v>
      </c>
      <c r="I120" s="54">
        <f t="shared" si="20"/>
        <v>12127.910490307866</v>
      </c>
      <c r="J120" s="54">
        <f t="shared" si="20"/>
        <v>12127.910490307866</v>
      </c>
      <c r="K120" s="54">
        <f t="shared" si="20"/>
        <v>12127.910490307866</v>
      </c>
      <c r="L120" s="54">
        <f t="shared" si="20"/>
        <v>11675.459675879996</v>
      </c>
      <c r="M120" s="54">
        <f t="shared" si="20"/>
        <v>9580.0441594996082</v>
      </c>
      <c r="N120" s="54">
        <f t="shared" si="20"/>
        <v>7398.1609737920753</v>
      </c>
      <c r="O120" s="54">
        <f t="shared" si="20"/>
        <v>7398.1609737920753</v>
      </c>
      <c r="P120" s="62">
        <f>SUM(D120:O120)</f>
        <v>105492.11215010271</v>
      </c>
      <c r="Q120" s="12"/>
      <c r="R120" s="12"/>
      <c r="S120" s="12"/>
      <c r="T120" s="12"/>
      <c r="U120" s="12"/>
      <c r="V120" s="12"/>
      <c r="W120" s="12"/>
    </row>
    <row r="121" spans="1:49" s="7" customFormat="1">
      <c r="B121" s="71" t="s">
        <v>705</v>
      </c>
      <c r="C121" s="39" t="s">
        <v>390</v>
      </c>
      <c r="D121" s="163">
        <f>Price4_36MoPr(VarCostByProduct,B121)</f>
        <v>3.3</v>
      </c>
      <c r="E121" s="12"/>
      <c r="F121" s="12"/>
      <c r="G121" s="12"/>
      <c r="H121" s="70"/>
      <c r="I121" s="12"/>
      <c r="J121" s="12"/>
      <c r="K121" s="12"/>
      <c r="L121" s="12"/>
      <c r="M121" s="12"/>
      <c r="N121" s="12"/>
      <c r="O121" s="12"/>
      <c r="P121" s="62"/>
      <c r="Q121" s="12"/>
      <c r="R121" s="12"/>
      <c r="S121" s="12"/>
      <c r="T121" s="12"/>
      <c r="U121" s="12"/>
      <c r="V121" s="12"/>
      <c r="W121" s="12"/>
    </row>
    <row r="122" spans="1:49" s="7" customFormat="1">
      <c r="B122" s="40"/>
      <c r="C122" s="39" t="s">
        <v>121</v>
      </c>
      <c r="D122" s="164">
        <f>Varcosts4_36MoPr(VarCostByProduct,B121)</f>
        <v>1.0900000000000001</v>
      </c>
      <c r="E122" s="12"/>
      <c r="F122" s="12"/>
      <c r="G122" s="12"/>
      <c r="H122" s="12"/>
      <c r="I122" s="12"/>
      <c r="J122" s="12"/>
      <c r="K122" s="12"/>
      <c r="L122" s="12"/>
      <c r="M122" s="12"/>
      <c r="N122" s="12"/>
      <c r="O122" s="12"/>
      <c r="P122" s="62"/>
      <c r="Q122" s="12"/>
      <c r="R122" s="12"/>
      <c r="S122" s="12"/>
      <c r="T122" s="12"/>
      <c r="U122" s="12"/>
      <c r="V122" s="12"/>
      <c r="W122" s="12"/>
    </row>
    <row r="123" spans="1:49" s="74" customFormat="1">
      <c r="A123" s="7"/>
      <c r="B123" s="40"/>
      <c r="C123" s="161" t="s">
        <v>114</v>
      </c>
      <c r="D123" s="77">
        <f>Sales4_36MoPr(SalesJan,"FY-1",$B121)</f>
        <v>3228.508206</v>
      </c>
      <c r="E123" s="81">
        <f>Sales4_36MoPr(SalesFeb,"FY-1",$B121)</f>
        <v>3228.508206</v>
      </c>
      <c r="F123" s="81">
        <f>Sales4_36MoPr(SalesMar,"FY-1",$B121)</f>
        <v>3362.887089090043</v>
      </c>
      <c r="G123" s="81">
        <f>Sales4_36MoPr(SalesApr,"FY-1",$B121)</f>
        <v>4483.8494521200573</v>
      </c>
      <c r="H123" s="81">
        <f>Sales4_36MoPr(SalesMay,"FY-1",$B121)</f>
        <v>4483.8494521200573</v>
      </c>
      <c r="I123" s="81">
        <f>Sales4_36MoPr(SalesJun,"FY-1",$B121)</f>
        <v>6457.0164119999999</v>
      </c>
      <c r="J123" s="81">
        <f>Sales4_36MoPr(SalesJul,"FY-1",$B121)</f>
        <v>6667.5854962323692</v>
      </c>
      <c r="K123" s="81">
        <f>Sales4_36MoPr(SalesAug,"FY-1",$B121)</f>
        <v>7748.4196943999987</v>
      </c>
      <c r="L123" s="81">
        <f>Sales4_36MoPr(SalesSep,"FY-1",$B121)</f>
        <v>7748.4196943999987</v>
      </c>
      <c r="M123" s="81">
        <f>Sales4_36MoPr(SalesOct,"FY-1",$B121)</f>
        <v>6784.9874385581652</v>
      </c>
      <c r="N123" s="81">
        <f>Sales4_36MoPr(SalesNov,"FY-1",$B121)</f>
        <v>4519.9114884000001</v>
      </c>
      <c r="O123" s="81">
        <f>Sales4_36MoPr(SalesDec,"FY-1",$B121)</f>
        <v>3309.929272009691</v>
      </c>
      <c r="P123" s="938">
        <f>SUM(D123:O123)</f>
        <v>62023.871901330385</v>
      </c>
      <c r="Q123" s="76"/>
      <c r="R123" s="76"/>
      <c r="S123" s="76"/>
      <c r="T123" s="76"/>
      <c r="U123" s="76"/>
      <c r="V123" s="76"/>
      <c r="W123" s="76"/>
      <c r="AW123" s="75"/>
    </row>
    <row r="124" spans="1:49" s="7" customFormat="1">
      <c r="B124" s="162"/>
      <c r="C124" s="39" t="s">
        <v>113</v>
      </c>
      <c r="D124" s="156">
        <f t="shared" ref="D124:O124" si="21">D123*$D121</f>
        <v>10654.077079799999</v>
      </c>
      <c r="E124" s="54">
        <f t="shared" si="21"/>
        <v>10654.077079799999</v>
      </c>
      <c r="F124" s="54">
        <f t="shared" si="21"/>
        <v>11097.527393997141</v>
      </c>
      <c r="G124" s="54">
        <f t="shared" si="21"/>
        <v>14796.703191996188</v>
      </c>
      <c r="H124" s="54">
        <f t="shared" si="21"/>
        <v>14796.703191996188</v>
      </c>
      <c r="I124" s="54">
        <f t="shared" si="21"/>
        <v>21308.154159599999</v>
      </c>
      <c r="J124" s="54">
        <f t="shared" si="21"/>
        <v>22003.032137566817</v>
      </c>
      <c r="K124" s="54">
        <f t="shared" si="21"/>
        <v>25569.784991519995</v>
      </c>
      <c r="L124" s="54">
        <f t="shared" si="21"/>
        <v>25569.784991519995</v>
      </c>
      <c r="M124" s="54">
        <f t="shared" si="21"/>
        <v>22390.458547241942</v>
      </c>
      <c r="N124" s="54">
        <f t="shared" si="21"/>
        <v>14915.707911719999</v>
      </c>
      <c r="O124" s="54">
        <f t="shared" si="21"/>
        <v>10922.76659763198</v>
      </c>
      <c r="P124" s="62">
        <f>SUM(D124:O124)</f>
        <v>204678.77727439025</v>
      </c>
      <c r="Q124" s="12"/>
      <c r="R124" s="12"/>
      <c r="S124" s="12"/>
      <c r="T124" s="12"/>
      <c r="U124" s="12"/>
      <c r="V124" s="12"/>
      <c r="W124" s="12"/>
    </row>
    <row r="125" spans="1:49" s="7" customFormat="1">
      <c r="B125" s="40"/>
      <c r="C125" s="39" t="s">
        <v>112</v>
      </c>
      <c r="D125" s="156">
        <f>D123*$D$80</f>
        <v>3648.2142727799996</v>
      </c>
      <c r="E125" s="54">
        <f>E123*$D$80</f>
        <v>3648.2142727799996</v>
      </c>
      <c r="F125" s="54">
        <f t="shared" ref="F125:O125" si="22">F123*$D122</f>
        <v>3665.546927108147</v>
      </c>
      <c r="G125" s="54">
        <f t="shared" si="22"/>
        <v>4887.3959028108629</v>
      </c>
      <c r="H125" s="54">
        <f t="shared" si="22"/>
        <v>4887.3959028108629</v>
      </c>
      <c r="I125" s="54">
        <f t="shared" si="22"/>
        <v>7038.1478890800008</v>
      </c>
      <c r="J125" s="54">
        <f t="shared" si="22"/>
        <v>7267.6681908932833</v>
      </c>
      <c r="K125" s="54">
        <f t="shared" si="22"/>
        <v>8445.7774668959992</v>
      </c>
      <c r="L125" s="54">
        <f t="shared" si="22"/>
        <v>8445.7774668959992</v>
      </c>
      <c r="M125" s="54">
        <f t="shared" si="22"/>
        <v>7395.6363080284009</v>
      </c>
      <c r="N125" s="54">
        <f t="shared" si="22"/>
        <v>4926.7035223560006</v>
      </c>
      <c r="O125" s="54">
        <f t="shared" si="22"/>
        <v>3607.8229064905636</v>
      </c>
      <c r="P125" s="62">
        <f>SUM(D125:O125)</f>
        <v>67864.301028930116</v>
      </c>
      <c r="Q125" s="12"/>
      <c r="R125" s="12"/>
      <c r="S125" s="12"/>
      <c r="T125" s="12"/>
      <c r="U125" s="12"/>
      <c r="V125" s="12"/>
      <c r="W125" s="12"/>
    </row>
    <row r="126" spans="1:49" s="7" customFormat="1">
      <c r="B126" s="40"/>
      <c r="C126" s="39" t="s">
        <v>111</v>
      </c>
      <c r="D126" s="156">
        <f>D124-D125</f>
        <v>7005.8628070199993</v>
      </c>
      <c r="E126" s="54">
        <f t="shared" ref="E126:O126" si="23">E124-E125</f>
        <v>7005.8628070199993</v>
      </c>
      <c r="F126" s="54">
        <f t="shared" si="23"/>
        <v>7431.9804668889938</v>
      </c>
      <c r="G126" s="54">
        <f t="shared" si="23"/>
        <v>9909.3072891853262</v>
      </c>
      <c r="H126" s="54">
        <f t="shared" si="23"/>
        <v>9909.3072891853262</v>
      </c>
      <c r="I126" s="54">
        <f t="shared" si="23"/>
        <v>14270.006270519998</v>
      </c>
      <c r="J126" s="54">
        <f t="shared" si="23"/>
        <v>14735.363946673533</v>
      </c>
      <c r="K126" s="54">
        <f t="shared" si="23"/>
        <v>17124.007524623994</v>
      </c>
      <c r="L126" s="54">
        <f t="shared" si="23"/>
        <v>17124.007524623994</v>
      </c>
      <c r="M126" s="54">
        <f t="shared" si="23"/>
        <v>14994.822239213541</v>
      </c>
      <c r="N126" s="54">
        <f t="shared" si="23"/>
        <v>9989.0043893639995</v>
      </c>
      <c r="O126" s="54">
        <f t="shared" si="23"/>
        <v>7314.9436911414168</v>
      </c>
      <c r="P126" s="62">
        <f>SUM(D126:O126)</f>
        <v>136814.47624546013</v>
      </c>
      <c r="Q126" s="12"/>
      <c r="R126" s="12"/>
      <c r="S126" s="12"/>
      <c r="T126" s="12"/>
      <c r="U126" s="12"/>
      <c r="V126" s="12"/>
      <c r="W126" s="12"/>
    </row>
    <row r="127" spans="1:49" s="7" customFormat="1">
      <c r="B127" s="71" t="s">
        <v>706</v>
      </c>
      <c r="C127" s="39" t="s">
        <v>390</v>
      </c>
      <c r="D127" s="163">
        <f>Price4_36MoPr(VarCostByProduct,B127)</f>
        <v>6</v>
      </c>
      <c r="E127" s="12"/>
      <c r="F127" s="12"/>
      <c r="G127" s="12"/>
      <c r="H127" s="70"/>
      <c r="I127" s="12"/>
      <c r="J127" s="12"/>
      <c r="K127" s="12"/>
      <c r="L127" s="12"/>
      <c r="M127" s="12"/>
      <c r="N127" s="12"/>
      <c r="O127" s="12"/>
      <c r="P127" s="62"/>
      <c r="Q127" s="12"/>
      <c r="R127" s="12"/>
      <c r="S127" s="12"/>
      <c r="T127" s="12"/>
      <c r="U127" s="12"/>
      <c r="V127" s="12"/>
      <c r="W127" s="12"/>
    </row>
    <row r="128" spans="1:49" s="7" customFormat="1">
      <c r="B128" s="40"/>
      <c r="C128" s="39" t="s">
        <v>121</v>
      </c>
      <c r="D128" s="164">
        <f>Varcosts4_36MoPr(VarCostByProduct,B127)</f>
        <v>1.1000000000000001</v>
      </c>
      <c r="E128" s="12"/>
      <c r="F128" s="12"/>
      <c r="G128" s="12"/>
      <c r="H128" s="12"/>
      <c r="I128" s="12"/>
      <c r="J128" s="12"/>
      <c r="K128" s="12"/>
      <c r="L128" s="12"/>
      <c r="M128" s="12"/>
      <c r="N128" s="12"/>
      <c r="O128" s="12"/>
      <c r="P128" s="62"/>
      <c r="Q128" s="12"/>
      <c r="R128" s="12"/>
      <c r="S128" s="12"/>
      <c r="T128" s="12"/>
      <c r="U128" s="12"/>
      <c r="V128" s="12"/>
      <c r="W128" s="12"/>
    </row>
    <row r="129" spans="1:49" s="74" customFormat="1">
      <c r="A129" s="7"/>
      <c r="B129" s="40"/>
      <c r="C129" s="161" t="s">
        <v>114</v>
      </c>
      <c r="D129" s="77">
        <f>Sales4_36MoPr(SalesJan,"FY-1",$B127)</f>
        <v>80.080313520000345</v>
      </c>
      <c r="E129" s="81">
        <f>Sales4_36MoPr(SalesFeb,"FY-1",$B127)</f>
        <v>782.59112127999833</v>
      </c>
      <c r="F129" s="81">
        <f>Sales4_36MoPr(SalesMar,"FY-1",$B127)</f>
        <v>1046.9776270399998</v>
      </c>
      <c r="G129" s="81">
        <f>Sales4_36MoPr(SalesApr,"FY-1",$B127)</f>
        <v>966.21673207999993</v>
      </c>
      <c r="H129" s="81">
        <f>Sales4_36MoPr(SalesMay,"FY-1",$B127)</f>
        <v>1145.982842880001</v>
      </c>
      <c r="I129" s="81">
        <f>Sales4_36MoPr(SalesJun,"FY-1",$B127)</f>
        <v>751.39636935999806</v>
      </c>
      <c r="J129" s="81">
        <f>Sales4_36MoPr(SalesJul,"FY-1",$B127)</f>
        <v>782.59112127999833</v>
      </c>
      <c r="K129" s="81">
        <f>Sales4_36MoPr(SalesAug,"FY-1",$B127)</f>
        <v>1044.3091445600003</v>
      </c>
      <c r="L129" s="81">
        <f>Sales4_36MoPr(SalesSep,"FY-1",$B127)</f>
        <v>952.88293520000298</v>
      </c>
      <c r="M129" s="81">
        <f>Sales4_36MoPr(SalesOct,"FY-1",$B127)</f>
        <v>565.35426391999863</v>
      </c>
      <c r="N129" s="81">
        <f>Sales4_36MoPr(SalesNov,"FY-1",$B127)</f>
        <v>255.97184840000045</v>
      </c>
      <c r="O129" s="81">
        <f>Sales4_36MoPr(SalesDec,"FY-1",$B127)</f>
        <v>0</v>
      </c>
      <c r="P129" s="938">
        <f>SUM(D129:O129)</f>
        <v>8374.3543195199982</v>
      </c>
      <c r="Q129" s="76"/>
      <c r="R129" s="76"/>
      <c r="S129" s="76"/>
      <c r="T129" s="76"/>
      <c r="U129" s="76"/>
      <c r="V129" s="76"/>
      <c r="W129" s="76"/>
      <c r="AW129" s="75"/>
    </row>
    <row r="130" spans="1:49" s="7" customFormat="1">
      <c r="B130" s="162"/>
      <c r="C130" s="39" t="s">
        <v>113</v>
      </c>
      <c r="D130" s="156">
        <f t="shared" ref="D130:O130" si="24">D129*$D127</f>
        <v>480.48188112000207</v>
      </c>
      <c r="E130" s="54">
        <f t="shared" si="24"/>
        <v>4695.54672767999</v>
      </c>
      <c r="F130" s="54">
        <f t="shared" si="24"/>
        <v>6281.8657622399987</v>
      </c>
      <c r="G130" s="54">
        <f t="shared" si="24"/>
        <v>5797.3003924799996</v>
      </c>
      <c r="H130" s="54">
        <f t="shared" si="24"/>
        <v>6875.8970572800063</v>
      </c>
      <c r="I130" s="54">
        <f t="shared" si="24"/>
        <v>4508.3782161599884</v>
      </c>
      <c r="J130" s="54">
        <f t="shared" si="24"/>
        <v>4695.54672767999</v>
      </c>
      <c r="K130" s="54">
        <f t="shared" si="24"/>
        <v>6265.8548673600017</v>
      </c>
      <c r="L130" s="54">
        <f t="shared" si="24"/>
        <v>5717.2976112000179</v>
      </c>
      <c r="M130" s="54">
        <f t="shared" si="24"/>
        <v>3392.1255835199918</v>
      </c>
      <c r="N130" s="54">
        <f t="shared" si="24"/>
        <v>1535.8310904000027</v>
      </c>
      <c r="O130" s="54">
        <f t="shared" si="24"/>
        <v>0</v>
      </c>
      <c r="P130" s="62">
        <f>SUM(D130:O130)</f>
        <v>50246.125917119993</v>
      </c>
      <c r="Q130" s="12"/>
      <c r="R130" s="12"/>
      <c r="S130" s="12"/>
      <c r="T130" s="12"/>
      <c r="U130" s="12"/>
      <c r="V130" s="12"/>
      <c r="W130" s="12"/>
    </row>
    <row r="131" spans="1:49" s="7" customFormat="1">
      <c r="B131" s="40"/>
      <c r="C131" s="39" t="s">
        <v>112</v>
      </c>
      <c r="D131" s="156">
        <f>D129*$D$80</f>
        <v>90.490754277600388</v>
      </c>
      <c r="E131" s="54">
        <f>E129*$D$80</f>
        <v>884.32796704639804</v>
      </c>
      <c r="F131" s="54">
        <f t="shared" ref="F131:O131" si="25">F129*$D128</f>
        <v>1151.6753897439999</v>
      </c>
      <c r="G131" s="54">
        <f t="shared" si="25"/>
        <v>1062.8384052880001</v>
      </c>
      <c r="H131" s="54">
        <f t="shared" si="25"/>
        <v>1260.5811271680013</v>
      </c>
      <c r="I131" s="54">
        <f t="shared" si="25"/>
        <v>826.53600629599794</v>
      </c>
      <c r="J131" s="54">
        <f t="shared" si="25"/>
        <v>860.85023340799819</v>
      </c>
      <c r="K131" s="54">
        <f t="shared" si="25"/>
        <v>1148.7400590160005</v>
      </c>
      <c r="L131" s="54">
        <f t="shared" si="25"/>
        <v>1048.1712287200035</v>
      </c>
      <c r="M131" s="54">
        <f t="shared" si="25"/>
        <v>621.88969031199849</v>
      </c>
      <c r="N131" s="54">
        <f t="shared" si="25"/>
        <v>281.56903324000052</v>
      </c>
      <c r="O131" s="54">
        <f t="shared" si="25"/>
        <v>0</v>
      </c>
      <c r="P131" s="62">
        <f>SUM(D131:O131)</f>
        <v>9237.6698945160006</v>
      </c>
      <c r="Q131" s="12"/>
      <c r="R131" s="12"/>
      <c r="S131" s="12"/>
      <c r="T131" s="12"/>
      <c r="U131" s="12"/>
      <c r="V131" s="12"/>
      <c r="W131" s="12"/>
    </row>
    <row r="132" spans="1:49" s="7" customFormat="1">
      <c r="B132" s="40"/>
      <c r="C132" s="39" t="s">
        <v>111</v>
      </c>
      <c r="D132" s="156">
        <f>D130-D131</f>
        <v>389.99112684240168</v>
      </c>
      <c r="E132" s="54">
        <f t="shared" ref="E132:O132" si="26">E130-E131</f>
        <v>3811.218760633592</v>
      </c>
      <c r="F132" s="54">
        <f t="shared" si="26"/>
        <v>5130.1903724959993</v>
      </c>
      <c r="G132" s="54">
        <f t="shared" si="26"/>
        <v>4734.4619871919995</v>
      </c>
      <c r="H132" s="54">
        <f t="shared" si="26"/>
        <v>5615.3159301120049</v>
      </c>
      <c r="I132" s="54">
        <f t="shared" si="26"/>
        <v>3681.8422098639903</v>
      </c>
      <c r="J132" s="54">
        <f t="shared" si="26"/>
        <v>3834.6964942719919</v>
      </c>
      <c r="K132" s="54">
        <f t="shared" si="26"/>
        <v>5117.1148083440012</v>
      </c>
      <c r="L132" s="54">
        <f t="shared" si="26"/>
        <v>4669.1263824800144</v>
      </c>
      <c r="M132" s="54">
        <f t="shared" si="26"/>
        <v>2770.2358932079933</v>
      </c>
      <c r="N132" s="54">
        <f t="shared" si="26"/>
        <v>1254.2620571600023</v>
      </c>
      <c r="O132" s="54">
        <f t="shared" si="26"/>
        <v>0</v>
      </c>
      <c r="P132" s="62">
        <f>SUM(D132:O132)</f>
        <v>41008.456022603998</v>
      </c>
      <c r="Q132" s="12"/>
      <c r="R132" s="12"/>
      <c r="S132" s="12"/>
      <c r="T132" s="12"/>
      <c r="U132" s="12"/>
      <c r="V132" s="12"/>
      <c r="W132" s="12"/>
    </row>
    <row r="133" spans="1:49" s="7" customFormat="1">
      <c r="B133" s="40"/>
      <c r="C133" s="39"/>
      <c r="D133" s="156"/>
      <c r="E133" s="65"/>
      <c r="F133" s="65"/>
      <c r="G133" s="65"/>
      <c r="H133" s="65"/>
      <c r="I133" s="65"/>
      <c r="J133" s="65"/>
      <c r="K133" s="65"/>
      <c r="L133" s="65"/>
      <c r="M133" s="65"/>
      <c r="N133" s="65"/>
      <c r="O133" s="65"/>
      <c r="P133" s="62"/>
      <c r="Q133" s="12"/>
      <c r="R133" s="12"/>
      <c r="S133" s="12"/>
      <c r="T133" s="12"/>
      <c r="U133" s="12"/>
      <c r="V133" s="12"/>
      <c r="W133" s="12"/>
    </row>
    <row r="134" spans="1:49" s="7" customFormat="1">
      <c r="B134" s="40"/>
      <c r="C134" s="39" t="s">
        <v>110</v>
      </c>
      <c r="D134" s="68">
        <f t="shared" ref="D134:O134" si="27">SUMIF($C79:$C133,"Revenue",D79:D133)</f>
        <v>42780.614222248718</v>
      </c>
      <c r="E134" s="68">
        <f t="shared" si="27"/>
        <v>41450.081814808706</v>
      </c>
      <c r="F134" s="68">
        <f t="shared" si="27"/>
        <v>45776.476142396794</v>
      </c>
      <c r="G134" s="68">
        <f t="shared" si="27"/>
        <v>49782.936967041183</v>
      </c>
      <c r="H134" s="68">
        <f t="shared" si="27"/>
        <v>55210.282512955731</v>
      </c>
      <c r="I134" s="68">
        <f t="shared" si="27"/>
        <v>70338.174880458362</v>
      </c>
      <c r="J134" s="68">
        <f t="shared" si="27"/>
        <v>88016.072660246224</v>
      </c>
      <c r="K134" s="68">
        <f t="shared" si="27"/>
        <v>92374.911931578376</v>
      </c>
      <c r="L134" s="68">
        <f t="shared" si="27"/>
        <v>84024.342283920007</v>
      </c>
      <c r="M134" s="68">
        <f t="shared" si="27"/>
        <v>73988.678072920069</v>
      </c>
      <c r="N134" s="68">
        <f t="shared" si="27"/>
        <v>50664.474206485451</v>
      </c>
      <c r="O134" s="68">
        <f t="shared" si="27"/>
        <v>46829.686911679906</v>
      </c>
      <c r="P134" s="62">
        <f>SUM(D134:O134)</f>
        <v>741236.7326067395</v>
      </c>
      <c r="Q134" s="12"/>
      <c r="R134" s="12"/>
      <c r="S134" s="12"/>
      <c r="T134" s="12"/>
      <c r="U134" s="12"/>
      <c r="V134" s="12"/>
      <c r="W134" s="12"/>
    </row>
    <row r="135" spans="1:49" s="63" customFormat="1">
      <c r="A135" s="7"/>
      <c r="B135" s="40"/>
      <c r="C135" s="39" t="s">
        <v>124</v>
      </c>
      <c r="D135" s="68">
        <f t="shared" ref="D135:O135" si="28">SUMIF($C79:$C133,"Expenses",D79:D133)</f>
        <v>9808.4</v>
      </c>
      <c r="E135" s="68">
        <f t="shared" si="28"/>
        <v>9766.7005598327978</v>
      </c>
      <c r="F135" s="68">
        <f t="shared" si="28"/>
        <v>10801.1479205578</v>
      </c>
      <c r="G135" s="68">
        <f t="shared" si="28"/>
        <v>12149.160124963317</v>
      </c>
      <c r="H135" s="68">
        <f t="shared" si="28"/>
        <v>13509.497607615203</v>
      </c>
      <c r="I135" s="68">
        <f t="shared" si="28"/>
        <v>17552.572527188531</v>
      </c>
      <c r="J135" s="68">
        <f t="shared" si="28"/>
        <v>20211.319751430776</v>
      </c>
      <c r="K135" s="68">
        <f t="shared" si="28"/>
        <v>21567.587976092527</v>
      </c>
      <c r="L135" s="68">
        <f t="shared" si="28"/>
        <v>20232.356298552</v>
      </c>
      <c r="M135" s="68">
        <f t="shared" si="28"/>
        <v>17525.265912263429</v>
      </c>
      <c r="N135" s="68">
        <f t="shared" si="28"/>
        <v>12128.574019178517</v>
      </c>
      <c r="O135" s="68">
        <f t="shared" si="28"/>
        <v>10769.89521939871</v>
      </c>
      <c r="P135" s="62">
        <f>SUM(D135:O135)</f>
        <v>176022.47791707361</v>
      </c>
      <c r="Q135" s="72"/>
      <c r="R135" s="72"/>
      <c r="S135" s="72"/>
      <c r="T135" s="72"/>
      <c r="U135" s="72"/>
      <c r="V135" s="72"/>
      <c r="W135" s="72"/>
      <c r="AW135" s="73"/>
    </row>
    <row r="136" spans="1:49" s="7" customFormat="1">
      <c r="B136" s="40"/>
      <c r="C136" s="39" t="s">
        <v>505</v>
      </c>
      <c r="D136" s="68">
        <f t="shared" ref="D136:O136" si="29">SUMIF($C79:$C133,"Contribution",D79:D133)</f>
        <v>32972.214222248716</v>
      </c>
      <c r="E136" s="68">
        <f t="shared" si="29"/>
        <v>31683.38125497591</v>
      </c>
      <c r="F136" s="68">
        <f t="shared" si="29"/>
        <v>34975.328221838994</v>
      </c>
      <c r="G136" s="68">
        <f t="shared" si="29"/>
        <v>37633.776842077859</v>
      </c>
      <c r="H136" s="68">
        <f t="shared" si="29"/>
        <v>41700.78490534053</v>
      </c>
      <c r="I136" s="68">
        <f t="shared" si="29"/>
        <v>52785.602353269838</v>
      </c>
      <c r="J136" s="68">
        <f t="shared" si="29"/>
        <v>67804.752908815455</v>
      </c>
      <c r="K136" s="68">
        <f t="shared" si="29"/>
        <v>70807.323955485845</v>
      </c>
      <c r="L136" s="68">
        <f t="shared" si="29"/>
        <v>63791.985985368003</v>
      </c>
      <c r="M136" s="68">
        <f t="shared" si="29"/>
        <v>56463.41216065664</v>
      </c>
      <c r="N136" s="68">
        <f t="shared" si="29"/>
        <v>38535.900187306943</v>
      </c>
      <c r="O136" s="68">
        <f t="shared" si="29"/>
        <v>36059.791692281193</v>
      </c>
      <c r="P136" s="62">
        <f>SUM(D136:O136)</f>
        <v>565214.25468966586</v>
      </c>
      <c r="Q136" s="12"/>
      <c r="R136" s="12"/>
      <c r="S136" s="12"/>
      <c r="T136" s="12"/>
      <c r="U136" s="12"/>
      <c r="V136" s="12"/>
      <c r="W136" s="12"/>
    </row>
    <row r="137" spans="1:49" s="7" customFormat="1">
      <c r="B137" s="40"/>
      <c r="C137" s="39"/>
      <c r="D137" s="12"/>
      <c r="E137" s="12"/>
      <c r="F137" s="12"/>
      <c r="G137" s="12"/>
      <c r="H137" s="12"/>
      <c r="I137" s="12"/>
      <c r="J137" s="12"/>
      <c r="K137" s="12"/>
      <c r="L137" s="12"/>
      <c r="M137" s="12"/>
      <c r="N137" s="12"/>
      <c r="O137" s="12"/>
      <c r="P137" s="62"/>
      <c r="Q137" s="12"/>
      <c r="R137" s="12"/>
      <c r="S137" s="12"/>
      <c r="T137" s="12"/>
      <c r="U137" s="12"/>
      <c r="V137" s="12"/>
      <c r="W137" s="12"/>
    </row>
    <row r="138" spans="1:49" s="7" customFormat="1">
      <c r="A138" s="74"/>
      <c r="B138" s="40" t="s">
        <v>120</v>
      </c>
      <c r="C138" s="12" t="s">
        <v>127</v>
      </c>
      <c r="D138" s="12"/>
      <c r="E138" s="12"/>
      <c r="F138" s="12"/>
      <c r="G138" s="12"/>
      <c r="H138" s="12"/>
      <c r="I138" s="12"/>
      <c r="J138" s="12"/>
      <c r="K138" s="12"/>
      <c r="L138" s="12"/>
      <c r="M138" s="12"/>
      <c r="N138" s="12"/>
      <c r="O138" s="12"/>
      <c r="P138" s="62"/>
      <c r="Q138" s="12"/>
      <c r="R138" s="12"/>
      <c r="S138" s="12"/>
      <c r="T138" s="12"/>
      <c r="U138" s="12"/>
      <c r="V138" s="12"/>
      <c r="W138" s="12"/>
    </row>
    <row r="139" spans="1:49" s="7" customFormat="1">
      <c r="C139" s="39" t="s">
        <v>369</v>
      </c>
      <c r="D139" s="156">
        <f>C65/12</f>
        <v>5208.333333333333</v>
      </c>
      <c r="E139" s="54">
        <f t="shared" ref="E139:O142" si="30">$D139</f>
        <v>5208.333333333333</v>
      </c>
      <c r="F139" s="54">
        <f t="shared" si="30"/>
        <v>5208.333333333333</v>
      </c>
      <c r="G139" s="54">
        <f t="shared" si="30"/>
        <v>5208.333333333333</v>
      </c>
      <c r="H139" s="54">
        <f t="shared" si="30"/>
        <v>5208.333333333333</v>
      </c>
      <c r="I139" s="54">
        <f t="shared" si="30"/>
        <v>5208.333333333333</v>
      </c>
      <c r="J139" s="54">
        <f t="shared" si="30"/>
        <v>5208.333333333333</v>
      </c>
      <c r="K139" s="54">
        <f t="shared" si="30"/>
        <v>5208.333333333333</v>
      </c>
      <c r="L139" s="54">
        <f t="shared" si="30"/>
        <v>5208.333333333333</v>
      </c>
      <c r="M139" s="54">
        <f t="shared" si="30"/>
        <v>5208.333333333333</v>
      </c>
      <c r="N139" s="54">
        <f t="shared" si="30"/>
        <v>5208.333333333333</v>
      </c>
      <c r="O139" s="54">
        <f t="shared" si="30"/>
        <v>5208.333333333333</v>
      </c>
      <c r="P139" s="62">
        <f>SUM(D139:O139)</f>
        <v>62500.000000000007</v>
      </c>
      <c r="Q139" s="12"/>
      <c r="R139" s="12"/>
      <c r="S139" s="12"/>
      <c r="T139" s="12"/>
      <c r="U139" s="12"/>
      <c r="V139" s="12"/>
      <c r="W139" s="12"/>
    </row>
    <row r="140" spans="1:49" s="7" customFormat="1">
      <c r="C140" s="39" t="s">
        <v>387</v>
      </c>
      <c r="D140" s="164">
        <f>C66/12</f>
        <v>1958.3333333333333</v>
      </c>
      <c r="E140" s="54">
        <f t="shared" si="30"/>
        <v>1958.3333333333333</v>
      </c>
      <c r="F140" s="54">
        <f t="shared" si="30"/>
        <v>1958.3333333333333</v>
      </c>
      <c r="G140" s="54">
        <f t="shared" si="30"/>
        <v>1958.3333333333333</v>
      </c>
      <c r="H140" s="54">
        <f t="shared" si="30"/>
        <v>1958.3333333333333</v>
      </c>
      <c r="I140" s="54">
        <f t="shared" si="30"/>
        <v>1958.3333333333333</v>
      </c>
      <c r="J140" s="54">
        <f t="shared" si="30"/>
        <v>1958.3333333333333</v>
      </c>
      <c r="K140" s="54">
        <f t="shared" si="30"/>
        <v>1958.3333333333333</v>
      </c>
      <c r="L140" s="54">
        <f t="shared" si="30"/>
        <v>1958.3333333333333</v>
      </c>
      <c r="M140" s="54">
        <f t="shared" si="30"/>
        <v>1958.3333333333333</v>
      </c>
      <c r="N140" s="54">
        <f t="shared" si="30"/>
        <v>1958.3333333333333</v>
      </c>
      <c r="O140" s="54">
        <f t="shared" si="30"/>
        <v>1958.3333333333333</v>
      </c>
      <c r="P140" s="62">
        <f>SUM(D140:O140)</f>
        <v>23499.999999999996</v>
      </c>
      <c r="Q140" s="12"/>
      <c r="R140" s="12"/>
      <c r="S140" s="12"/>
      <c r="T140" s="12"/>
      <c r="U140" s="12"/>
      <c r="V140" s="12"/>
      <c r="W140" s="12"/>
    </row>
    <row r="141" spans="1:49" s="7" customFormat="1">
      <c r="C141" s="39" t="s">
        <v>366</v>
      </c>
      <c r="D141" s="164">
        <f>C67/12</f>
        <v>4291.666666666667</v>
      </c>
      <c r="E141" s="54">
        <f t="shared" si="30"/>
        <v>4291.666666666667</v>
      </c>
      <c r="F141" s="54">
        <f t="shared" si="30"/>
        <v>4291.666666666667</v>
      </c>
      <c r="G141" s="54">
        <f t="shared" si="30"/>
        <v>4291.666666666667</v>
      </c>
      <c r="H141" s="54">
        <f t="shared" si="30"/>
        <v>4291.666666666667</v>
      </c>
      <c r="I141" s="54">
        <f t="shared" si="30"/>
        <v>4291.666666666667</v>
      </c>
      <c r="J141" s="54">
        <f t="shared" si="30"/>
        <v>4291.666666666667</v>
      </c>
      <c r="K141" s="54">
        <f t="shared" si="30"/>
        <v>4291.666666666667</v>
      </c>
      <c r="L141" s="54">
        <f t="shared" si="30"/>
        <v>4291.666666666667</v>
      </c>
      <c r="M141" s="54">
        <f t="shared" si="30"/>
        <v>4291.666666666667</v>
      </c>
      <c r="N141" s="54">
        <f t="shared" si="30"/>
        <v>4291.666666666667</v>
      </c>
      <c r="O141" s="54">
        <f t="shared" si="30"/>
        <v>4291.666666666667</v>
      </c>
      <c r="P141" s="62">
        <f>SUM(D141:O141)</f>
        <v>51499.999999999993</v>
      </c>
      <c r="Q141" s="12"/>
      <c r="R141" s="12"/>
      <c r="S141" s="12"/>
      <c r="T141" s="12"/>
      <c r="U141" s="12"/>
      <c r="V141" s="12"/>
      <c r="W141" s="12"/>
    </row>
    <row r="142" spans="1:49" s="7" customFormat="1">
      <c r="C142" s="39" t="s">
        <v>83</v>
      </c>
      <c r="D142" s="164">
        <f>C68/12</f>
        <v>416.66666666666669</v>
      </c>
      <c r="E142" s="54">
        <f>$D142</f>
        <v>416.66666666666669</v>
      </c>
      <c r="F142" s="54">
        <f t="shared" si="30"/>
        <v>416.66666666666669</v>
      </c>
      <c r="G142" s="54">
        <f t="shared" si="30"/>
        <v>416.66666666666669</v>
      </c>
      <c r="H142" s="54">
        <f t="shared" si="30"/>
        <v>416.66666666666669</v>
      </c>
      <c r="I142" s="54">
        <f t="shared" si="30"/>
        <v>416.66666666666669</v>
      </c>
      <c r="J142" s="54">
        <f t="shared" si="30"/>
        <v>416.66666666666669</v>
      </c>
      <c r="K142" s="54">
        <f t="shared" si="30"/>
        <v>416.66666666666669</v>
      </c>
      <c r="L142" s="54">
        <f t="shared" si="30"/>
        <v>416.66666666666669</v>
      </c>
      <c r="M142" s="54">
        <f t="shared" si="30"/>
        <v>416.66666666666669</v>
      </c>
      <c r="N142" s="54">
        <f t="shared" si="30"/>
        <v>416.66666666666669</v>
      </c>
      <c r="O142" s="54">
        <f t="shared" si="30"/>
        <v>416.66666666666669</v>
      </c>
      <c r="P142" s="62">
        <f>SUM(D142:O142)</f>
        <v>5000</v>
      </c>
      <c r="Q142" s="12"/>
      <c r="R142" s="12"/>
      <c r="S142" s="12"/>
      <c r="T142" s="12"/>
      <c r="U142" s="12"/>
      <c r="V142" s="12"/>
      <c r="W142" s="12"/>
    </row>
    <row r="143" spans="1:49" s="7" customFormat="1">
      <c r="C143" s="39"/>
      <c r="D143" s="165"/>
      <c r="E143" s="65"/>
      <c r="F143" s="65"/>
      <c r="G143" s="65"/>
      <c r="H143" s="65"/>
      <c r="I143" s="65"/>
      <c r="J143" s="65"/>
      <c r="K143" s="65"/>
      <c r="L143" s="65"/>
      <c r="M143" s="65"/>
      <c r="N143" s="65"/>
      <c r="O143" s="65"/>
      <c r="P143" s="62"/>
      <c r="Q143" s="12"/>
      <c r="R143" s="12"/>
      <c r="S143" s="12"/>
      <c r="T143" s="12"/>
      <c r="U143" s="12"/>
      <c r="V143" s="12"/>
      <c r="W143" s="12"/>
    </row>
    <row r="144" spans="1:49" s="7" customFormat="1">
      <c r="C144" s="67" t="s">
        <v>108</v>
      </c>
      <c r="D144" s="156">
        <f>debtMonthlyPaymentsFY1(CycleInCalculation,1)</f>
        <v>1808.1310084707254</v>
      </c>
      <c r="E144" s="54">
        <f>debtMonthlyPaymentsFY1(CycleInCalculation,2)</f>
        <v>1808.1310084707254</v>
      </c>
      <c r="F144" s="54">
        <f>debtMonthlyPaymentsFY1(CycleInCalculation,3)</f>
        <v>1808.1310084707254</v>
      </c>
      <c r="G144" s="54">
        <f>debtMonthlyPaymentsFY1(CycleInCalculation,4)</f>
        <v>1808.1310084707254</v>
      </c>
      <c r="H144" s="54">
        <f>debtMonthlyPaymentsFY1(CycleInCalculation,5)</f>
        <v>1808.1310084707254</v>
      </c>
      <c r="I144" s="54">
        <f>debtMonthlyPaymentsFY1(CycleInCalculation,6)</f>
        <v>1808.1310084707254</v>
      </c>
      <c r="J144" s="54">
        <f>debtMonthlyPaymentsFY1(CycleInCalculation,7)</f>
        <v>1808.1310084707254</v>
      </c>
      <c r="K144" s="54">
        <f>debtMonthlyPaymentsFY1(CycleInCalculation,8)</f>
        <v>1808.1310084707254</v>
      </c>
      <c r="L144" s="54">
        <f>debtMonthlyPaymentsFY1(CycleInCalculation,9)</f>
        <v>1808.1310084707254</v>
      </c>
      <c r="M144" s="54">
        <f>debtMonthlyPaymentsFY1(CycleInCalculation,10)</f>
        <v>1808.1310084707254</v>
      </c>
      <c r="N144" s="54">
        <f>debtMonthlyPaymentsFY1(CycleInCalculation,11)</f>
        <v>1808.1310084707254</v>
      </c>
      <c r="O144" s="54">
        <f>debtMonthlyPaymentsFY1(CycleInCalculation,12)</f>
        <v>1808.1310084707254</v>
      </c>
      <c r="P144" s="62">
        <f>SUM(D144:O144)</f>
        <v>21697.572101648704</v>
      </c>
      <c r="Q144" s="12"/>
      <c r="R144" s="12"/>
      <c r="S144" s="12"/>
      <c r="T144" s="12"/>
      <c r="U144" s="12"/>
      <c r="V144" s="12"/>
      <c r="W144" s="12"/>
    </row>
    <row r="145" spans="1:23" s="7" customFormat="1">
      <c r="C145" s="12"/>
      <c r="D145" s="12"/>
      <c r="E145" s="12"/>
      <c r="F145" s="12"/>
      <c r="G145" s="12"/>
      <c r="H145" s="12"/>
      <c r="I145" s="12"/>
      <c r="J145" s="12"/>
      <c r="K145" s="12"/>
      <c r="L145" s="12"/>
      <c r="M145" s="12"/>
      <c r="N145" s="12"/>
      <c r="O145" s="12"/>
      <c r="P145" s="53"/>
      <c r="Q145" s="12"/>
      <c r="R145" s="12"/>
      <c r="S145" s="12"/>
      <c r="T145" s="12"/>
      <c r="U145" s="12"/>
      <c r="V145" s="12"/>
      <c r="W145" s="12"/>
    </row>
    <row r="146" spans="1:23" s="7" customFormat="1">
      <c r="B146" s="40"/>
      <c r="C146" s="39" t="s">
        <v>107</v>
      </c>
      <c r="D146" s="156">
        <f>SUM(D139:D145)+D148</f>
        <v>14308.131008470724</v>
      </c>
      <c r="E146" s="156">
        <f t="shared" ref="E146:O146" si="31">SUM(E139:E145)+E148</f>
        <v>14308.131008470724</v>
      </c>
      <c r="F146" s="156">
        <f t="shared" si="31"/>
        <v>14308.131008470724</v>
      </c>
      <c r="G146" s="156">
        <f t="shared" si="31"/>
        <v>14308.131008470724</v>
      </c>
      <c r="H146" s="156">
        <f t="shared" si="31"/>
        <v>14308.131008470724</v>
      </c>
      <c r="I146" s="156">
        <f t="shared" si="31"/>
        <v>14308.131008470724</v>
      </c>
      <c r="J146" s="156">
        <f t="shared" si="31"/>
        <v>14308.131008470724</v>
      </c>
      <c r="K146" s="156">
        <f t="shared" si="31"/>
        <v>14308.131008470724</v>
      </c>
      <c r="L146" s="156">
        <f t="shared" si="31"/>
        <v>14308.131008470724</v>
      </c>
      <c r="M146" s="156">
        <f t="shared" si="31"/>
        <v>14308.131008470724</v>
      </c>
      <c r="N146" s="156">
        <f t="shared" si="31"/>
        <v>14308.131008470724</v>
      </c>
      <c r="O146" s="156">
        <f t="shared" si="31"/>
        <v>14308.131008470724</v>
      </c>
      <c r="P146" s="169">
        <f>SUM(D146:O146)</f>
        <v>171697.57210164869</v>
      </c>
      <c r="Q146" s="12"/>
      <c r="R146" s="12"/>
      <c r="S146" s="12"/>
      <c r="T146" s="12"/>
      <c r="U146" s="12"/>
      <c r="V146" s="12"/>
      <c r="W146" s="12"/>
    </row>
    <row r="147" spans="1:23" s="7" customFormat="1">
      <c r="B147" s="35"/>
      <c r="C147" s="12"/>
      <c r="D147" s="12"/>
      <c r="E147" s="12"/>
      <c r="F147" s="12"/>
      <c r="G147" s="12"/>
      <c r="H147" s="12"/>
      <c r="I147" s="12"/>
      <c r="J147" s="12"/>
      <c r="K147" s="12"/>
      <c r="L147" s="12"/>
      <c r="M147" s="12"/>
      <c r="N147" s="12"/>
      <c r="O147" s="12"/>
      <c r="P147" s="53"/>
      <c r="Q147" s="12"/>
      <c r="R147" s="12"/>
      <c r="S147" s="12"/>
      <c r="T147" s="12"/>
      <c r="U147" s="12"/>
      <c r="V147" s="12"/>
      <c r="W147" s="12"/>
    </row>
    <row r="148" spans="1:23" s="7" customFormat="1">
      <c r="C148" s="12" t="s">
        <v>76</v>
      </c>
      <c r="D148" s="347">
        <f>P148/12</f>
        <v>625</v>
      </c>
      <c r="E148" s="347">
        <f>P148/12</f>
        <v>625</v>
      </c>
      <c r="F148" s="347">
        <f>P148/12</f>
        <v>625</v>
      </c>
      <c r="G148" s="347">
        <f>P148/12</f>
        <v>625</v>
      </c>
      <c r="H148" s="347">
        <f>P148/12</f>
        <v>625</v>
      </c>
      <c r="I148" s="347">
        <f>P148/12</f>
        <v>625</v>
      </c>
      <c r="J148" s="347">
        <f>P148/12</f>
        <v>625</v>
      </c>
      <c r="K148" s="347">
        <f>P148/12</f>
        <v>625</v>
      </c>
      <c r="L148" s="347">
        <f>P148/12</f>
        <v>625</v>
      </c>
      <c r="M148" s="347">
        <f>P148/12</f>
        <v>625</v>
      </c>
      <c r="N148" s="347">
        <f>P148/12</f>
        <v>625</v>
      </c>
      <c r="O148" s="347">
        <f>P148/12</f>
        <v>625</v>
      </c>
      <c r="P148" s="927">
        <f>VLOOKUP(2.701,'Sim-Report'!1:1048576,3+CycleInCalculation,FALSE)*'Project-Start'!D36</f>
        <v>7500</v>
      </c>
      <c r="Q148" s="12"/>
      <c r="R148" s="12"/>
      <c r="S148" s="12"/>
      <c r="T148" s="12"/>
      <c r="U148" s="12"/>
      <c r="V148" s="12"/>
      <c r="W148" s="12"/>
    </row>
    <row r="149" spans="1:23" s="7" customFormat="1">
      <c r="B149" s="40"/>
      <c r="C149" s="39" t="s">
        <v>126</v>
      </c>
      <c r="D149" s="156">
        <f t="shared" ref="D149:O149" si="32">D136-D146</f>
        <v>18664.083213777994</v>
      </c>
      <c r="E149" s="54">
        <f t="shared" si="32"/>
        <v>17375.250246505188</v>
      </c>
      <c r="F149" s="54">
        <f t="shared" si="32"/>
        <v>20667.197213368272</v>
      </c>
      <c r="G149" s="54">
        <f t="shared" si="32"/>
        <v>23325.645833607137</v>
      </c>
      <c r="H149" s="54">
        <f t="shared" si="32"/>
        <v>27392.653896869808</v>
      </c>
      <c r="I149" s="54">
        <f t="shared" si="32"/>
        <v>38477.471344799116</v>
      </c>
      <c r="J149" s="54">
        <f t="shared" si="32"/>
        <v>53496.621900344733</v>
      </c>
      <c r="K149" s="54">
        <f t="shared" si="32"/>
        <v>56499.192947015123</v>
      </c>
      <c r="L149" s="54">
        <f t="shared" si="32"/>
        <v>49483.854976897281</v>
      </c>
      <c r="M149" s="54">
        <f t="shared" si="32"/>
        <v>42155.281152185918</v>
      </c>
      <c r="N149" s="54">
        <f t="shared" si="32"/>
        <v>24227.769178836221</v>
      </c>
      <c r="O149" s="54">
        <f t="shared" si="32"/>
        <v>21751.660683810471</v>
      </c>
      <c r="P149" s="169">
        <f>SUM(D149:O149)</f>
        <v>393516.68258801725</v>
      </c>
      <c r="Q149" s="12"/>
      <c r="R149" s="12"/>
      <c r="S149" s="12"/>
      <c r="T149" s="12"/>
      <c r="U149" s="12"/>
      <c r="V149" s="12"/>
      <c r="W149" s="12"/>
    </row>
    <row r="150" spans="1:23" s="7" customFormat="1">
      <c r="C150" s="39" t="s">
        <v>391</v>
      </c>
      <c r="D150" s="56">
        <f>VLOOKUP(3.11,'Sim-Report'!1:1048576,3+CycleInCalculation,FALSE)</f>
        <v>0.29849999999999999</v>
      </c>
      <c r="E150" s="65"/>
      <c r="F150" s="65"/>
      <c r="G150" s="65"/>
      <c r="H150" s="65"/>
      <c r="I150" s="65"/>
      <c r="J150" s="65"/>
      <c r="K150" s="65"/>
      <c r="L150" s="65"/>
      <c r="M150" s="65"/>
      <c r="N150" s="65"/>
      <c r="O150" s="65"/>
      <c r="P150" s="53"/>
      <c r="Q150" s="12"/>
      <c r="R150" s="12"/>
      <c r="S150" s="12"/>
      <c r="T150" s="12"/>
      <c r="U150" s="12"/>
      <c r="V150" s="12"/>
      <c r="W150" s="12"/>
    </row>
    <row r="151" spans="1:23" s="7" customFormat="1">
      <c r="B151" s="40"/>
      <c r="C151" s="39" t="s">
        <v>117</v>
      </c>
      <c r="D151" s="156">
        <f>D149</f>
        <v>18664.083213777994</v>
      </c>
      <c r="E151" s="54">
        <f t="shared" ref="E151:O151" si="33">D151+E149</f>
        <v>36039.333460283182</v>
      </c>
      <c r="F151" s="54">
        <f t="shared" si="33"/>
        <v>56706.530673651454</v>
      </c>
      <c r="G151" s="54">
        <f t="shared" si="33"/>
        <v>80032.176507258584</v>
      </c>
      <c r="H151" s="54">
        <f t="shared" si="33"/>
        <v>107424.83040412838</v>
      </c>
      <c r="I151" s="54">
        <f t="shared" si="33"/>
        <v>145902.30174892751</v>
      </c>
      <c r="J151" s="54">
        <f t="shared" si="33"/>
        <v>199398.92364927224</v>
      </c>
      <c r="K151" s="54">
        <f t="shared" si="33"/>
        <v>255898.11659628735</v>
      </c>
      <c r="L151" s="54">
        <f t="shared" si="33"/>
        <v>305381.97157318465</v>
      </c>
      <c r="M151" s="54">
        <f t="shared" si="33"/>
        <v>347537.25272537058</v>
      </c>
      <c r="N151" s="54">
        <f t="shared" si="33"/>
        <v>371765.02190420678</v>
      </c>
      <c r="O151" s="54">
        <f t="shared" si="33"/>
        <v>393516.68258801725</v>
      </c>
      <c r="P151" s="53"/>
      <c r="Q151" s="12"/>
      <c r="R151" s="12"/>
      <c r="S151" s="12"/>
      <c r="T151" s="12"/>
      <c r="U151" s="12"/>
      <c r="V151" s="12"/>
      <c r="W151" s="12"/>
    </row>
    <row r="152" spans="1:23" s="7" customFormat="1">
      <c r="B152" s="40"/>
      <c r="C152" s="39" t="s">
        <v>683</v>
      </c>
      <c r="D152" s="156"/>
      <c r="E152" s="54"/>
      <c r="F152" s="54"/>
      <c r="G152" s="54"/>
      <c r="H152" s="54"/>
      <c r="I152" s="54"/>
      <c r="J152" s="54"/>
      <c r="K152" s="54"/>
      <c r="L152" s="54"/>
      <c r="M152" s="54"/>
      <c r="N152" s="54"/>
      <c r="O152" s="54"/>
      <c r="P152" s="62">
        <f>P153-C74</f>
        <v>126051.95280894998</v>
      </c>
      <c r="Q152" s="12"/>
      <c r="R152" s="12"/>
      <c r="S152" s="12"/>
      <c r="T152" s="12"/>
      <c r="U152" s="12"/>
      <c r="V152" s="12"/>
      <c r="W152" s="12"/>
    </row>
    <row r="153" spans="1:23" s="7" customFormat="1" ht="12" thickBot="1">
      <c r="B153" s="39"/>
      <c r="C153" s="40" t="s">
        <v>105</v>
      </c>
      <c r="D153" s="73">
        <f>ProfitAfterTaxes(D149,D151,D150)</f>
        <v>13092.8544</v>
      </c>
      <c r="E153" s="63">
        <f>ProfitAfterTaxes(E149,E151,D150)</f>
        <v>12188.738015299999</v>
      </c>
      <c r="F153" s="63">
        <f>ProfitAfterTaxes(F149,F151,D150)</f>
        <v>14498.0388358</v>
      </c>
      <c r="G153" s="63">
        <f>ProfitAfterTaxes(G149,G151,D150)</f>
        <v>16362.940528699999</v>
      </c>
      <c r="H153" s="63">
        <f>ProfitAfterTaxes(H149,H151,D150)</f>
        <v>19215.946710849999</v>
      </c>
      <c r="I153" s="63">
        <f>ProfitAfterTaxes(I149,I151,D150)</f>
        <v>26991.946116949999</v>
      </c>
      <c r="J153" s="63">
        <f>ProfitAfterTaxes(J149,J151,D150)</f>
        <v>37527.880262849998</v>
      </c>
      <c r="K153" s="63">
        <f>ProfitAfterTaxes(K149,K151,D150)</f>
        <v>39634.183819350001</v>
      </c>
      <c r="L153" s="63">
        <f>ProfitAfterTaxes(L149,L151,D150)</f>
        <v>34712.924282500004</v>
      </c>
      <c r="M153" s="63">
        <f>ProfitAfterTaxes(M149,M151,D150)</f>
        <v>29571.929761799998</v>
      </c>
      <c r="N153" s="63">
        <f>ProfitAfterTaxes(N149,N151,D150)</f>
        <v>16995.7800938</v>
      </c>
      <c r="O153" s="63">
        <f>ProfitAfterTaxes(O149,O151,D150)</f>
        <v>15258.78998105</v>
      </c>
      <c r="P153" s="169">
        <f>SUM(D153:O153)</f>
        <v>276051.95280894998</v>
      </c>
      <c r="Q153" s="12"/>
      <c r="R153" s="12"/>
      <c r="S153" s="12"/>
      <c r="T153" s="12"/>
      <c r="U153" s="12"/>
      <c r="V153" s="12"/>
      <c r="W153" s="12"/>
    </row>
    <row r="154" spans="1:23" s="7" customFormat="1" ht="12" thickBot="1">
      <c r="B154" s="13"/>
      <c r="C154" s="14" t="s">
        <v>116</v>
      </c>
      <c r="D154" s="51" t="s">
        <v>35</v>
      </c>
      <c r="E154" s="51" t="s">
        <v>35</v>
      </c>
      <c r="F154" s="51" t="s">
        <v>35</v>
      </c>
      <c r="G154" s="51" t="s">
        <v>35</v>
      </c>
      <c r="H154" s="51" t="s">
        <v>35</v>
      </c>
      <c r="I154" s="51" t="s">
        <v>35</v>
      </c>
      <c r="J154" s="51" t="s">
        <v>35</v>
      </c>
      <c r="K154" s="51" t="s">
        <v>35</v>
      </c>
      <c r="L154" s="51" t="s">
        <v>35</v>
      </c>
      <c r="M154" s="51" t="s">
        <v>35</v>
      </c>
      <c r="N154" s="51" t="s">
        <v>35</v>
      </c>
      <c r="O154" s="51" t="s">
        <v>35</v>
      </c>
      <c r="P154" s="55" t="s">
        <v>35</v>
      </c>
      <c r="Q154" s="12"/>
      <c r="R154" s="12"/>
      <c r="S154" s="12"/>
      <c r="T154" s="12"/>
      <c r="U154" s="12"/>
      <c r="V154" s="12"/>
      <c r="W154" s="12"/>
    </row>
    <row r="155" spans="1:23" s="7" customFormat="1" ht="12" thickBot="1">
      <c r="B155" s="13"/>
      <c r="C155" s="14" t="s">
        <v>115</v>
      </c>
      <c r="D155" s="42" t="s">
        <v>47</v>
      </c>
      <c r="E155" s="42" t="s">
        <v>46</v>
      </c>
      <c r="F155" s="42" t="s">
        <v>45</v>
      </c>
      <c r="G155" s="42" t="s">
        <v>44</v>
      </c>
      <c r="H155" s="42" t="s">
        <v>43</v>
      </c>
      <c r="I155" s="42" t="s">
        <v>42</v>
      </c>
      <c r="J155" s="42" t="s">
        <v>41</v>
      </c>
      <c r="K155" s="42" t="s">
        <v>40</v>
      </c>
      <c r="L155" s="42" t="s">
        <v>39</v>
      </c>
      <c r="M155" s="42" t="s">
        <v>38</v>
      </c>
      <c r="N155" s="42" t="s">
        <v>37</v>
      </c>
      <c r="O155" s="42" t="s">
        <v>36</v>
      </c>
      <c r="P155" s="55" t="s">
        <v>101</v>
      </c>
      <c r="Q155" s="12"/>
      <c r="R155" s="12"/>
      <c r="S155" s="12"/>
      <c r="T155" s="12"/>
      <c r="U155" s="12"/>
      <c r="V155" s="12"/>
      <c r="W155" s="12"/>
    </row>
    <row r="156" spans="1:23" s="7" customFormat="1">
      <c r="B156" s="39"/>
      <c r="C156" s="39"/>
      <c r="D156" s="72"/>
      <c r="E156" s="72"/>
      <c r="F156" s="72"/>
      <c r="G156" s="72"/>
      <c r="H156" s="72"/>
      <c r="I156" s="72"/>
      <c r="J156" s="72"/>
      <c r="K156" s="72"/>
      <c r="L156" s="72"/>
      <c r="M156" s="72"/>
      <c r="N156" s="72"/>
      <c r="O156" s="72"/>
      <c r="P156" s="12"/>
      <c r="Q156" s="12"/>
      <c r="R156" s="12"/>
      <c r="S156" s="12"/>
      <c r="T156" s="12"/>
      <c r="U156" s="12"/>
      <c r="V156" s="12"/>
      <c r="W156" s="12"/>
    </row>
    <row r="157" spans="1:23" s="7" customFormat="1" ht="16.5" thickBot="1">
      <c r="A157" s="178">
        <v>5</v>
      </c>
      <c r="B157" s="124" t="s">
        <v>400</v>
      </c>
      <c r="C157" s="178"/>
      <c r="D157" s="72"/>
      <c r="E157" s="72"/>
      <c r="F157" s="72"/>
      <c r="G157" s="72"/>
      <c r="H157" s="72"/>
      <c r="I157" s="72"/>
      <c r="J157" s="72"/>
      <c r="K157" s="72"/>
      <c r="L157" s="72"/>
      <c r="M157" s="72"/>
      <c r="N157" s="72"/>
      <c r="O157" s="72"/>
      <c r="P157" s="12"/>
      <c r="Q157" s="12"/>
      <c r="R157" s="12"/>
      <c r="S157" s="12"/>
      <c r="T157" s="12"/>
      <c r="U157" s="12"/>
      <c r="V157" s="12"/>
      <c r="W157" s="12"/>
    </row>
    <row r="158" spans="1:23" s="7" customFormat="1" ht="12" thickBot="1">
      <c r="B158" s="13" t="s">
        <v>116</v>
      </c>
      <c r="C158" s="13"/>
      <c r="D158" s="51" t="s">
        <v>34</v>
      </c>
      <c r="E158" s="51" t="s">
        <v>34</v>
      </c>
      <c r="F158" s="51" t="s">
        <v>34</v>
      </c>
      <c r="G158" s="51" t="s">
        <v>34</v>
      </c>
      <c r="H158" s="51" t="s">
        <v>34</v>
      </c>
      <c r="I158" s="51" t="s">
        <v>34</v>
      </c>
      <c r="J158" s="51" t="s">
        <v>34</v>
      </c>
      <c r="K158" s="51" t="s">
        <v>34</v>
      </c>
      <c r="L158" s="51" t="s">
        <v>34</v>
      </c>
      <c r="M158" s="51" t="s">
        <v>34</v>
      </c>
      <c r="N158" s="51" t="s">
        <v>34</v>
      </c>
      <c r="O158" s="51" t="s">
        <v>34</v>
      </c>
      <c r="P158" s="55" t="s">
        <v>125</v>
      </c>
      <c r="Q158" s="12"/>
      <c r="R158" s="12"/>
      <c r="S158" s="12"/>
      <c r="T158" s="12"/>
      <c r="U158" s="12"/>
      <c r="V158" s="12"/>
      <c r="W158" s="12"/>
    </row>
    <row r="159" spans="1:23" s="7" customFormat="1" ht="12" thickBot="1">
      <c r="B159" s="13" t="s">
        <v>115</v>
      </c>
      <c r="C159" s="13"/>
      <c r="D159" s="42" t="s">
        <v>47</v>
      </c>
      <c r="E159" s="42" t="s">
        <v>46</v>
      </c>
      <c r="F159" s="42" t="s">
        <v>45</v>
      </c>
      <c r="G159" s="42" t="s">
        <v>44</v>
      </c>
      <c r="H159" s="42" t="s">
        <v>43</v>
      </c>
      <c r="I159" s="42" t="s">
        <v>42</v>
      </c>
      <c r="J159" s="42" t="s">
        <v>41</v>
      </c>
      <c r="K159" s="42" t="s">
        <v>40</v>
      </c>
      <c r="L159" s="42" t="s">
        <v>39</v>
      </c>
      <c r="M159" s="42" t="s">
        <v>38</v>
      </c>
      <c r="N159" s="42" t="s">
        <v>37</v>
      </c>
      <c r="O159" s="42" t="s">
        <v>36</v>
      </c>
      <c r="P159" s="55" t="s">
        <v>101</v>
      </c>
      <c r="Q159" s="12"/>
      <c r="R159" s="12"/>
      <c r="S159" s="12"/>
      <c r="T159" s="12"/>
      <c r="U159" s="12"/>
      <c r="V159" s="12"/>
      <c r="W159" s="12"/>
    </row>
    <row r="160" spans="1:23" s="7" customFormat="1">
      <c r="B160" s="71" t="s">
        <v>698</v>
      </c>
      <c r="C160" s="39" t="s">
        <v>390</v>
      </c>
      <c r="D160" s="80">
        <f>Price4_36MoPr(VarCostByProduct,B160)</f>
        <v>8</v>
      </c>
      <c r="E160" s="12"/>
      <c r="F160" s="12"/>
      <c r="G160" s="12"/>
      <c r="H160" s="70"/>
      <c r="I160" s="12"/>
      <c r="J160" s="12"/>
      <c r="K160" s="12"/>
      <c r="L160" s="12"/>
      <c r="M160" s="12"/>
      <c r="N160" s="12"/>
      <c r="O160" s="12"/>
      <c r="P160" s="53"/>
      <c r="Q160" s="12"/>
      <c r="R160" s="12"/>
      <c r="S160" s="12"/>
      <c r="T160" s="12"/>
      <c r="U160" s="12"/>
      <c r="V160" s="12"/>
      <c r="W160" s="12"/>
    </row>
    <row r="161" spans="2:23" s="7" customFormat="1">
      <c r="B161" s="40"/>
      <c r="C161" s="39" t="s">
        <v>121</v>
      </c>
      <c r="D161" s="79">
        <f>Varcosts4_36MoPr(VarCostByProduct,B160)</f>
        <v>1.1299999999999999</v>
      </c>
      <c r="E161" s="12"/>
      <c r="F161" s="12"/>
      <c r="G161" s="12"/>
      <c r="H161" s="12"/>
      <c r="I161" s="12"/>
      <c r="J161" s="12"/>
      <c r="K161" s="12"/>
      <c r="L161" s="12"/>
      <c r="M161" s="12"/>
      <c r="N161" s="12"/>
      <c r="O161" s="12"/>
      <c r="P161" s="53"/>
      <c r="Q161" s="12"/>
      <c r="R161" s="12"/>
      <c r="S161" s="12"/>
      <c r="T161" s="12"/>
      <c r="U161" s="12"/>
      <c r="V161" s="12"/>
      <c r="W161" s="12"/>
    </row>
    <row r="162" spans="2:23" s="7" customFormat="1">
      <c r="B162" s="40"/>
      <c r="C162" s="161" t="s">
        <v>114</v>
      </c>
      <c r="D162" s="81">
        <f>Sales4_36MoPr(SalesJan,"FY-2",$B160)</f>
        <v>0</v>
      </c>
      <c r="E162" s="81">
        <f>Sales4_36MoPr(SalesFeb,"FY-2",$B160)</f>
        <v>322.45118272741701</v>
      </c>
      <c r="F162" s="81">
        <f>Sales4_36MoPr(SalesMar,"FY-2",$B160)</f>
        <v>411.99188640973631</v>
      </c>
      <c r="G162" s="81">
        <f>Sales4_36MoPr(SalesApr,"FY-2",$B160)</f>
        <v>358.81286067600985</v>
      </c>
      <c r="H162" s="81">
        <f>Sales4_36MoPr(SalesMay,"FY-2",$B160)</f>
        <v>549.32251521298178</v>
      </c>
      <c r="I162" s="81">
        <f>Sales4_36MoPr(SalesJun,"FY-2",$B160)</f>
        <v>882.94209702660396</v>
      </c>
      <c r="J162" s="81">
        <f>Sales4_36MoPr(SalesJul,"FY-2",$B160)</f>
        <v>855.56866048862662</v>
      </c>
      <c r="K162" s="81">
        <f>Sales4_36MoPr(SalesAug,"FY-2",$B160)</f>
        <v>847.44758527172189</v>
      </c>
      <c r="L162" s="81">
        <f>Sales4_36MoPr(SalesSep,"FY-2",$B160)</f>
        <v>699.56602603843771</v>
      </c>
      <c r="M162" s="81">
        <f>Sales4_36MoPr(SalesOct,"FY-2",$B160)</f>
        <v>699.56602603843771</v>
      </c>
      <c r="N162" s="81">
        <f>Sales4_36MoPr(SalesNov,"FY-2",$B160)</f>
        <v>358.81286067600985</v>
      </c>
      <c r="O162" s="81">
        <f>Sales4_36MoPr(SalesDec,"FY-2",$B160)</f>
        <v>0</v>
      </c>
      <c r="P162" s="938">
        <f>SUM(D162:O162)</f>
        <v>5986.4817005659834</v>
      </c>
      <c r="Q162" s="12"/>
      <c r="R162" s="12"/>
      <c r="S162" s="12"/>
      <c r="T162" s="12"/>
      <c r="U162" s="12"/>
      <c r="V162" s="12"/>
      <c r="W162" s="12"/>
    </row>
    <row r="163" spans="2:23" s="7" customFormat="1">
      <c r="B163" s="162"/>
      <c r="C163" s="39" t="s">
        <v>113</v>
      </c>
      <c r="D163" s="54">
        <f t="shared" ref="D163:O163" si="34">D162*$D160</f>
        <v>0</v>
      </c>
      <c r="E163" s="54">
        <f t="shared" si="34"/>
        <v>2579.609461819336</v>
      </c>
      <c r="F163" s="54">
        <f t="shared" si="34"/>
        <v>3295.9350912778905</v>
      </c>
      <c r="G163" s="54">
        <f t="shared" si="34"/>
        <v>2870.5028854080788</v>
      </c>
      <c r="H163" s="54">
        <f t="shared" si="34"/>
        <v>4394.5801217038543</v>
      </c>
      <c r="I163" s="54">
        <f t="shared" si="34"/>
        <v>7063.5367762128317</v>
      </c>
      <c r="J163" s="54">
        <f t="shared" si="34"/>
        <v>6844.549283909013</v>
      </c>
      <c r="K163" s="54">
        <f t="shared" si="34"/>
        <v>6779.5806821737751</v>
      </c>
      <c r="L163" s="54">
        <f t="shared" si="34"/>
        <v>5596.5282083075017</v>
      </c>
      <c r="M163" s="54">
        <f t="shared" si="34"/>
        <v>5596.5282083075017</v>
      </c>
      <c r="N163" s="54">
        <f t="shared" si="34"/>
        <v>2870.5028854080788</v>
      </c>
      <c r="O163" s="54">
        <f t="shared" si="34"/>
        <v>0</v>
      </c>
      <c r="P163" s="62">
        <f>SUM(D163:O163)</f>
        <v>47891.853604527867</v>
      </c>
      <c r="Q163" s="12"/>
      <c r="R163" s="12"/>
      <c r="S163" s="12"/>
      <c r="T163" s="12"/>
      <c r="U163" s="12"/>
      <c r="V163" s="12"/>
      <c r="W163" s="12"/>
    </row>
    <row r="164" spans="2:23" s="7" customFormat="1">
      <c r="B164" s="40"/>
      <c r="C164" s="39" t="s">
        <v>112</v>
      </c>
      <c r="D164" s="54">
        <f>D162*$D$80</f>
        <v>0</v>
      </c>
      <c r="E164" s="54">
        <f>E162*$D$80</f>
        <v>364.36983648198117</v>
      </c>
      <c r="F164" s="54">
        <f t="shared" ref="F164:O164" si="35">F162*$D161</f>
        <v>465.55083164300197</v>
      </c>
      <c r="G164" s="54">
        <f t="shared" si="35"/>
        <v>405.45853256389108</v>
      </c>
      <c r="H164" s="54">
        <f t="shared" si="35"/>
        <v>620.73444219066937</v>
      </c>
      <c r="I164" s="54">
        <f t="shared" si="35"/>
        <v>997.72456964006233</v>
      </c>
      <c r="J164" s="54">
        <f t="shared" si="35"/>
        <v>966.79258635214796</v>
      </c>
      <c r="K164" s="54">
        <f t="shared" si="35"/>
        <v>957.61577135704567</v>
      </c>
      <c r="L164" s="54">
        <f t="shared" si="35"/>
        <v>790.50960942343454</v>
      </c>
      <c r="M164" s="54">
        <f t="shared" si="35"/>
        <v>790.50960942343454</v>
      </c>
      <c r="N164" s="54">
        <f t="shared" si="35"/>
        <v>405.45853256389108</v>
      </c>
      <c r="O164" s="54">
        <f t="shared" si="35"/>
        <v>0</v>
      </c>
      <c r="P164" s="62">
        <f>SUM(D164:O164)</f>
        <v>6764.7243216395582</v>
      </c>
      <c r="Q164" s="12"/>
      <c r="R164" s="12"/>
      <c r="S164" s="12"/>
      <c r="T164" s="12"/>
      <c r="U164" s="12"/>
      <c r="V164" s="12"/>
      <c r="W164" s="12"/>
    </row>
    <row r="165" spans="2:23" s="7" customFormat="1">
      <c r="B165" s="40"/>
      <c r="C165" s="39" t="s">
        <v>111</v>
      </c>
      <c r="D165" s="54">
        <f>D163-D164</f>
        <v>0</v>
      </c>
      <c r="E165" s="54">
        <f t="shared" ref="E165:O165" si="36">E163-E164</f>
        <v>2215.2396253373549</v>
      </c>
      <c r="F165" s="54">
        <f t="shared" si="36"/>
        <v>2830.3842596348886</v>
      </c>
      <c r="G165" s="54">
        <f t="shared" si="36"/>
        <v>2465.0443528441879</v>
      </c>
      <c r="H165" s="54">
        <f t="shared" si="36"/>
        <v>3773.8456795131851</v>
      </c>
      <c r="I165" s="54">
        <f t="shared" si="36"/>
        <v>6065.8122065727694</v>
      </c>
      <c r="J165" s="54">
        <f t="shared" si="36"/>
        <v>5877.7566975568652</v>
      </c>
      <c r="K165" s="54">
        <f t="shared" si="36"/>
        <v>5821.9649108167296</v>
      </c>
      <c r="L165" s="54">
        <f t="shared" si="36"/>
        <v>4806.0185988840676</v>
      </c>
      <c r="M165" s="54">
        <f t="shared" si="36"/>
        <v>4806.0185988840676</v>
      </c>
      <c r="N165" s="54">
        <f t="shared" si="36"/>
        <v>2465.0443528441879</v>
      </c>
      <c r="O165" s="54">
        <f t="shared" si="36"/>
        <v>0</v>
      </c>
      <c r="P165" s="62">
        <f>SUM(D165:O165)</f>
        <v>41127.129282888309</v>
      </c>
      <c r="Q165" s="12"/>
      <c r="R165" s="12"/>
      <c r="S165" s="12"/>
      <c r="T165" s="12"/>
      <c r="U165" s="12"/>
      <c r="V165" s="12"/>
      <c r="W165" s="12"/>
    </row>
    <row r="166" spans="2:23" s="7" customFormat="1">
      <c r="B166" s="71" t="s">
        <v>699</v>
      </c>
      <c r="C166" s="39" t="s">
        <v>390</v>
      </c>
      <c r="D166" s="80">
        <f>Price4_36MoPr(VarCostByProduct,B166)</f>
        <v>8</v>
      </c>
      <c r="E166" s="12"/>
      <c r="F166" s="12"/>
      <c r="G166" s="12"/>
      <c r="H166" s="70"/>
      <c r="I166" s="12"/>
      <c r="J166" s="12"/>
      <c r="K166" s="12"/>
      <c r="L166" s="12"/>
      <c r="M166" s="12"/>
      <c r="N166" s="12"/>
      <c r="O166" s="12"/>
      <c r="P166" s="62"/>
      <c r="Q166" s="12"/>
      <c r="R166" s="12"/>
      <c r="S166" s="12"/>
      <c r="T166" s="12"/>
      <c r="U166" s="12"/>
      <c r="V166" s="12"/>
      <c r="W166" s="12"/>
    </row>
    <row r="167" spans="2:23" s="7" customFormat="1">
      <c r="B167" s="40"/>
      <c r="C167" s="39" t="s">
        <v>121</v>
      </c>
      <c r="D167" s="79">
        <f>Varcosts4_36MoPr(VarCostByProduct,B166)</f>
        <v>1.07</v>
      </c>
      <c r="E167" s="12"/>
      <c r="F167" s="12"/>
      <c r="G167" s="12"/>
      <c r="H167" s="12"/>
      <c r="I167" s="12"/>
      <c r="J167" s="12"/>
      <c r="K167" s="12"/>
      <c r="L167" s="12"/>
      <c r="M167" s="12"/>
      <c r="N167" s="12"/>
      <c r="O167" s="12"/>
      <c r="P167" s="62"/>
      <c r="Q167" s="12"/>
      <c r="R167" s="12"/>
      <c r="S167" s="12"/>
      <c r="T167" s="12"/>
      <c r="U167" s="12"/>
      <c r="V167" s="12"/>
      <c r="W167" s="12"/>
    </row>
    <row r="168" spans="2:23" s="7" customFormat="1">
      <c r="B168" s="40"/>
      <c r="C168" s="161" t="s">
        <v>114</v>
      </c>
      <c r="D168" s="81">
        <f>Sales4_36MoPr(SalesJan,"FY-2",$B166)</f>
        <v>383.56792144026178</v>
      </c>
      <c r="E168" s="81">
        <f>Sales4_36MoPr(SalesFeb,"FY-2",$B166)</f>
        <v>383.56792144026178</v>
      </c>
      <c r="F168" s="81">
        <f>Sales4_36MoPr(SalesMar,"FY-2",$B166)</f>
        <v>383.56792144026178</v>
      </c>
      <c r="G168" s="81">
        <f>Sales4_36MoPr(SalesApr,"FY-2",$B166)</f>
        <v>511.42389525368242</v>
      </c>
      <c r="H168" s="81">
        <f>Sales4_36MoPr(SalesMay,"FY-2",$B166)</f>
        <v>511.42389525368253</v>
      </c>
      <c r="I168" s="81">
        <f>Sales4_36MoPr(SalesJun,"FY-2",$B166)</f>
        <v>767.13584288052368</v>
      </c>
      <c r="J168" s="81">
        <f>Sales4_36MoPr(SalesJul,"FY-2",$B166)</f>
        <v>829.10377358490553</v>
      </c>
      <c r="K168" s="81">
        <f>Sales4_36MoPr(SalesAug,"FY-2",$B166)</f>
        <v>767.13584288052368</v>
      </c>
      <c r="L168" s="81">
        <f>Sales4_36MoPr(SalesSep,"FY-2",$B166)</f>
        <v>703.99519375187742</v>
      </c>
      <c r="M168" s="81">
        <f>Sales4_36MoPr(SalesOct,"FY-2",$B166)</f>
        <v>741.69655560000001</v>
      </c>
      <c r="N168" s="81">
        <f>Sales4_36MoPr(SalesNov,"FY-2",$B166)</f>
        <v>383.56792144026178</v>
      </c>
      <c r="O168" s="81">
        <f>Sales4_36MoPr(SalesDec,"FY-2",$B166)</f>
        <v>511.42389525368242</v>
      </c>
      <c r="P168" s="938">
        <f>SUM(D168:O168)</f>
        <v>6877.6105802199254</v>
      </c>
      <c r="Q168" s="12"/>
      <c r="R168" s="12"/>
      <c r="S168" s="12"/>
      <c r="T168" s="12"/>
      <c r="U168" s="12"/>
      <c r="V168" s="12"/>
      <c r="W168" s="12"/>
    </row>
    <row r="169" spans="2:23" s="7" customFormat="1">
      <c r="B169" s="162"/>
      <c r="C169" s="39" t="s">
        <v>113</v>
      </c>
      <c r="D169" s="54">
        <f t="shared" ref="D169:O169" si="37">D168*$D166</f>
        <v>3068.5433715220943</v>
      </c>
      <c r="E169" s="54">
        <f t="shared" si="37"/>
        <v>3068.5433715220943</v>
      </c>
      <c r="F169" s="54">
        <f t="shared" si="37"/>
        <v>3068.5433715220943</v>
      </c>
      <c r="G169" s="54">
        <f t="shared" si="37"/>
        <v>4091.3911620294593</v>
      </c>
      <c r="H169" s="54">
        <f t="shared" si="37"/>
        <v>4091.3911620294602</v>
      </c>
      <c r="I169" s="54">
        <f t="shared" si="37"/>
        <v>6137.0867430441895</v>
      </c>
      <c r="J169" s="54">
        <f t="shared" si="37"/>
        <v>6632.8301886792442</v>
      </c>
      <c r="K169" s="54">
        <f t="shared" si="37"/>
        <v>6137.0867430441895</v>
      </c>
      <c r="L169" s="54">
        <f t="shared" si="37"/>
        <v>5631.9615500150194</v>
      </c>
      <c r="M169" s="54">
        <f t="shared" si="37"/>
        <v>5933.5724448000001</v>
      </c>
      <c r="N169" s="54">
        <f t="shared" si="37"/>
        <v>3068.5433715220943</v>
      </c>
      <c r="O169" s="54">
        <f t="shared" si="37"/>
        <v>4091.3911620294593</v>
      </c>
      <c r="P169" s="62">
        <f>SUM(D169:O169)</f>
        <v>55020.884641759403</v>
      </c>
      <c r="Q169" s="12"/>
      <c r="R169" s="12"/>
      <c r="S169" s="12"/>
      <c r="T169" s="12"/>
      <c r="U169" s="12"/>
      <c r="V169" s="12"/>
      <c r="W169" s="12"/>
    </row>
    <row r="170" spans="2:23" s="7" customFormat="1">
      <c r="B170" s="40"/>
      <c r="C170" s="39" t="s">
        <v>112</v>
      </c>
      <c r="D170" s="54">
        <f>D168*$D$80</f>
        <v>433.43175122749579</v>
      </c>
      <c r="E170" s="54">
        <f>E168*$D$80</f>
        <v>433.43175122749579</v>
      </c>
      <c r="F170" s="54">
        <f t="shared" ref="F170:O170" si="38">F168*$D167</f>
        <v>410.41767594108012</v>
      </c>
      <c r="G170" s="54">
        <f t="shared" si="38"/>
        <v>547.22356792144024</v>
      </c>
      <c r="H170" s="54">
        <f t="shared" si="38"/>
        <v>547.22356792144035</v>
      </c>
      <c r="I170" s="54">
        <f t="shared" si="38"/>
        <v>820.83535188216035</v>
      </c>
      <c r="J170" s="54">
        <f t="shared" si="38"/>
        <v>887.14103773584895</v>
      </c>
      <c r="K170" s="54">
        <f t="shared" si="38"/>
        <v>820.83535188216035</v>
      </c>
      <c r="L170" s="54">
        <f t="shared" si="38"/>
        <v>753.27485731450884</v>
      </c>
      <c r="M170" s="54">
        <f t="shared" si="38"/>
        <v>793.61531449200004</v>
      </c>
      <c r="N170" s="54">
        <f t="shared" si="38"/>
        <v>410.41767594108012</v>
      </c>
      <c r="O170" s="54">
        <f t="shared" si="38"/>
        <v>547.22356792144024</v>
      </c>
      <c r="P170" s="62">
        <f>SUM(D170:O170)</f>
        <v>7405.0714714081514</v>
      </c>
      <c r="Q170" s="12"/>
      <c r="R170" s="12"/>
      <c r="S170" s="12"/>
      <c r="T170" s="12"/>
      <c r="U170" s="12"/>
      <c r="V170" s="12"/>
      <c r="W170" s="12"/>
    </row>
    <row r="171" spans="2:23" s="7" customFormat="1">
      <c r="B171" s="40"/>
      <c r="C171" s="39" t="s">
        <v>111</v>
      </c>
      <c r="D171" s="54">
        <f>D169-D170</f>
        <v>2635.1116202945987</v>
      </c>
      <c r="E171" s="54">
        <f t="shared" ref="E171:O171" si="39">E169-E170</f>
        <v>2635.1116202945987</v>
      </c>
      <c r="F171" s="54">
        <f t="shared" si="39"/>
        <v>2658.125695581014</v>
      </c>
      <c r="G171" s="54">
        <f t="shared" si="39"/>
        <v>3544.1675941080193</v>
      </c>
      <c r="H171" s="54">
        <f t="shared" si="39"/>
        <v>3544.1675941080198</v>
      </c>
      <c r="I171" s="54">
        <f t="shared" si="39"/>
        <v>5316.251391162029</v>
      </c>
      <c r="J171" s="54">
        <f t="shared" si="39"/>
        <v>5745.6891509433954</v>
      </c>
      <c r="K171" s="54">
        <f t="shared" si="39"/>
        <v>5316.251391162029</v>
      </c>
      <c r="L171" s="54">
        <f t="shared" si="39"/>
        <v>4878.6866927005103</v>
      </c>
      <c r="M171" s="54">
        <f t="shared" si="39"/>
        <v>5139.9571303080002</v>
      </c>
      <c r="N171" s="54">
        <f t="shared" si="39"/>
        <v>2658.125695581014</v>
      </c>
      <c r="O171" s="54">
        <f t="shared" si="39"/>
        <v>3544.1675941080193</v>
      </c>
      <c r="P171" s="62">
        <f>SUM(D171:O171)</f>
        <v>47615.813170351248</v>
      </c>
      <c r="Q171" s="12"/>
      <c r="R171" s="12"/>
      <c r="S171" s="12"/>
      <c r="T171" s="12"/>
      <c r="U171" s="12"/>
      <c r="V171" s="12"/>
      <c r="W171" s="12"/>
    </row>
    <row r="172" spans="2:23" s="7" customFormat="1">
      <c r="B172" s="71" t="s">
        <v>700</v>
      </c>
      <c r="C172" s="39" t="s">
        <v>390</v>
      </c>
      <c r="D172" s="80">
        <f>Price4_36MoPr(VarCostByProduct,B172)</f>
        <v>7.5</v>
      </c>
      <c r="E172" s="12"/>
      <c r="F172" s="12"/>
      <c r="G172" s="12"/>
      <c r="H172" s="70"/>
      <c r="I172" s="12"/>
      <c r="J172" s="12"/>
      <c r="K172" s="12"/>
      <c r="L172" s="12"/>
      <c r="M172" s="12"/>
      <c r="N172" s="12"/>
      <c r="O172" s="12"/>
      <c r="P172" s="62"/>
      <c r="Q172" s="12"/>
      <c r="R172" s="12"/>
      <c r="S172" s="12"/>
      <c r="T172" s="12"/>
      <c r="U172" s="12"/>
      <c r="V172" s="12"/>
      <c r="W172" s="12"/>
    </row>
    <row r="173" spans="2:23" s="7" customFormat="1">
      <c r="B173" s="40"/>
      <c r="C173" s="39" t="s">
        <v>121</v>
      </c>
      <c r="D173" s="79">
        <f>Varcosts4_36MoPr(VarCostByProduct,B172)</f>
        <v>1.07</v>
      </c>
      <c r="E173" s="12"/>
      <c r="F173" s="12"/>
      <c r="G173" s="12"/>
      <c r="H173" s="12"/>
      <c r="I173" s="12"/>
      <c r="J173" s="12"/>
      <c r="K173" s="12"/>
      <c r="L173" s="12"/>
      <c r="M173" s="12"/>
      <c r="N173" s="12"/>
      <c r="O173" s="12"/>
      <c r="P173" s="62"/>
      <c r="Q173" s="12"/>
      <c r="R173" s="12"/>
      <c r="S173" s="12"/>
      <c r="T173" s="12"/>
      <c r="U173" s="12"/>
      <c r="V173" s="12"/>
      <c r="W173" s="12"/>
    </row>
    <row r="174" spans="2:23" s="7" customFormat="1">
      <c r="B174" s="40"/>
      <c r="C174" s="161" t="s">
        <v>114</v>
      </c>
      <c r="D174" s="81">
        <f>Sales4_36MoPr(SalesJan,"FY-2",$B172)</f>
        <v>0</v>
      </c>
      <c r="E174" s="81">
        <f>Sales4_36MoPr(SalesFeb,"FY-2",$B172)</f>
        <v>0</v>
      </c>
      <c r="F174" s="81">
        <f>Sales4_36MoPr(SalesMar,"FY-2",$B172)</f>
        <v>0</v>
      </c>
      <c r="G174" s="81">
        <f>Sales4_36MoPr(SalesApr,"FY-2",$B172)</f>
        <v>0</v>
      </c>
      <c r="H174" s="81">
        <f>Sales4_36MoPr(SalesMay,"FY-2",$B172)</f>
        <v>775.92870432000018</v>
      </c>
      <c r="I174" s="81">
        <f>Sales4_36MoPr(SalesJun,"FY-2",$B172)</f>
        <v>775.92870432000018</v>
      </c>
      <c r="J174" s="81">
        <f>Sales4_36MoPr(SalesJul,"FY-2",$B172)</f>
        <v>2036.8128488400002</v>
      </c>
      <c r="K174" s="81">
        <f>Sales4_36MoPr(SalesAug,"FY-2",$B172)</f>
        <v>1939.8217608000004</v>
      </c>
      <c r="L174" s="81">
        <f>Sales4_36MoPr(SalesSep,"FY-2",$B172)</f>
        <v>1163.89305648</v>
      </c>
      <c r="M174" s="81">
        <f>Sales4_36MoPr(SalesOct,"FY-2",$B172)</f>
        <v>1066.9019684400002</v>
      </c>
      <c r="N174" s="81">
        <f>Sales4_36MoPr(SalesNov,"FY-2",$B172)</f>
        <v>0</v>
      </c>
      <c r="O174" s="81">
        <f>Sales4_36MoPr(SalesDec,"FY-2",$B172)</f>
        <v>0</v>
      </c>
      <c r="P174" s="938">
        <f>SUM(D174:O174)</f>
        <v>7759.2870432000018</v>
      </c>
      <c r="Q174" s="12"/>
      <c r="R174" s="12"/>
      <c r="S174" s="12"/>
      <c r="T174" s="12"/>
      <c r="U174" s="12"/>
      <c r="V174" s="12"/>
      <c r="W174" s="12"/>
    </row>
    <row r="175" spans="2:23" s="7" customFormat="1">
      <c r="B175" s="162"/>
      <c r="C175" s="39" t="s">
        <v>113</v>
      </c>
      <c r="D175" s="54">
        <f t="shared" ref="D175:O175" si="40">D174*$D172</f>
        <v>0</v>
      </c>
      <c r="E175" s="54">
        <f t="shared" si="40"/>
        <v>0</v>
      </c>
      <c r="F175" s="54">
        <f t="shared" si="40"/>
        <v>0</v>
      </c>
      <c r="G175" s="54">
        <f t="shared" si="40"/>
        <v>0</v>
      </c>
      <c r="H175" s="54">
        <f t="shared" si="40"/>
        <v>5819.4652824000013</v>
      </c>
      <c r="I175" s="54">
        <f t="shared" si="40"/>
        <v>5819.4652824000013</v>
      </c>
      <c r="J175" s="54">
        <f t="shared" si="40"/>
        <v>15276.096366300002</v>
      </c>
      <c r="K175" s="54">
        <f t="shared" si="40"/>
        <v>14548.663206000003</v>
      </c>
      <c r="L175" s="54">
        <f t="shared" si="40"/>
        <v>8729.1979236000006</v>
      </c>
      <c r="M175" s="54">
        <f t="shared" si="40"/>
        <v>8001.7647633000015</v>
      </c>
      <c r="N175" s="54">
        <f t="shared" si="40"/>
        <v>0</v>
      </c>
      <c r="O175" s="54">
        <f t="shared" si="40"/>
        <v>0</v>
      </c>
      <c r="P175" s="62">
        <f>SUM(D175:O175)</f>
        <v>58194.652824000004</v>
      </c>
      <c r="Q175" s="12"/>
      <c r="R175" s="12"/>
      <c r="S175" s="12"/>
      <c r="T175" s="12"/>
      <c r="U175" s="12"/>
      <c r="V175" s="12"/>
      <c r="W175" s="12"/>
    </row>
    <row r="176" spans="2:23" s="7" customFormat="1">
      <c r="B176" s="40"/>
      <c r="C176" s="39" t="s">
        <v>112</v>
      </c>
      <c r="D176" s="54">
        <f>D174*$D$80</f>
        <v>0</v>
      </c>
      <c r="E176" s="54">
        <f>E174*$D$80</f>
        <v>0</v>
      </c>
      <c r="F176" s="54">
        <f t="shared" ref="F176:O176" si="41">F174*$D173</f>
        <v>0</v>
      </c>
      <c r="G176" s="54">
        <f t="shared" si="41"/>
        <v>0</v>
      </c>
      <c r="H176" s="54">
        <f t="shared" si="41"/>
        <v>830.24371362240026</v>
      </c>
      <c r="I176" s="54">
        <f t="shared" si="41"/>
        <v>830.24371362240026</v>
      </c>
      <c r="J176" s="54">
        <f t="shared" si="41"/>
        <v>2179.3897482588004</v>
      </c>
      <c r="K176" s="54">
        <f t="shared" si="41"/>
        <v>2075.6092840560004</v>
      </c>
      <c r="L176" s="54">
        <f t="shared" si="41"/>
        <v>1245.3655704336002</v>
      </c>
      <c r="M176" s="54">
        <f t="shared" si="41"/>
        <v>1141.5851062308004</v>
      </c>
      <c r="N176" s="54">
        <f t="shared" si="41"/>
        <v>0</v>
      </c>
      <c r="O176" s="54">
        <f t="shared" si="41"/>
        <v>0</v>
      </c>
      <c r="P176" s="62">
        <f>SUM(D176:O176)</f>
        <v>8302.4371362240017</v>
      </c>
      <c r="Q176" s="12"/>
      <c r="R176" s="12"/>
      <c r="S176" s="12"/>
      <c r="T176" s="12"/>
      <c r="U176" s="12"/>
      <c r="V176" s="12"/>
      <c r="W176" s="12"/>
    </row>
    <row r="177" spans="2:23" s="7" customFormat="1">
      <c r="B177" s="40"/>
      <c r="C177" s="39" t="s">
        <v>111</v>
      </c>
      <c r="D177" s="54">
        <f>D175-D176</f>
        <v>0</v>
      </c>
      <c r="E177" s="54">
        <f t="shared" ref="E177:O177" si="42">E175-E176</f>
        <v>0</v>
      </c>
      <c r="F177" s="54">
        <f t="shared" si="42"/>
        <v>0</v>
      </c>
      <c r="G177" s="54">
        <f t="shared" si="42"/>
        <v>0</v>
      </c>
      <c r="H177" s="54">
        <f t="shared" si="42"/>
        <v>4989.2215687776006</v>
      </c>
      <c r="I177" s="54">
        <f t="shared" si="42"/>
        <v>4989.2215687776006</v>
      </c>
      <c r="J177" s="54">
        <f t="shared" si="42"/>
        <v>13096.706618041202</v>
      </c>
      <c r="K177" s="54">
        <f t="shared" si="42"/>
        <v>12473.053921944003</v>
      </c>
      <c r="L177" s="54">
        <f t="shared" si="42"/>
        <v>7483.8323531664009</v>
      </c>
      <c r="M177" s="54">
        <f t="shared" si="42"/>
        <v>6860.1796570692013</v>
      </c>
      <c r="N177" s="54">
        <f t="shared" si="42"/>
        <v>0</v>
      </c>
      <c r="O177" s="54">
        <f t="shared" si="42"/>
        <v>0</v>
      </c>
      <c r="P177" s="62">
        <f>SUM(D177:O177)</f>
        <v>49892.215687776006</v>
      </c>
      <c r="Q177" s="12"/>
      <c r="R177" s="12"/>
      <c r="S177" s="12"/>
      <c r="T177" s="12"/>
      <c r="U177" s="12"/>
      <c r="V177" s="12"/>
      <c r="W177" s="12"/>
    </row>
    <row r="178" spans="2:23" s="7" customFormat="1">
      <c r="B178" s="71" t="s">
        <v>701</v>
      </c>
      <c r="C178" s="39" t="s">
        <v>390</v>
      </c>
      <c r="D178" s="80">
        <f>Price4_36MoPr(VarCostByProduct,B178)</f>
        <v>7.5</v>
      </c>
      <c r="E178" s="12"/>
      <c r="F178" s="12"/>
      <c r="G178" s="12"/>
      <c r="H178" s="70"/>
      <c r="I178" s="12"/>
      <c r="J178" s="12"/>
      <c r="K178" s="12"/>
      <c r="L178" s="12"/>
      <c r="M178" s="12"/>
      <c r="N178" s="12"/>
      <c r="O178" s="12"/>
      <c r="P178" s="62"/>
      <c r="Q178" s="12"/>
      <c r="R178" s="12"/>
      <c r="S178" s="12"/>
      <c r="T178" s="12"/>
      <c r="U178" s="12"/>
      <c r="V178" s="12"/>
      <c r="W178" s="12"/>
    </row>
    <row r="179" spans="2:23" s="7" customFormat="1">
      <c r="B179" s="40"/>
      <c r="C179" s="39" t="s">
        <v>121</v>
      </c>
      <c r="D179" s="79">
        <f>Varcosts4_36MoPr(VarCostByProduct,B178)</f>
        <v>1.07</v>
      </c>
      <c r="E179" s="12"/>
      <c r="F179" s="12"/>
      <c r="G179" s="12"/>
      <c r="H179" s="12"/>
      <c r="I179" s="12"/>
      <c r="J179" s="12"/>
      <c r="K179" s="12"/>
      <c r="L179" s="12"/>
      <c r="M179" s="12"/>
      <c r="N179" s="12"/>
      <c r="O179" s="12"/>
      <c r="P179" s="62"/>
      <c r="Q179" s="12"/>
      <c r="R179" s="12"/>
      <c r="S179" s="12"/>
      <c r="T179" s="12"/>
      <c r="U179" s="12"/>
      <c r="V179" s="12"/>
      <c r="W179" s="12"/>
    </row>
    <row r="180" spans="2:23" s="7" customFormat="1">
      <c r="B180" s="40"/>
      <c r="C180" s="161" t="s">
        <v>114</v>
      </c>
      <c r="D180" s="81">
        <f>Sales4_36MoPr(SalesJan,"FY-2",$B178)</f>
        <v>0</v>
      </c>
      <c r="E180" s="81">
        <f>Sales4_36MoPr(SalesFeb,"FY-2",$B178)</f>
        <v>0</v>
      </c>
      <c r="F180" s="81">
        <f>Sales4_36MoPr(SalesMar,"FY-2",$B178)</f>
        <v>650.4108256799999</v>
      </c>
      <c r="G180" s="81">
        <f>Sales4_36MoPr(SalesApr,"FY-2",$B178)</f>
        <v>758.81262996000009</v>
      </c>
      <c r="H180" s="81">
        <f>Sales4_36MoPr(SalesMay,"FY-2",$B178)</f>
        <v>867.21443423999995</v>
      </c>
      <c r="I180" s="81">
        <f>Sales4_36MoPr(SalesJun,"FY-2",$B178)</f>
        <v>975.61623851999991</v>
      </c>
      <c r="J180" s="81">
        <f>Sales4_36MoPr(SalesJul,"FY-2",$B178)</f>
        <v>1240</v>
      </c>
      <c r="K180" s="81">
        <f>Sales4_36MoPr(SalesAug,"FY-2",$B178)</f>
        <v>1240</v>
      </c>
      <c r="L180" s="81">
        <f>Sales4_36MoPr(SalesSep,"FY-2",$B178)</f>
        <v>1240</v>
      </c>
      <c r="M180" s="81">
        <f>Sales4_36MoPr(SalesOct,"FY-2",$B178)</f>
        <v>1240</v>
      </c>
      <c r="N180" s="81">
        <f>Sales4_36MoPr(SalesNov,"FY-2",$B178)</f>
        <v>758.81262996000009</v>
      </c>
      <c r="O180" s="81">
        <f>Sales4_36MoPr(SalesDec,"FY-2",$B178)</f>
        <v>0</v>
      </c>
      <c r="P180" s="938">
        <f>SUM(D180:O180)</f>
        <v>8970.8667583599999</v>
      </c>
      <c r="Q180" s="12"/>
      <c r="R180" s="12"/>
      <c r="S180" s="12"/>
      <c r="T180" s="12"/>
      <c r="U180" s="12"/>
      <c r="V180" s="12"/>
      <c r="W180" s="12"/>
    </row>
    <row r="181" spans="2:23" s="7" customFormat="1">
      <c r="B181" s="162"/>
      <c r="C181" s="39" t="s">
        <v>113</v>
      </c>
      <c r="D181" s="54">
        <f t="shared" ref="D181:O181" si="43">D180*$D178</f>
        <v>0</v>
      </c>
      <c r="E181" s="54">
        <f t="shared" si="43"/>
        <v>0</v>
      </c>
      <c r="F181" s="54">
        <f t="shared" si="43"/>
        <v>4878.0811925999997</v>
      </c>
      <c r="G181" s="54">
        <f t="shared" si="43"/>
        <v>5691.0947247000004</v>
      </c>
      <c r="H181" s="54">
        <f t="shared" si="43"/>
        <v>6504.1082567999993</v>
      </c>
      <c r="I181" s="54">
        <f t="shared" si="43"/>
        <v>7317.121788899999</v>
      </c>
      <c r="J181" s="54">
        <f t="shared" si="43"/>
        <v>9300</v>
      </c>
      <c r="K181" s="54">
        <f t="shared" si="43"/>
        <v>9300</v>
      </c>
      <c r="L181" s="54">
        <f t="shared" si="43"/>
        <v>9300</v>
      </c>
      <c r="M181" s="54">
        <f t="shared" si="43"/>
        <v>9300</v>
      </c>
      <c r="N181" s="54">
        <f t="shared" si="43"/>
        <v>5691.0947247000004</v>
      </c>
      <c r="O181" s="54">
        <f t="shared" si="43"/>
        <v>0</v>
      </c>
      <c r="P181" s="927">
        <f>SUM(D181:O181)</f>
        <v>67281.500687699998</v>
      </c>
      <c r="Q181" s="12"/>
      <c r="R181" s="12"/>
      <c r="S181" s="12"/>
      <c r="T181" s="12"/>
      <c r="U181" s="12"/>
      <c r="V181" s="12"/>
      <c r="W181" s="12"/>
    </row>
    <row r="182" spans="2:23" s="7" customFormat="1">
      <c r="B182" s="40"/>
      <c r="C182" s="39" t="s">
        <v>112</v>
      </c>
      <c r="D182" s="54">
        <f>D180*$D$80</f>
        <v>0</v>
      </c>
      <c r="E182" s="54">
        <f>E180*$D$80</f>
        <v>0</v>
      </c>
      <c r="F182" s="54">
        <f t="shared" ref="F182:O182" si="44">F180*$D179</f>
        <v>695.93958347759997</v>
      </c>
      <c r="G182" s="54">
        <f t="shared" si="44"/>
        <v>811.92951405720009</v>
      </c>
      <c r="H182" s="54">
        <f t="shared" si="44"/>
        <v>927.91944463679999</v>
      </c>
      <c r="I182" s="54">
        <f t="shared" si="44"/>
        <v>1043.9093752163999</v>
      </c>
      <c r="J182" s="54">
        <f t="shared" si="44"/>
        <v>1326.8000000000002</v>
      </c>
      <c r="K182" s="54">
        <f t="shared" si="44"/>
        <v>1326.8000000000002</v>
      </c>
      <c r="L182" s="54">
        <f t="shared" si="44"/>
        <v>1326.8000000000002</v>
      </c>
      <c r="M182" s="54">
        <f t="shared" si="44"/>
        <v>1326.8000000000002</v>
      </c>
      <c r="N182" s="54">
        <f t="shared" si="44"/>
        <v>811.92951405720009</v>
      </c>
      <c r="O182" s="54">
        <f t="shared" si="44"/>
        <v>0</v>
      </c>
      <c r="P182" s="62">
        <f>SUM(D182:O182)</f>
        <v>9598.8274314451992</v>
      </c>
      <c r="Q182" s="12"/>
      <c r="R182" s="12"/>
      <c r="S182" s="12"/>
      <c r="T182" s="12"/>
      <c r="U182" s="12"/>
      <c r="V182" s="12"/>
      <c r="W182" s="12"/>
    </row>
    <row r="183" spans="2:23" s="7" customFormat="1">
      <c r="B183" s="40"/>
      <c r="C183" s="39" t="s">
        <v>111</v>
      </c>
      <c r="D183" s="54">
        <f>D181-D182</f>
        <v>0</v>
      </c>
      <c r="E183" s="54">
        <f t="shared" ref="E183:O183" si="45">E181-E182</f>
        <v>0</v>
      </c>
      <c r="F183" s="54">
        <f t="shared" si="45"/>
        <v>4182.1416091224</v>
      </c>
      <c r="G183" s="54">
        <f t="shared" si="45"/>
        <v>4879.1652106428</v>
      </c>
      <c r="H183" s="54">
        <f t="shared" si="45"/>
        <v>5576.1888121631991</v>
      </c>
      <c r="I183" s="54">
        <f t="shared" si="45"/>
        <v>6273.2124136835992</v>
      </c>
      <c r="J183" s="54">
        <f t="shared" si="45"/>
        <v>7973.2</v>
      </c>
      <c r="K183" s="54">
        <f t="shared" si="45"/>
        <v>7973.2</v>
      </c>
      <c r="L183" s="54">
        <f t="shared" si="45"/>
        <v>7973.2</v>
      </c>
      <c r="M183" s="54">
        <f t="shared" si="45"/>
        <v>7973.2</v>
      </c>
      <c r="N183" s="54">
        <f t="shared" si="45"/>
        <v>4879.1652106428</v>
      </c>
      <c r="O183" s="54">
        <f t="shared" si="45"/>
        <v>0</v>
      </c>
      <c r="P183" s="62">
        <f>SUM(D183:O183)</f>
        <v>57682.673256254791</v>
      </c>
      <c r="Q183" s="12"/>
      <c r="R183" s="12"/>
      <c r="S183" s="12"/>
      <c r="T183" s="12"/>
      <c r="U183" s="12"/>
      <c r="V183" s="12"/>
      <c r="W183" s="12"/>
    </row>
    <row r="184" spans="2:23" s="7" customFormat="1">
      <c r="B184" s="71" t="s">
        <v>702</v>
      </c>
      <c r="C184" s="39" t="s">
        <v>390</v>
      </c>
      <c r="D184" s="80">
        <f>Price4_36MoPr(VarCostByProduct,B184)</f>
        <v>7.5</v>
      </c>
      <c r="E184" s="12"/>
      <c r="F184" s="12"/>
      <c r="G184" s="12"/>
      <c r="H184" s="70"/>
      <c r="I184" s="12"/>
      <c r="J184" s="12"/>
      <c r="K184" s="12"/>
      <c r="L184" s="12"/>
      <c r="M184" s="12"/>
      <c r="N184" s="12"/>
      <c r="O184" s="12"/>
      <c r="P184" s="62"/>
      <c r="Q184" s="12"/>
      <c r="R184" s="12"/>
      <c r="S184" s="12"/>
      <c r="T184" s="12"/>
      <c r="U184" s="12"/>
      <c r="V184" s="12"/>
      <c r="W184" s="12"/>
    </row>
    <row r="185" spans="2:23" s="7" customFormat="1">
      <c r="B185" s="40"/>
      <c r="C185" s="39" t="s">
        <v>121</v>
      </c>
      <c r="D185" s="79">
        <f>Varcosts4_36MoPr(VarCostByProduct,B184)</f>
        <v>1.07</v>
      </c>
      <c r="E185" s="12"/>
      <c r="F185" s="12"/>
      <c r="G185" s="12"/>
      <c r="H185" s="12"/>
      <c r="I185" s="12"/>
      <c r="J185" s="12"/>
      <c r="K185" s="12"/>
      <c r="L185" s="12"/>
      <c r="M185" s="12"/>
      <c r="N185" s="12"/>
      <c r="O185" s="12"/>
      <c r="P185" s="62"/>
      <c r="Q185" s="12"/>
      <c r="R185" s="12"/>
      <c r="S185" s="12"/>
      <c r="T185" s="12"/>
      <c r="U185" s="12"/>
      <c r="V185" s="12"/>
      <c r="W185" s="12"/>
    </row>
    <row r="186" spans="2:23" s="7" customFormat="1">
      <c r="B186" s="40"/>
      <c r="C186" s="161" t="s">
        <v>114</v>
      </c>
      <c r="D186" s="81">
        <f>Sales4_36MoPr(SalesJan,"FY-2",$B184)</f>
        <v>1240</v>
      </c>
      <c r="E186" s="81">
        <f>Sales4_36MoPr(SalesFeb,"FY-2",$B184)</f>
        <v>878.62515048000012</v>
      </c>
      <c r="F186" s="81">
        <f>Sales4_36MoPr(SalesMar,"FY-2",$B184)</f>
        <v>878.62515048000012</v>
      </c>
      <c r="G186" s="81">
        <f>Sales4_36MoPr(SalesApr,"FY-2",$B184)</f>
        <v>878.62515048000012</v>
      </c>
      <c r="H186" s="81">
        <f>Sales4_36MoPr(SalesMay,"FY-2",$B184)</f>
        <v>753.10727183999995</v>
      </c>
      <c r="I186" s="81">
        <f>Sales4_36MoPr(SalesJun,"FY-2",$B184)</f>
        <v>0</v>
      </c>
      <c r="J186" s="81">
        <f>Sales4_36MoPr(SalesJul,"FY-2",$B184)</f>
        <v>0</v>
      </c>
      <c r="K186" s="81">
        <f>Sales4_36MoPr(SalesAug,"FY-2",$B184)</f>
        <v>878.62515048000012</v>
      </c>
      <c r="L186" s="81">
        <f>Sales4_36MoPr(SalesSep,"FY-2",$B184)</f>
        <v>1004.1430291200001</v>
      </c>
      <c r="M186" s="81">
        <f>Sales4_36MoPr(SalesOct,"FY-2",$B184)</f>
        <v>1240</v>
      </c>
      <c r="N186" s="81">
        <f>Sales4_36MoPr(SalesNov,"FY-2",$B184)</f>
        <v>1240</v>
      </c>
      <c r="O186" s="81">
        <f>Sales4_36MoPr(SalesDec,"FY-2",$B184)</f>
        <v>1240</v>
      </c>
      <c r="P186" s="938">
        <f>SUM(D186:O186)</f>
        <v>10231.750902880001</v>
      </c>
      <c r="Q186" s="12"/>
      <c r="R186" s="12"/>
      <c r="S186" s="12"/>
      <c r="T186" s="12"/>
      <c r="U186" s="12"/>
      <c r="V186" s="12"/>
      <c r="W186" s="12"/>
    </row>
    <row r="187" spans="2:23" s="7" customFormat="1">
      <c r="B187" s="162"/>
      <c r="C187" s="39" t="s">
        <v>113</v>
      </c>
      <c r="D187" s="54">
        <f t="shared" ref="D187:O187" si="46">D186*$D184</f>
        <v>9300</v>
      </c>
      <c r="E187" s="54">
        <f t="shared" si="46"/>
        <v>6589.6886286000008</v>
      </c>
      <c r="F187" s="54">
        <f t="shared" si="46"/>
        <v>6589.6886286000008</v>
      </c>
      <c r="G187" s="54">
        <f t="shared" si="46"/>
        <v>6589.6886286000008</v>
      </c>
      <c r="H187" s="54">
        <f t="shared" si="46"/>
        <v>5648.3045388</v>
      </c>
      <c r="I187" s="54">
        <f t="shared" si="46"/>
        <v>0</v>
      </c>
      <c r="J187" s="54">
        <f t="shared" si="46"/>
        <v>0</v>
      </c>
      <c r="K187" s="54">
        <f t="shared" si="46"/>
        <v>6589.6886286000008</v>
      </c>
      <c r="L187" s="54">
        <f t="shared" si="46"/>
        <v>7531.0727184000007</v>
      </c>
      <c r="M187" s="54">
        <f t="shared" si="46"/>
        <v>9300</v>
      </c>
      <c r="N187" s="54">
        <f t="shared" si="46"/>
        <v>9300</v>
      </c>
      <c r="O187" s="54">
        <f t="shared" si="46"/>
        <v>9300</v>
      </c>
      <c r="P187" s="62">
        <f>SUM(D187:O187)</f>
        <v>76738.131771600005</v>
      </c>
      <c r="Q187" s="12"/>
      <c r="R187" s="12"/>
      <c r="S187" s="12"/>
      <c r="T187" s="12"/>
      <c r="U187" s="12"/>
      <c r="V187" s="12"/>
      <c r="W187" s="12"/>
    </row>
    <row r="188" spans="2:23" s="7" customFormat="1">
      <c r="B188" s="40"/>
      <c r="C188" s="39" t="s">
        <v>112</v>
      </c>
      <c r="D188" s="54">
        <f>D186*$D$80</f>
        <v>1401.1999999999998</v>
      </c>
      <c r="E188" s="54">
        <f>E186*$D$80</f>
        <v>992.84642004240004</v>
      </c>
      <c r="F188" s="54">
        <f t="shared" ref="F188:O188" si="47">F186*$D185</f>
        <v>940.12891101360015</v>
      </c>
      <c r="G188" s="54">
        <f t="shared" si="47"/>
        <v>940.12891101360015</v>
      </c>
      <c r="H188" s="54">
        <f t="shared" si="47"/>
        <v>805.82478086879996</v>
      </c>
      <c r="I188" s="54">
        <f t="shared" si="47"/>
        <v>0</v>
      </c>
      <c r="J188" s="54">
        <f t="shared" si="47"/>
        <v>0</v>
      </c>
      <c r="K188" s="54">
        <f t="shared" si="47"/>
        <v>940.12891101360015</v>
      </c>
      <c r="L188" s="54">
        <f t="shared" si="47"/>
        <v>1074.4330411584001</v>
      </c>
      <c r="M188" s="54">
        <f t="shared" si="47"/>
        <v>1326.8000000000002</v>
      </c>
      <c r="N188" s="54">
        <f t="shared" si="47"/>
        <v>1326.8000000000002</v>
      </c>
      <c r="O188" s="54">
        <f t="shared" si="47"/>
        <v>1326.8000000000002</v>
      </c>
      <c r="P188" s="62">
        <f>SUM(D188:O188)</f>
        <v>11075.090975110401</v>
      </c>
      <c r="Q188" s="12"/>
      <c r="R188" s="12"/>
      <c r="S188" s="12"/>
      <c r="T188" s="12"/>
      <c r="U188" s="12"/>
      <c r="V188" s="12"/>
      <c r="W188" s="12"/>
    </row>
    <row r="189" spans="2:23" s="7" customFormat="1">
      <c r="B189" s="40"/>
      <c r="C189" s="39" t="s">
        <v>111</v>
      </c>
      <c r="D189" s="54">
        <f>D187-D188</f>
        <v>7898.8</v>
      </c>
      <c r="E189" s="54">
        <f t="shared" ref="E189:O189" si="48">E187-E188</f>
        <v>5596.8422085576003</v>
      </c>
      <c r="F189" s="54">
        <f t="shared" si="48"/>
        <v>5649.5597175864004</v>
      </c>
      <c r="G189" s="54">
        <f t="shared" si="48"/>
        <v>5649.5597175864004</v>
      </c>
      <c r="H189" s="54">
        <f t="shared" si="48"/>
        <v>4842.4797579311999</v>
      </c>
      <c r="I189" s="54">
        <f t="shared" si="48"/>
        <v>0</v>
      </c>
      <c r="J189" s="54">
        <f t="shared" si="48"/>
        <v>0</v>
      </c>
      <c r="K189" s="54">
        <f t="shared" si="48"/>
        <v>5649.5597175864004</v>
      </c>
      <c r="L189" s="54">
        <f t="shared" si="48"/>
        <v>6456.639677241601</v>
      </c>
      <c r="M189" s="54">
        <f t="shared" si="48"/>
        <v>7973.2</v>
      </c>
      <c r="N189" s="54">
        <f t="shared" si="48"/>
        <v>7973.2</v>
      </c>
      <c r="O189" s="54">
        <f t="shared" si="48"/>
        <v>7973.2</v>
      </c>
      <c r="P189" s="62">
        <f>SUM(D189:O189)</f>
        <v>65663.0407964896</v>
      </c>
      <c r="Q189" s="12"/>
      <c r="R189" s="12"/>
      <c r="S189" s="12"/>
      <c r="T189" s="12"/>
      <c r="U189" s="12"/>
      <c r="V189" s="12"/>
      <c r="W189" s="12"/>
    </row>
    <row r="190" spans="2:23" s="7" customFormat="1">
      <c r="B190" s="71" t="s">
        <v>703</v>
      </c>
      <c r="C190" s="39" t="s">
        <v>390</v>
      </c>
      <c r="D190" s="80">
        <f>Price4_36MoPr(VarCostByProduct,B190)</f>
        <v>7.5</v>
      </c>
      <c r="E190" s="12"/>
      <c r="F190" s="12"/>
      <c r="G190" s="12"/>
      <c r="H190" s="70"/>
      <c r="I190" s="12"/>
      <c r="J190" s="12"/>
      <c r="K190" s="12"/>
      <c r="L190" s="12"/>
      <c r="M190" s="12"/>
      <c r="N190" s="12"/>
      <c r="O190" s="12"/>
      <c r="P190" s="62"/>
      <c r="Q190" s="12"/>
      <c r="R190" s="12"/>
      <c r="S190" s="12"/>
      <c r="T190" s="12"/>
      <c r="U190" s="12"/>
      <c r="V190" s="12"/>
      <c r="W190" s="12"/>
    </row>
    <row r="191" spans="2:23" s="7" customFormat="1">
      <c r="B191" s="40"/>
      <c r="C191" s="39" t="s">
        <v>121</v>
      </c>
      <c r="D191" s="79">
        <f>Varcosts4_36MoPr(VarCostByProduct,B190)</f>
        <v>1.07</v>
      </c>
      <c r="E191" s="12"/>
      <c r="F191" s="12"/>
      <c r="G191" s="12"/>
      <c r="H191" s="12"/>
      <c r="I191" s="12"/>
      <c r="J191" s="12"/>
      <c r="K191" s="12"/>
      <c r="L191" s="12"/>
      <c r="M191" s="12"/>
      <c r="N191" s="12"/>
      <c r="O191" s="12"/>
      <c r="P191" s="62"/>
      <c r="Q191" s="12"/>
      <c r="R191" s="12"/>
      <c r="S191" s="12"/>
      <c r="T191" s="12"/>
      <c r="U191" s="12"/>
      <c r="V191" s="12"/>
      <c r="W191" s="12"/>
    </row>
    <row r="192" spans="2:23" s="7" customFormat="1">
      <c r="B192" s="40"/>
      <c r="C192" s="161" t="s">
        <v>114</v>
      </c>
      <c r="D192" s="81">
        <f>Sales4_36MoPr(SalesJan,"FY-2",$B190)</f>
        <v>1240</v>
      </c>
      <c r="E192" s="81">
        <f>Sales4_36MoPr(SalesFeb,"FY-2",$B190)</f>
        <v>1004.1430291199999</v>
      </c>
      <c r="F192" s="81">
        <f>Sales4_36MoPr(SalesMar,"FY-2",$B190)</f>
        <v>821.57156927999995</v>
      </c>
      <c r="G192" s="81">
        <f>Sales4_36MoPr(SalesApr,"FY-2",$B190)</f>
        <v>639.00010944000007</v>
      </c>
      <c r="H192" s="81">
        <f>Sales4_36MoPr(SalesMay,"FY-2",$B190)</f>
        <v>0</v>
      </c>
      <c r="I192" s="81">
        <f>Sales4_36MoPr(SalesJun,"FY-2",$B190)</f>
        <v>0</v>
      </c>
      <c r="J192" s="81">
        <f>Sales4_36MoPr(SalesJul,"FY-2",$B190)</f>
        <v>0</v>
      </c>
      <c r="K192" s="81">
        <f>Sales4_36MoPr(SalesAug,"FY-2",$B190)</f>
        <v>0</v>
      </c>
      <c r="L192" s="81">
        <f>Sales4_36MoPr(SalesSep,"FY-2",$B190)</f>
        <v>0</v>
      </c>
      <c r="M192" s="81">
        <f>Sales4_36MoPr(SalesOct,"FY-2",$B190)</f>
        <v>1004.1430291199999</v>
      </c>
      <c r="N192" s="81">
        <f>Sales4_36MoPr(SalesNov,"FY-2",$B190)</f>
        <v>1095.4287590399999</v>
      </c>
      <c r="O192" s="81">
        <f>Sales4_36MoPr(SalesDec,"FY-2",$B190)</f>
        <v>1240</v>
      </c>
      <c r="P192" s="938">
        <f>SUM(D192:O192)</f>
        <v>7044.2864959999997</v>
      </c>
      <c r="Q192" s="12"/>
      <c r="R192" s="12"/>
      <c r="S192" s="12"/>
      <c r="T192" s="12"/>
      <c r="U192" s="12"/>
      <c r="V192" s="12"/>
      <c r="W192" s="12"/>
    </row>
    <row r="193" spans="2:23" s="7" customFormat="1">
      <c r="B193" s="162"/>
      <c r="C193" s="39" t="s">
        <v>113</v>
      </c>
      <c r="D193" s="54">
        <f t="shared" ref="D193:O193" si="49">D192*$D190</f>
        <v>9300</v>
      </c>
      <c r="E193" s="54">
        <f t="shared" si="49"/>
        <v>7531.0727183999998</v>
      </c>
      <c r="F193" s="54">
        <f t="shared" si="49"/>
        <v>6161.7867695999994</v>
      </c>
      <c r="G193" s="54">
        <f t="shared" si="49"/>
        <v>4792.5008208000008</v>
      </c>
      <c r="H193" s="54">
        <f t="shared" si="49"/>
        <v>0</v>
      </c>
      <c r="I193" s="54">
        <f t="shared" si="49"/>
        <v>0</v>
      </c>
      <c r="J193" s="54">
        <f t="shared" si="49"/>
        <v>0</v>
      </c>
      <c r="K193" s="54">
        <f t="shared" si="49"/>
        <v>0</v>
      </c>
      <c r="L193" s="54">
        <f t="shared" si="49"/>
        <v>0</v>
      </c>
      <c r="M193" s="54">
        <f t="shared" si="49"/>
        <v>7531.0727183999998</v>
      </c>
      <c r="N193" s="54">
        <f t="shared" si="49"/>
        <v>8215.7156928000004</v>
      </c>
      <c r="O193" s="54">
        <f t="shared" si="49"/>
        <v>9300</v>
      </c>
      <c r="P193" s="62">
        <f>SUM(D193:O193)</f>
        <v>52832.148719999997</v>
      </c>
      <c r="Q193" s="12"/>
      <c r="R193" s="12"/>
      <c r="S193" s="12"/>
      <c r="T193" s="12"/>
      <c r="U193" s="12"/>
      <c r="V193" s="12"/>
      <c r="W193" s="12"/>
    </row>
    <row r="194" spans="2:23" s="7" customFormat="1">
      <c r="B194" s="40"/>
      <c r="C194" s="39" t="s">
        <v>112</v>
      </c>
      <c r="D194" s="54">
        <f>D192*$D$80</f>
        <v>1401.1999999999998</v>
      </c>
      <c r="E194" s="54">
        <f>E192*$D$80</f>
        <v>1134.6816229055999</v>
      </c>
      <c r="F194" s="54">
        <f t="shared" ref="F194:O194" si="50">F192*$D191</f>
        <v>879.08157912959996</v>
      </c>
      <c r="G194" s="54">
        <f t="shared" si="50"/>
        <v>683.73011710080016</v>
      </c>
      <c r="H194" s="54">
        <f t="shared" si="50"/>
        <v>0</v>
      </c>
      <c r="I194" s="54">
        <f t="shared" si="50"/>
        <v>0</v>
      </c>
      <c r="J194" s="54">
        <f t="shared" si="50"/>
        <v>0</v>
      </c>
      <c r="K194" s="54">
        <f t="shared" si="50"/>
        <v>0</v>
      </c>
      <c r="L194" s="54">
        <f t="shared" si="50"/>
        <v>0</v>
      </c>
      <c r="M194" s="54">
        <f t="shared" si="50"/>
        <v>1074.4330411584001</v>
      </c>
      <c r="N194" s="54">
        <f t="shared" si="50"/>
        <v>1172.1087721727999</v>
      </c>
      <c r="O194" s="54">
        <f t="shared" si="50"/>
        <v>1326.8000000000002</v>
      </c>
      <c r="P194" s="62">
        <f>SUM(D194:O194)</f>
        <v>7672.0351324672001</v>
      </c>
      <c r="Q194" s="12"/>
      <c r="R194" s="12"/>
      <c r="S194" s="12"/>
      <c r="T194" s="12"/>
      <c r="U194" s="12"/>
      <c r="V194" s="12"/>
      <c r="W194" s="12"/>
    </row>
    <row r="195" spans="2:23" s="7" customFormat="1">
      <c r="B195" s="40"/>
      <c r="C195" s="39" t="s">
        <v>111</v>
      </c>
      <c r="D195" s="54">
        <f>D193-D194</f>
        <v>7898.8</v>
      </c>
      <c r="E195" s="54">
        <f t="shared" ref="E195:O195" si="51">E193-E194</f>
        <v>6396.3910954944004</v>
      </c>
      <c r="F195" s="54">
        <f t="shared" si="51"/>
        <v>5282.7051904703994</v>
      </c>
      <c r="G195" s="54">
        <f t="shared" si="51"/>
        <v>4108.7707036992006</v>
      </c>
      <c r="H195" s="54">
        <f t="shared" si="51"/>
        <v>0</v>
      </c>
      <c r="I195" s="54">
        <f t="shared" si="51"/>
        <v>0</v>
      </c>
      <c r="J195" s="54">
        <f t="shared" si="51"/>
        <v>0</v>
      </c>
      <c r="K195" s="54">
        <f t="shared" si="51"/>
        <v>0</v>
      </c>
      <c r="L195" s="54">
        <f t="shared" si="51"/>
        <v>0</v>
      </c>
      <c r="M195" s="54">
        <f t="shared" si="51"/>
        <v>6456.6396772415992</v>
      </c>
      <c r="N195" s="54">
        <f t="shared" si="51"/>
        <v>7043.6069206272005</v>
      </c>
      <c r="O195" s="54">
        <f t="shared" si="51"/>
        <v>7973.2</v>
      </c>
      <c r="P195" s="62">
        <f>SUM(D195:O195)</f>
        <v>45160.113587532796</v>
      </c>
      <c r="Q195" s="12"/>
      <c r="R195" s="12"/>
      <c r="S195" s="12"/>
      <c r="T195" s="12"/>
      <c r="U195" s="12"/>
      <c r="V195" s="12"/>
      <c r="W195" s="12"/>
    </row>
    <row r="196" spans="2:23" s="7" customFormat="1">
      <c r="B196" s="71" t="s">
        <v>704</v>
      </c>
      <c r="C196" s="39" t="s">
        <v>390</v>
      </c>
      <c r="D196" s="80">
        <f>Price4_36MoPr(VarCostByProduct,B196)</f>
        <v>3.3</v>
      </c>
      <c r="E196" s="12"/>
      <c r="F196" s="12"/>
      <c r="G196" s="12"/>
      <c r="H196" s="70"/>
      <c r="I196" s="12"/>
      <c r="J196" s="12"/>
      <c r="K196" s="12"/>
      <c r="L196" s="12"/>
      <c r="M196" s="12"/>
      <c r="N196" s="12"/>
      <c r="O196" s="12"/>
      <c r="P196" s="62"/>
      <c r="Q196" s="12"/>
      <c r="R196" s="12"/>
      <c r="S196" s="12"/>
      <c r="T196" s="12"/>
      <c r="U196" s="12"/>
      <c r="V196" s="12"/>
      <c r="W196" s="12"/>
    </row>
    <row r="197" spans="2:23" s="7" customFormat="1">
      <c r="B197" s="40"/>
      <c r="C197" s="39" t="s">
        <v>121</v>
      </c>
      <c r="D197" s="79">
        <f>Varcosts4_36MoPr(VarCostByProduct,B196)</f>
        <v>1.0900000000000001</v>
      </c>
      <c r="E197" s="12"/>
      <c r="F197" s="12"/>
      <c r="G197" s="12"/>
      <c r="H197" s="12"/>
      <c r="I197" s="12"/>
      <c r="J197" s="12"/>
      <c r="K197" s="12"/>
      <c r="L197" s="12"/>
      <c r="M197" s="12"/>
      <c r="N197" s="12"/>
      <c r="O197" s="12"/>
      <c r="P197" s="62"/>
      <c r="Q197" s="12"/>
      <c r="R197" s="12"/>
      <c r="S197" s="12"/>
      <c r="T197" s="12"/>
      <c r="U197" s="12"/>
      <c r="V197" s="12"/>
      <c r="W197" s="12"/>
    </row>
    <row r="198" spans="2:23" s="7" customFormat="1">
      <c r="B198" s="40"/>
      <c r="C198" s="161" t="s">
        <v>114</v>
      </c>
      <c r="D198" s="81">
        <f>Sales4_36MoPr(SalesJan,"FY-2",$B196)</f>
        <v>0</v>
      </c>
      <c r="E198" s="81">
        <f>Sales4_36MoPr(SalesFeb,"FY-2",$B196)</f>
        <v>2157.5488172725832</v>
      </c>
      <c r="F198" s="81">
        <f>Sales4_36MoPr(SalesMar,"FY-2",$B196)</f>
        <v>3308.0081135902637</v>
      </c>
      <c r="G198" s="81">
        <f>Sales4_36MoPr(SalesApr,"FY-2",$B196)</f>
        <v>3361.1871393239903</v>
      </c>
      <c r="H198" s="81">
        <f>Sales4_36MoPr(SalesMay,"FY-2",$B196)</f>
        <v>4410.6774847870183</v>
      </c>
      <c r="I198" s="81">
        <f>Sales4_36MoPr(SalesJun,"FY-2",$B196)</f>
        <v>5317.0579029733954</v>
      </c>
      <c r="J198" s="81">
        <f>Sales4_36MoPr(SalesJul,"FY-2",$B196)</f>
        <v>10304.431339511373</v>
      </c>
      <c r="K198" s="81">
        <f>Sales4_36MoPr(SalesAug,"FY-2",$B196)</f>
        <v>9072.5524147282777</v>
      </c>
      <c r="L198" s="81">
        <f>Sales4_36MoPr(SalesSep,"FY-2",$B196)</f>
        <v>6740.4339739615634</v>
      </c>
      <c r="M198" s="81">
        <f>Sales4_36MoPr(SalesOct,"FY-2",$B196)</f>
        <v>6740.4339739615634</v>
      </c>
      <c r="N198" s="81">
        <f>Sales4_36MoPr(SalesNov,"FY-2",$B196)</f>
        <v>3361.1871393239903</v>
      </c>
      <c r="O198" s="81">
        <f>Sales4_36MoPr(SalesDec,"FY-2",$B196)</f>
        <v>0</v>
      </c>
      <c r="P198" s="938">
        <f>SUM(D198:O198)</f>
        <v>54773.518299434014</v>
      </c>
      <c r="Q198" s="12"/>
      <c r="R198" s="12"/>
      <c r="S198" s="12"/>
      <c r="T198" s="12"/>
      <c r="U198" s="12"/>
      <c r="V198" s="12"/>
      <c r="W198" s="12"/>
    </row>
    <row r="199" spans="2:23" s="7" customFormat="1">
      <c r="B199" s="162"/>
      <c r="C199" s="39" t="s">
        <v>113</v>
      </c>
      <c r="D199" s="54">
        <f t="shared" ref="D199:O199" si="52">D198*$D196</f>
        <v>0</v>
      </c>
      <c r="E199" s="54">
        <f t="shared" si="52"/>
        <v>7119.9110969995245</v>
      </c>
      <c r="F199" s="54">
        <f t="shared" si="52"/>
        <v>10916.426774847871</v>
      </c>
      <c r="G199" s="54">
        <f t="shared" si="52"/>
        <v>11091.917559769168</v>
      </c>
      <c r="H199" s="54">
        <f t="shared" si="52"/>
        <v>14555.23569979716</v>
      </c>
      <c r="I199" s="54">
        <f t="shared" si="52"/>
        <v>17546.291079812203</v>
      </c>
      <c r="J199" s="54">
        <f t="shared" si="52"/>
        <v>34004.623420387528</v>
      </c>
      <c r="K199" s="54">
        <f t="shared" si="52"/>
        <v>29939.422968603314</v>
      </c>
      <c r="L199" s="54">
        <f t="shared" si="52"/>
        <v>22243.432114073159</v>
      </c>
      <c r="M199" s="54">
        <f t="shared" si="52"/>
        <v>22243.432114073159</v>
      </c>
      <c r="N199" s="54">
        <f t="shared" si="52"/>
        <v>11091.917559769168</v>
      </c>
      <c r="O199" s="54">
        <f t="shared" si="52"/>
        <v>0</v>
      </c>
      <c r="P199" s="62">
        <f>SUM(D199:O199)</f>
        <v>180752.61038813228</v>
      </c>
      <c r="Q199" s="12"/>
      <c r="R199" s="12"/>
      <c r="S199" s="12"/>
      <c r="T199" s="12"/>
      <c r="U199" s="12"/>
      <c r="V199" s="12"/>
      <c r="W199" s="12"/>
    </row>
    <row r="200" spans="2:23" s="7" customFormat="1">
      <c r="B200" s="40"/>
      <c r="C200" s="39" t="s">
        <v>112</v>
      </c>
      <c r="D200" s="54">
        <f>D198*$D$80</f>
        <v>0</v>
      </c>
      <c r="E200" s="54">
        <f>E198*$D$80</f>
        <v>2438.0301635180185</v>
      </c>
      <c r="F200" s="54">
        <f t="shared" ref="F200:O200" si="53">F198*$D197</f>
        <v>3605.7288438133878</v>
      </c>
      <c r="G200" s="54">
        <f t="shared" si="53"/>
        <v>3663.6939818631499</v>
      </c>
      <c r="H200" s="54">
        <f t="shared" si="53"/>
        <v>4807.6384584178504</v>
      </c>
      <c r="I200" s="54">
        <f t="shared" si="53"/>
        <v>5795.5931142410018</v>
      </c>
      <c r="J200" s="54">
        <f t="shared" si="53"/>
        <v>11231.830160067397</v>
      </c>
      <c r="K200" s="54">
        <f t="shared" si="53"/>
        <v>9889.0821320538234</v>
      </c>
      <c r="L200" s="54">
        <f t="shared" si="53"/>
        <v>7347.0730316181043</v>
      </c>
      <c r="M200" s="54">
        <f t="shared" si="53"/>
        <v>7347.0730316181043</v>
      </c>
      <c r="N200" s="54">
        <f t="shared" si="53"/>
        <v>3663.6939818631499</v>
      </c>
      <c r="O200" s="54">
        <f t="shared" si="53"/>
        <v>0</v>
      </c>
      <c r="P200" s="62">
        <f>SUM(D200:O200)</f>
        <v>59789.436899073997</v>
      </c>
      <c r="Q200" s="12"/>
      <c r="R200" s="12"/>
      <c r="S200" s="12"/>
      <c r="T200" s="12"/>
      <c r="U200" s="12"/>
      <c r="V200" s="12"/>
      <c r="W200" s="12"/>
    </row>
    <row r="201" spans="2:23" s="7" customFormat="1">
      <c r="B201" s="40"/>
      <c r="C201" s="39" t="s">
        <v>111</v>
      </c>
      <c r="D201" s="54">
        <f>D199-D200</f>
        <v>0</v>
      </c>
      <c r="E201" s="54">
        <f t="shared" ref="E201:O201" si="54">E199-E200</f>
        <v>4681.880933481506</v>
      </c>
      <c r="F201" s="54">
        <f t="shared" si="54"/>
        <v>7310.6979310344832</v>
      </c>
      <c r="G201" s="54">
        <f t="shared" si="54"/>
        <v>7428.2235779060184</v>
      </c>
      <c r="H201" s="54">
        <f t="shared" si="54"/>
        <v>9747.5972413793097</v>
      </c>
      <c r="I201" s="54">
        <f t="shared" si="54"/>
        <v>11750.697965571202</v>
      </c>
      <c r="J201" s="54">
        <f t="shared" si="54"/>
        <v>22772.793260320133</v>
      </c>
      <c r="K201" s="54">
        <f t="shared" si="54"/>
        <v>20050.340836549491</v>
      </c>
      <c r="L201" s="54">
        <f t="shared" si="54"/>
        <v>14896.359082455056</v>
      </c>
      <c r="M201" s="54">
        <f t="shared" si="54"/>
        <v>14896.359082455056</v>
      </c>
      <c r="N201" s="54">
        <f t="shared" si="54"/>
        <v>7428.2235779060184</v>
      </c>
      <c r="O201" s="54">
        <f t="shared" si="54"/>
        <v>0</v>
      </c>
      <c r="P201" s="62">
        <f>SUM(D201:O201)</f>
        <v>120963.17348905826</v>
      </c>
      <c r="Q201" s="12"/>
      <c r="R201" s="12"/>
      <c r="S201" s="12"/>
      <c r="T201" s="12"/>
      <c r="U201" s="12"/>
      <c r="V201" s="12"/>
      <c r="W201" s="12"/>
    </row>
    <row r="202" spans="2:23" s="7" customFormat="1">
      <c r="B202" s="71" t="s">
        <v>705</v>
      </c>
      <c r="C202" s="39" t="s">
        <v>390</v>
      </c>
      <c r="D202" s="80">
        <f>Price4_36MoPr(VarCostByProduct,B202)</f>
        <v>3.3</v>
      </c>
      <c r="E202" s="12"/>
      <c r="F202" s="12"/>
      <c r="G202" s="12"/>
      <c r="H202" s="70"/>
      <c r="I202" s="12"/>
      <c r="J202" s="12"/>
      <c r="K202" s="12"/>
      <c r="L202" s="12"/>
      <c r="M202" s="12"/>
      <c r="N202" s="12"/>
      <c r="O202" s="12"/>
      <c r="P202" s="62"/>
      <c r="Q202" s="12"/>
      <c r="R202" s="12"/>
      <c r="S202" s="12"/>
      <c r="T202" s="12"/>
      <c r="U202" s="12"/>
      <c r="V202" s="12"/>
      <c r="W202" s="12"/>
    </row>
    <row r="203" spans="2:23" s="7" customFormat="1">
      <c r="B203" s="40"/>
      <c r="C203" s="39" t="s">
        <v>121</v>
      </c>
      <c r="D203" s="79">
        <f>Varcosts4_36MoPr(VarCostByProduct,B202)</f>
        <v>1.0900000000000001</v>
      </c>
      <c r="E203" s="12"/>
      <c r="F203" s="12"/>
      <c r="G203" s="12"/>
      <c r="H203" s="12"/>
      <c r="I203" s="12"/>
      <c r="J203" s="12"/>
      <c r="K203" s="12"/>
      <c r="L203" s="12"/>
      <c r="M203" s="12"/>
      <c r="N203" s="12"/>
      <c r="O203" s="12"/>
      <c r="P203" s="62"/>
      <c r="Q203" s="12"/>
      <c r="R203" s="12"/>
      <c r="S203" s="12"/>
      <c r="T203" s="12"/>
      <c r="U203" s="12"/>
      <c r="V203" s="12"/>
      <c r="W203" s="12"/>
    </row>
    <row r="204" spans="2:23" s="7" customFormat="1">
      <c r="B204" s="40"/>
      <c r="C204" s="161" t="s">
        <v>114</v>
      </c>
      <c r="D204" s="81">
        <f>Sales4_36MoPr(SalesJan,"FY-2",$B202)</f>
        <v>3336.4320785597379</v>
      </c>
      <c r="E204" s="81">
        <f>Sales4_36MoPr(SalesFeb,"FY-2",$B202)</f>
        <v>3336.4320785597379</v>
      </c>
      <c r="F204" s="81">
        <f>Sales4_36MoPr(SalesMar,"FY-2",$B202)</f>
        <v>3336.4320785597379</v>
      </c>
      <c r="G204" s="81">
        <f>Sales4_36MoPr(SalesApr,"FY-2",$B202)</f>
        <v>4448.5761047463175</v>
      </c>
      <c r="H204" s="81">
        <f>Sales4_36MoPr(SalesMay,"FY-2",$B202)</f>
        <v>4448.5761047463175</v>
      </c>
      <c r="I204" s="81">
        <f>Sales4_36MoPr(SalesJun,"FY-2",$B202)</f>
        <v>6672.8641571194767</v>
      </c>
      <c r="J204" s="81">
        <f>Sales4_36MoPr(SalesJul,"FY-2",$B202)</f>
        <v>6610.896226415095</v>
      </c>
      <c r="K204" s="81">
        <f>Sales4_36MoPr(SalesAug,"FY-2",$B202)</f>
        <v>6672.8641571194767</v>
      </c>
      <c r="L204" s="81">
        <f>Sales4_36MoPr(SalesSep,"FY-2",$B202)</f>
        <v>6736.0048062481219</v>
      </c>
      <c r="M204" s="81">
        <f>Sales4_36MoPr(SalesOct,"FY-2",$B202)</f>
        <v>6451.5827376000016</v>
      </c>
      <c r="N204" s="81">
        <f>Sales4_36MoPr(SalesNov,"FY-2",$B202)</f>
        <v>3336.4320785597379</v>
      </c>
      <c r="O204" s="81">
        <f>Sales4_36MoPr(SalesDec,"FY-2",$B202)</f>
        <v>4448.5761047463175</v>
      </c>
      <c r="P204" s="938">
        <f>SUM(D204:O204)</f>
        <v>59835.668712980078</v>
      </c>
      <c r="Q204" s="12"/>
      <c r="R204" s="12"/>
      <c r="S204" s="12"/>
      <c r="T204" s="12"/>
      <c r="U204" s="12"/>
      <c r="V204" s="12"/>
      <c r="W204" s="12"/>
    </row>
    <row r="205" spans="2:23" s="7" customFormat="1">
      <c r="B205" s="162"/>
      <c r="C205" s="39" t="s">
        <v>113</v>
      </c>
      <c r="D205" s="54">
        <f t="shared" ref="D205:O205" si="55">D204*$D202</f>
        <v>11010.225859247133</v>
      </c>
      <c r="E205" s="54">
        <f t="shared" si="55"/>
        <v>11010.225859247133</v>
      </c>
      <c r="F205" s="54">
        <f t="shared" si="55"/>
        <v>11010.225859247133</v>
      </c>
      <c r="G205" s="54">
        <f t="shared" si="55"/>
        <v>14680.301145662846</v>
      </c>
      <c r="H205" s="54">
        <f t="shared" si="55"/>
        <v>14680.301145662846</v>
      </c>
      <c r="I205" s="54">
        <f t="shared" si="55"/>
        <v>22020.451718494271</v>
      </c>
      <c r="J205" s="54">
        <f t="shared" si="55"/>
        <v>21815.957547169812</v>
      </c>
      <c r="K205" s="54">
        <f t="shared" si="55"/>
        <v>22020.451718494271</v>
      </c>
      <c r="L205" s="54">
        <f t="shared" si="55"/>
        <v>22228.815860618801</v>
      </c>
      <c r="M205" s="54">
        <f t="shared" si="55"/>
        <v>21290.223034080005</v>
      </c>
      <c r="N205" s="54">
        <f t="shared" si="55"/>
        <v>11010.225859247133</v>
      </c>
      <c r="O205" s="54">
        <f t="shared" si="55"/>
        <v>14680.301145662846</v>
      </c>
      <c r="P205" s="62">
        <f>SUM(D205:O205)</f>
        <v>197457.7067528342</v>
      </c>
      <c r="Q205" s="12"/>
      <c r="R205" s="12"/>
      <c r="S205" s="12"/>
      <c r="T205" s="12"/>
      <c r="U205" s="12"/>
      <c r="V205" s="12"/>
      <c r="W205" s="12"/>
    </row>
    <row r="206" spans="2:23" s="7" customFormat="1">
      <c r="B206" s="40"/>
      <c r="C206" s="39" t="s">
        <v>112</v>
      </c>
      <c r="D206" s="54">
        <f>D204*$D$80</f>
        <v>3770.1682487725034</v>
      </c>
      <c r="E206" s="54">
        <f>E204*$D$80</f>
        <v>3770.1682487725034</v>
      </c>
      <c r="F206" s="54">
        <f t="shared" ref="F206:O206" si="56">F204*$D203</f>
        <v>3636.7109656301145</v>
      </c>
      <c r="G206" s="54">
        <f t="shared" si="56"/>
        <v>4848.9479541734863</v>
      </c>
      <c r="H206" s="54">
        <f t="shared" si="56"/>
        <v>4848.9479541734863</v>
      </c>
      <c r="I206" s="54">
        <f t="shared" si="56"/>
        <v>7273.4219312602299</v>
      </c>
      <c r="J206" s="54">
        <f t="shared" si="56"/>
        <v>7205.8768867924546</v>
      </c>
      <c r="K206" s="54">
        <f t="shared" si="56"/>
        <v>7273.4219312602299</v>
      </c>
      <c r="L206" s="54">
        <f t="shared" si="56"/>
        <v>7342.245238810453</v>
      </c>
      <c r="M206" s="54">
        <f t="shared" si="56"/>
        <v>7032.2251839840019</v>
      </c>
      <c r="N206" s="54">
        <f t="shared" si="56"/>
        <v>3636.7109656301145</v>
      </c>
      <c r="O206" s="54">
        <f t="shared" si="56"/>
        <v>4848.9479541734863</v>
      </c>
      <c r="P206" s="62">
        <f>SUM(D206:O206)</f>
        <v>65487.793463433052</v>
      </c>
      <c r="Q206" s="12"/>
      <c r="R206" s="12"/>
      <c r="S206" s="12"/>
      <c r="T206" s="12"/>
      <c r="U206" s="12"/>
      <c r="V206" s="12"/>
      <c r="W206" s="12"/>
    </row>
    <row r="207" spans="2:23" s="7" customFormat="1">
      <c r="B207" s="40"/>
      <c r="C207" s="39" t="s">
        <v>111</v>
      </c>
      <c r="D207" s="54">
        <f>D205-D206</f>
        <v>7240.0576104746306</v>
      </c>
      <c r="E207" s="54">
        <f t="shared" ref="E207:O207" si="57">E205-E206</f>
        <v>7240.0576104746306</v>
      </c>
      <c r="F207" s="54">
        <f t="shared" si="57"/>
        <v>7373.514893617019</v>
      </c>
      <c r="G207" s="54">
        <f t="shared" si="57"/>
        <v>9831.3531914893611</v>
      </c>
      <c r="H207" s="54">
        <f t="shared" si="57"/>
        <v>9831.3531914893611</v>
      </c>
      <c r="I207" s="54">
        <f t="shared" si="57"/>
        <v>14747.029787234042</v>
      </c>
      <c r="J207" s="54">
        <f t="shared" si="57"/>
        <v>14610.080660377356</v>
      </c>
      <c r="K207" s="54">
        <f t="shared" si="57"/>
        <v>14747.029787234042</v>
      </c>
      <c r="L207" s="54">
        <f t="shared" si="57"/>
        <v>14886.570621808347</v>
      </c>
      <c r="M207" s="54">
        <f t="shared" si="57"/>
        <v>14257.997850096002</v>
      </c>
      <c r="N207" s="54">
        <f t="shared" si="57"/>
        <v>7373.514893617019</v>
      </c>
      <c r="O207" s="54">
        <f t="shared" si="57"/>
        <v>9831.3531914893611</v>
      </c>
      <c r="P207" s="62">
        <f>SUM(D207:O207)</f>
        <v>131969.91328940116</v>
      </c>
      <c r="Q207" s="12"/>
      <c r="R207" s="12"/>
      <c r="S207" s="12"/>
      <c r="T207" s="12"/>
      <c r="U207" s="12"/>
      <c r="V207" s="12"/>
      <c r="W207" s="12"/>
    </row>
    <row r="208" spans="2:23" s="7" customFormat="1">
      <c r="B208" s="71" t="s">
        <v>706</v>
      </c>
      <c r="C208" s="39" t="s">
        <v>390</v>
      </c>
      <c r="D208" s="80">
        <f>Price4_36MoPr(VarCostByProduct,B208)</f>
        <v>6</v>
      </c>
      <c r="E208" s="12"/>
      <c r="F208" s="12"/>
      <c r="G208" s="12"/>
      <c r="H208" s="70"/>
      <c r="I208" s="12"/>
      <c r="J208" s="12"/>
      <c r="K208" s="12"/>
      <c r="L208" s="12"/>
      <c r="M208" s="12"/>
      <c r="N208" s="12"/>
      <c r="O208" s="12"/>
      <c r="P208" s="62"/>
      <c r="Q208" s="12"/>
      <c r="R208" s="12"/>
      <c r="S208" s="12"/>
      <c r="T208" s="12"/>
      <c r="U208" s="12"/>
      <c r="V208" s="12"/>
      <c r="W208" s="12"/>
    </row>
    <row r="209" spans="2:23" s="7" customFormat="1">
      <c r="B209" s="40"/>
      <c r="C209" s="39" t="s">
        <v>121</v>
      </c>
      <c r="D209" s="79">
        <f>Varcosts4_36MoPr(VarCostByProduct,B208)</f>
        <v>1.1000000000000001</v>
      </c>
      <c r="E209" s="12"/>
      <c r="F209" s="12"/>
      <c r="G209" s="12"/>
      <c r="H209" s="12"/>
      <c r="I209" s="12"/>
      <c r="J209" s="12"/>
      <c r="K209" s="12"/>
      <c r="L209" s="12"/>
      <c r="M209" s="12"/>
      <c r="N209" s="12"/>
      <c r="O209" s="12"/>
      <c r="P209" s="62"/>
      <c r="Q209" s="12"/>
      <c r="R209" s="12"/>
      <c r="S209" s="12"/>
      <c r="T209" s="12"/>
      <c r="U209" s="12"/>
      <c r="V209" s="12"/>
      <c r="W209" s="12"/>
    </row>
    <row r="210" spans="2:23" s="7" customFormat="1">
      <c r="B210" s="40"/>
      <c r="C210" s="161" t="s">
        <v>114</v>
      </c>
      <c r="D210" s="81">
        <f>Sales4_36MoPr(SalesJan,"FY-2",$B208)</f>
        <v>0</v>
      </c>
      <c r="E210" s="81">
        <f>Sales4_36MoPr(SalesFeb,"FY-2",$B208)</f>
        <v>597.23182040000029</v>
      </c>
      <c r="F210" s="81">
        <f>Sales4_36MoPr(SalesMar,"FY-2",$B208)</f>
        <v>1369.3924545600003</v>
      </c>
      <c r="G210" s="81">
        <f>Sales4_36MoPr(SalesApr,"FY-2",$B208)</f>
        <v>1443.5621101200013</v>
      </c>
      <c r="H210" s="81">
        <f>Sales4_36MoPr(SalesMay,"FY-2",$B208)</f>
        <v>1323.7495896</v>
      </c>
      <c r="I210" s="81">
        <f>Sales4_36MoPr(SalesJun,"FY-2",$B208)</f>
        <v>728.45505715999752</v>
      </c>
      <c r="J210" s="81">
        <f>Sales4_36MoPr(SalesJul,"FY-2",$B208)</f>
        <v>443.18715116000021</v>
      </c>
      <c r="K210" s="81">
        <f>Sales4_36MoPr(SalesAug,"FY-2",$B208)</f>
        <v>901.55308872000023</v>
      </c>
      <c r="L210" s="81">
        <f>Sales4_36MoPr(SalesSep,"FY-2",$B208)</f>
        <v>311.96391439999934</v>
      </c>
      <c r="M210" s="81">
        <f>Sales4_36MoPr(SalesOct,"FY-2",$B208)</f>
        <v>655.67570923999665</v>
      </c>
      <c r="N210" s="81">
        <f>Sales4_36MoPr(SalesNov,"FY-2",$B208)</f>
        <v>625.75861100000111</v>
      </c>
      <c r="O210" s="81">
        <f>Sales4_36MoPr(SalesDec,"FY-2",$B208)</f>
        <v>0</v>
      </c>
      <c r="P210" s="938">
        <f>SUM(D210:O210)</f>
        <v>8400.529506359997</v>
      </c>
      <c r="Q210" s="12"/>
      <c r="R210" s="12"/>
      <c r="S210" s="12"/>
      <c r="T210" s="12"/>
      <c r="U210" s="12"/>
      <c r="V210" s="12"/>
      <c r="W210" s="12"/>
    </row>
    <row r="211" spans="2:23" s="7" customFormat="1">
      <c r="B211" s="162"/>
      <c r="C211" s="39" t="s">
        <v>113</v>
      </c>
      <c r="D211" s="54">
        <f t="shared" ref="D211:O211" si="58">D210*$D208</f>
        <v>0</v>
      </c>
      <c r="E211" s="54">
        <f t="shared" si="58"/>
        <v>3583.3909224000017</v>
      </c>
      <c r="F211" s="54">
        <f t="shared" si="58"/>
        <v>8216.3547273600016</v>
      </c>
      <c r="G211" s="54">
        <f t="shared" si="58"/>
        <v>8661.3726607200078</v>
      </c>
      <c r="H211" s="54">
        <f t="shared" si="58"/>
        <v>7942.4975376000002</v>
      </c>
      <c r="I211" s="54">
        <f t="shared" si="58"/>
        <v>4370.7303429599851</v>
      </c>
      <c r="J211" s="54">
        <f t="shared" si="58"/>
        <v>2659.1229069600013</v>
      </c>
      <c r="K211" s="54">
        <f t="shared" si="58"/>
        <v>5409.3185323200014</v>
      </c>
      <c r="L211" s="54">
        <f t="shared" si="58"/>
        <v>1871.783486399996</v>
      </c>
      <c r="M211" s="54">
        <f t="shared" si="58"/>
        <v>3934.0542554399799</v>
      </c>
      <c r="N211" s="54">
        <f t="shared" si="58"/>
        <v>3754.5516660000067</v>
      </c>
      <c r="O211" s="54">
        <f t="shared" si="58"/>
        <v>0</v>
      </c>
      <c r="P211" s="62">
        <f>SUM(D211:O211)</f>
        <v>50403.177038159978</v>
      </c>
      <c r="Q211" s="12"/>
      <c r="R211" s="12"/>
      <c r="S211" s="12"/>
      <c r="T211" s="12"/>
      <c r="U211" s="12"/>
      <c r="V211" s="12"/>
      <c r="W211" s="12"/>
    </row>
    <row r="212" spans="2:23" s="7" customFormat="1">
      <c r="B212" s="40"/>
      <c r="C212" s="39" t="s">
        <v>112</v>
      </c>
      <c r="D212" s="54">
        <f>D210*$D$80</f>
        <v>0</v>
      </c>
      <c r="E212" s="54">
        <f>E210*$D$80</f>
        <v>674.87195705200031</v>
      </c>
      <c r="F212" s="54">
        <f t="shared" ref="F212:O212" si="59">F210*$D209</f>
        <v>1506.3317000160005</v>
      </c>
      <c r="G212" s="54">
        <f t="shared" si="59"/>
        <v>1587.9183211320017</v>
      </c>
      <c r="H212" s="54">
        <f t="shared" si="59"/>
        <v>1456.1245485600002</v>
      </c>
      <c r="I212" s="54">
        <f t="shared" si="59"/>
        <v>801.30056287599734</v>
      </c>
      <c r="J212" s="54">
        <f t="shared" si="59"/>
        <v>487.50586627600029</v>
      </c>
      <c r="K212" s="54">
        <f t="shared" si="59"/>
        <v>991.70839759200032</v>
      </c>
      <c r="L212" s="54">
        <f t="shared" si="59"/>
        <v>343.1603058399993</v>
      </c>
      <c r="M212" s="54">
        <f t="shared" si="59"/>
        <v>721.24328016399636</v>
      </c>
      <c r="N212" s="54">
        <f t="shared" si="59"/>
        <v>688.33447210000122</v>
      </c>
      <c r="O212" s="54">
        <f t="shared" si="59"/>
        <v>0</v>
      </c>
      <c r="P212" s="62">
        <f>SUM(D212:O212)</f>
        <v>9258.4994116079979</v>
      </c>
      <c r="Q212" s="12"/>
      <c r="R212" s="12"/>
      <c r="S212" s="12"/>
      <c r="T212" s="12"/>
      <c r="U212" s="12"/>
      <c r="V212" s="12"/>
      <c r="W212" s="12"/>
    </row>
    <row r="213" spans="2:23" s="7" customFormat="1">
      <c r="B213" s="40"/>
      <c r="C213" s="39" t="s">
        <v>111</v>
      </c>
      <c r="D213" s="54">
        <f>D211-D212</f>
        <v>0</v>
      </c>
      <c r="E213" s="54">
        <f t="shared" ref="E213:O213" si="60">E211-E212</f>
        <v>2908.5189653480015</v>
      </c>
      <c r="F213" s="54">
        <f t="shared" si="60"/>
        <v>6710.0230273440011</v>
      </c>
      <c r="G213" s="54">
        <f t="shared" si="60"/>
        <v>7073.4543395880064</v>
      </c>
      <c r="H213" s="54">
        <f t="shared" si="60"/>
        <v>6486.37298904</v>
      </c>
      <c r="I213" s="54">
        <f t="shared" si="60"/>
        <v>3569.4297800839877</v>
      </c>
      <c r="J213" s="54">
        <f t="shared" si="60"/>
        <v>2171.617040684001</v>
      </c>
      <c r="K213" s="54">
        <f t="shared" si="60"/>
        <v>4417.610134728001</v>
      </c>
      <c r="L213" s="54">
        <f t="shared" si="60"/>
        <v>1528.6231805599969</v>
      </c>
      <c r="M213" s="54">
        <f t="shared" si="60"/>
        <v>3212.8109752759838</v>
      </c>
      <c r="N213" s="54">
        <f t="shared" si="60"/>
        <v>3066.2171939000054</v>
      </c>
      <c r="O213" s="54">
        <f t="shared" si="60"/>
        <v>0</v>
      </c>
      <c r="P213" s="62">
        <f>SUM(D213:O213)</f>
        <v>41144.67762655198</v>
      </c>
      <c r="Q213" s="12"/>
      <c r="R213" s="12"/>
      <c r="S213" s="12"/>
      <c r="T213" s="12"/>
      <c r="U213" s="12"/>
      <c r="V213" s="12"/>
      <c r="W213" s="12"/>
    </row>
    <row r="214" spans="2:23" s="7" customFormat="1">
      <c r="B214" s="40"/>
      <c r="C214" s="39"/>
      <c r="D214" s="66"/>
      <c r="E214" s="65"/>
      <c r="F214" s="65"/>
      <c r="G214" s="65"/>
      <c r="H214" s="65"/>
      <c r="I214" s="65"/>
      <c r="J214" s="65"/>
      <c r="K214" s="65"/>
      <c r="L214" s="65"/>
      <c r="M214" s="65"/>
      <c r="N214" s="65"/>
      <c r="O214" s="65"/>
      <c r="P214" s="62"/>
      <c r="Q214" s="12"/>
      <c r="R214" s="12"/>
      <c r="S214" s="12"/>
      <c r="T214" s="12"/>
      <c r="U214" s="12"/>
      <c r="V214" s="12"/>
      <c r="W214" s="12"/>
    </row>
    <row r="215" spans="2:23" s="7" customFormat="1">
      <c r="B215" s="40"/>
      <c r="C215" s="39" t="s">
        <v>110</v>
      </c>
      <c r="D215" s="68">
        <f t="shared" ref="D215:O215" si="61">SUMIF($C160:$C214,"Revenue",D160:D214)</f>
        <v>32678.769230769227</v>
      </c>
      <c r="E215" s="68">
        <f>SUMIF($C160:$C214,"Revenue",E160:E214)</f>
        <v>41482.44205898809</v>
      </c>
      <c r="F215" s="68">
        <f t="shared" si="61"/>
        <v>54137.042415054995</v>
      </c>
      <c r="G215" s="68">
        <f t="shared" si="61"/>
        <v>58468.76958768956</v>
      </c>
      <c r="H215" s="68">
        <f t="shared" si="61"/>
        <v>63635.883744793318</v>
      </c>
      <c r="I215" s="68">
        <f t="shared" si="61"/>
        <v>70274.683731823476</v>
      </c>
      <c r="J215" s="68">
        <f t="shared" si="61"/>
        <v>96533.179713405611</v>
      </c>
      <c r="K215" s="68">
        <f t="shared" si="61"/>
        <v>100724.21247923555</v>
      </c>
      <c r="L215" s="68">
        <f t="shared" si="61"/>
        <v>83132.791861414473</v>
      </c>
      <c r="M215" s="68">
        <f t="shared" si="61"/>
        <v>93130.647538400633</v>
      </c>
      <c r="N215" s="68">
        <f t="shared" si="61"/>
        <v>55002.551759446484</v>
      </c>
      <c r="O215" s="68">
        <f t="shared" si="61"/>
        <v>37371.692307692305</v>
      </c>
      <c r="P215" s="62">
        <f>SUM(D215:O215)</f>
        <v>786572.66642871359</v>
      </c>
      <c r="Q215" s="12"/>
      <c r="R215" s="12"/>
      <c r="S215" s="12"/>
      <c r="T215" s="12"/>
      <c r="U215" s="12"/>
      <c r="V215" s="12"/>
      <c r="W215" s="12"/>
    </row>
    <row r="216" spans="2:23" s="7" customFormat="1">
      <c r="B216" s="40"/>
      <c r="C216" s="39" t="s">
        <v>124</v>
      </c>
      <c r="D216" s="68">
        <f t="shared" ref="D216:O216" si="62">SUMIF($C160:$C214,"Expenses",D160:D214)</f>
        <v>7005.9999999999982</v>
      </c>
      <c r="E216" s="68">
        <f t="shared" si="62"/>
        <v>9808.4</v>
      </c>
      <c r="F216" s="68">
        <f t="shared" si="62"/>
        <v>12139.890090664385</v>
      </c>
      <c r="G216" s="68">
        <f t="shared" si="62"/>
        <v>13489.03089982557</v>
      </c>
      <c r="H216" s="68">
        <f t="shared" si="62"/>
        <v>14844.656910391448</v>
      </c>
      <c r="I216" s="68">
        <f t="shared" si="62"/>
        <v>17563.028618738252</v>
      </c>
      <c r="J216" s="68">
        <f t="shared" si="62"/>
        <v>24285.336285482652</v>
      </c>
      <c r="K216" s="68">
        <f t="shared" si="62"/>
        <v>24275.201779214858</v>
      </c>
      <c r="L216" s="68">
        <f t="shared" si="62"/>
        <v>20222.861654598502</v>
      </c>
      <c r="M216" s="68">
        <f t="shared" si="62"/>
        <v>21554.284567070739</v>
      </c>
      <c r="N216" s="68">
        <f t="shared" si="62"/>
        <v>12115.453914328236</v>
      </c>
      <c r="O216" s="68">
        <f t="shared" si="62"/>
        <v>8049.7715220949267</v>
      </c>
      <c r="P216" s="62">
        <f>SUM(D216:O216)</f>
        <v>185353.91624240961</v>
      </c>
      <c r="Q216" s="12"/>
      <c r="R216" s="12"/>
      <c r="S216" s="12"/>
      <c r="T216" s="12"/>
      <c r="U216" s="12"/>
      <c r="V216" s="12"/>
      <c r="W216" s="12"/>
    </row>
    <row r="217" spans="2:23" s="7" customFormat="1">
      <c r="B217" s="40"/>
      <c r="C217" s="39" t="s">
        <v>505</v>
      </c>
      <c r="D217" s="68">
        <f t="shared" ref="D217:O217" si="63">SUMIF($C160:$C214,"Contribution",D160:D214)</f>
        <v>25672.769230769227</v>
      </c>
      <c r="E217" s="68">
        <f t="shared" si="63"/>
        <v>31674.042058988092</v>
      </c>
      <c r="F217" s="68">
        <f t="shared" si="63"/>
        <v>41997.152324390605</v>
      </c>
      <c r="G217" s="68">
        <f t="shared" si="63"/>
        <v>44979.738687863995</v>
      </c>
      <c r="H217" s="68">
        <f t="shared" si="63"/>
        <v>48791.226834401874</v>
      </c>
      <c r="I217" s="68">
        <f t="shared" si="63"/>
        <v>52711.655113085231</v>
      </c>
      <c r="J217" s="68">
        <f t="shared" si="63"/>
        <v>72247.84342792294</v>
      </c>
      <c r="K217" s="68">
        <f t="shared" si="63"/>
        <v>76449.010700020706</v>
      </c>
      <c r="L217" s="68">
        <f t="shared" si="63"/>
        <v>62909.930206815974</v>
      </c>
      <c r="M217" s="68">
        <f t="shared" si="63"/>
        <v>71576.362971329901</v>
      </c>
      <c r="N217" s="68">
        <f t="shared" si="63"/>
        <v>42887.097845118238</v>
      </c>
      <c r="O217" s="68">
        <f t="shared" si="63"/>
        <v>29321.92078559738</v>
      </c>
      <c r="P217" s="62">
        <f>SUM(D217:O217)</f>
        <v>601218.75018630421</v>
      </c>
      <c r="Q217" s="12"/>
      <c r="R217" s="12"/>
      <c r="S217" s="12"/>
      <c r="T217" s="12"/>
      <c r="U217" s="12"/>
      <c r="V217" s="12"/>
      <c r="W217" s="12"/>
    </row>
    <row r="218" spans="2:23" s="7" customFormat="1">
      <c r="B218" s="40"/>
      <c r="C218" s="39"/>
      <c r="D218" s="56"/>
      <c r="E218" s="12"/>
      <c r="F218" s="12"/>
      <c r="G218" s="12"/>
      <c r="H218" s="12"/>
      <c r="I218" s="12"/>
      <c r="J218" s="12"/>
      <c r="K218" s="12"/>
      <c r="L218" s="12"/>
      <c r="M218" s="12"/>
      <c r="N218" s="12"/>
      <c r="O218" s="12"/>
      <c r="P218" s="62"/>
      <c r="Q218" s="12"/>
      <c r="R218" s="12"/>
      <c r="S218" s="12"/>
      <c r="T218" s="12"/>
      <c r="U218" s="12"/>
      <c r="V218" s="12"/>
      <c r="W218" s="12"/>
    </row>
    <row r="219" spans="2:23" s="7" customFormat="1" ht="12.75" customHeight="1">
      <c r="B219" s="40" t="s">
        <v>123</v>
      </c>
      <c r="C219" s="12" t="s">
        <v>122</v>
      </c>
      <c r="D219" s="56"/>
      <c r="E219" s="12"/>
      <c r="F219" s="12"/>
      <c r="G219" s="12"/>
      <c r="H219" s="12"/>
      <c r="I219" s="12"/>
      <c r="J219" s="12"/>
      <c r="K219" s="12"/>
      <c r="L219" s="12"/>
      <c r="M219" s="12"/>
      <c r="N219" s="12"/>
      <c r="O219" s="12"/>
      <c r="P219" s="62"/>
      <c r="Q219" s="12"/>
      <c r="R219" s="12"/>
      <c r="S219" s="12"/>
      <c r="T219" s="12"/>
      <c r="U219" s="12"/>
      <c r="V219" s="12"/>
      <c r="W219" s="12"/>
    </row>
    <row r="220" spans="2:23" s="7" customFormat="1">
      <c r="C220" s="39" t="s">
        <v>369</v>
      </c>
      <c r="D220" s="54">
        <f>D65/12</f>
        <v>5579.166666666667</v>
      </c>
      <c r="E220" s="54">
        <f t="shared" ref="E220:O223" si="64">$D220</f>
        <v>5579.166666666667</v>
      </c>
      <c r="F220" s="54">
        <f t="shared" si="64"/>
        <v>5579.166666666667</v>
      </c>
      <c r="G220" s="54">
        <f t="shared" si="64"/>
        <v>5579.166666666667</v>
      </c>
      <c r="H220" s="54">
        <f t="shared" si="64"/>
        <v>5579.166666666667</v>
      </c>
      <c r="I220" s="54">
        <f t="shared" si="64"/>
        <v>5579.166666666667</v>
      </c>
      <c r="J220" s="54">
        <f t="shared" si="64"/>
        <v>5579.166666666667</v>
      </c>
      <c r="K220" s="54">
        <f t="shared" si="64"/>
        <v>5579.166666666667</v>
      </c>
      <c r="L220" s="54">
        <f t="shared" si="64"/>
        <v>5579.166666666667</v>
      </c>
      <c r="M220" s="54">
        <f t="shared" si="64"/>
        <v>5579.166666666667</v>
      </c>
      <c r="N220" s="54">
        <f t="shared" si="64"/>
        <v>5579.166666666667</v>
      </c>
      <c r="O220" s="54">
        <f t="shared" si="64"/>
        <v>5579.166666666667</v>
      </c>
      <c r="P220" s="62">
        <f>SUM(D220:O220)</f>
        <v>66949.999999999985</v>
      </c>
      <c r="Q220" s="12"/>
      <c r="R220" s="12"/>
      <c r="S220" s="12"/>
      <c r="T220" s="12"/>
      <c r="U220" s="12"/>
      <c r="V220" s="12"/>
      <c r="W220" s="12"/>
    </row>
    <row r="221" spans="2:23" s="7" customFormat="1">
      <c r="C221" s="39" t="s">
        <v>387</v>
      </c>
      <c r="D221" s="79">
        <f>D66/12</f>
        <v>2617.5</v>
      </c>
      <c r="E221" s="54">
        <f t="shared" si="64"/>
        <v>2617.5</v>
      </c>
      <c r="F221" s="54">
        <f t="shared" si="64"/>
        <v>2617.5</v>
      </c>
      <c r="G221" s="54">
        <f t="shared" si="64"/>
        <v>2617.5</v>
      </c>
      <c r="H221" s="54">
        <f t="shared" si="64"/>
        <v>2617.5</v>
      </c>
      <c r="I221" s="54">
        <f t="shared" si="64"/>
        <v>2617.5</v>
      </c>
      <c r="J221" s="54">
        <f t="shared" si="64"/>
        <v>2617.5</v>
      </c>
      <c r="K221" s="54">
        <f t="shared" si="64"/>
        <v>2617.5</v>
      </c>
      <c r="L221" s="54">
        <f t="shared" si="64"/>
        <v>2617.5</v>
      </c>
      <c r="M221" s="54">
        <f t="shared" si="64"/>
        <v>2617.5</v>
      </c>
      <c r="N221" s="54">
        <f t="shared" si="64"/>
        <v>2617.5</v>
      </c>
      <c r="O221" s="54">
        <f t="shared" si="64"/>
        <v>2617.5</v>
      </c>
      <c r="P221" s="62">
        <f>SUM(D221:O221)</f>
        <v>31410</v>
      </c>
      <c r="Q221" s="12"/>
      <c r="R221" s="12"/>
      <c r="S221" s="12"/>
      <c r="T221" s="12"/>
      <c r="U221" s="12"/>
      <c r="V221" s="12"/>
      <c r="W221" s="12"/>
    </row>
    <row r="222" spans="2:23" s="7" customFormat="1">
      <c r="C222" s="39" t="s">
        <v>366</v>
      </c>
      <c r="D222" s="79">
        <f>D67/12</f>
        <v>4266.666666666667</v>
      </c>
      <c r="E222" s="54">
        <f t="shared" si="64"/>
        <v>4266.666666666667</v>
      </c>
      <c r="F222" s="54">
        <f t="shared" si="64"/>
        <v>4266.666666666667</v>
      </c>
      <c r="G222" s="54">
        <f t="shared" si="64"/>
        <v>4266.666666666667</v>
      </c>
      <c r="H222" s="54">
        <f t="shared" si="64"/>
        <v>4266.666666666667</v>
      </c>
      <c r="I222" s="54">
        <f t="shared" si="64"/>
        <v>4266.666666666667</v>
      </c>
      <c r="J222" s="54">
        <f t="shared" si="64"/>
        <v>4266.666666666667</v>
      </c>
      <c r="K222" s="54">
        <f t="shared" si="64"/>
        <v>4266.666666666667</v>
      </c>
      <c r="L222" s="54">
        <f t="shared" si="64"/>
        <v>4266.666666666667</v>
      </c>
      <c r="M222" s="54">
        <f t="shared" si="64"/>
        <v>4266.666666666667</v>
      </c>
      <c r="N222" s="54">
        <f t="shared" si="64"/>
        <v>4266.666666666667</v>
      </c>
      <c r="O222" s="54">
        <f t="shared" si="64"/>
        <v>4266.666666666667</v>
      </c>
      <c r="P222" s="62">
        <f>SUM(D222:O222)</f>
        <v>51199.999999999993</v>
      </c>
      <c r="Q222" s="12"/>
      <c r="R222" s="12"/>
      <c r="S222" s="12"/>
      <c r="T222" s="12"/>
      <c r="U222" s="12"/>
      <c r="V222" s="12"/>
      <c r="W222" s="12"/>
    </row>
    <row r="223" spans="2:23" s="7" customFormat="1">
      <c r="C223" s="39" t="s">
        <v>83</v>
      </c>
      <c r="D223" s="79">
        <f>D68/12</f>
        <v>450</v>
      </c>
      <c r="E223" s="54">
        <f t="shared" si="64"/>
        <v>450</v>
      </c>
      <c r="F223" s="54">
        <f t="shared" si="64"/>
        <v>450</v>
      </c>
      <c r="G223" s="54">
        <f t="shared" si="64"/>
        <v>450</v>
      </c>
      <c r="H223" s="54">
        <f t="shared" si="64"/>
        <v>450</v>
      </c>
      <c r="I223" s="54">
        <f t="shared" si="64"/>
        <v>450</v>
      </c>
      <c r="J223" s="54">
        <f t="shared" si="64"/>
        <v>450</v>
      </c>
      <c r="K223" s="54">
        <f t="shared" si="64"/>
        <v>450</v>
      </c>
      <c r="L223" s="54">
        <f t="shared" si="64"/>
        <v>450</v>
      </c>
      <c r="M223" s="54">
        <f t="shared" si="64"/>
        <v>450</v>
      </c>
      <c r="N223" s="54">
        <f t="shared" si="64"/>
        <v>450</v>
      </c>
      <c r="O223" s="54">
        <f t="shared" si="64"/>
        <v>450</v>
      </c>
      <c r="P223" s="62">
        <f>SUM(D223:O223)</f>
        <v>5400</v>
      </c>
      <c r="Q223" s="12"/>
      <c r="R223" s="12"/>
      <c r="S223" s="12"/>
      <c r="T223" s="12"/>
      <c r="U223" s="12"/>
      <c r="V223" s="12"/>
      <c r="W223" s="12"/>
    </row>
    <row r="224" spans="2:23" s="7" customFormat="1">
      <c r="B224" s="39"/>
      <c r="C224" s="39"/>
      <c r="D224" s="66"/>
      <c r="E224" s="65"/>
      <c r="F224" s="65"/>
      <c r="G224" s="65"/>
      <c r="H224" s="65"/>
      <c r="I224" s="65"/>
      <c r="J224" s="65"/>
      <c r="K224" s="65"/>
      <c r="L224" s="65"/>
      <c r="M224" s="65"/>
      <c r="N224" s="65"/>
      <c r="O224" s="65"/>
      <c r="P224" s="62"/>
      <c r="Q224" s="12"/>
      <c r="R224" s="12"/>
      <c r="S224" s="12"/>
      <c r="T224" s="12"/>
      <c r="U224" s="12"/>
      <c r="V224" s="12"/>
      <c r="W224" s="12"/>
    </row>
    <row r="225" spans="1:23" s="7" customFormat="1">
      <c r="C225" s="12" t="s">
        <v>108</v>
      </c>
      <c r="D225" s="54">
        <f>debtMonthlyPaymentsFY2(CycleInCalculation,1)</f>
        <v>1808.1310084707254</v>
      </c>
      <c r="E225" s="54">
        <f>debtMonthlyPaymentsFY2(CycleInCalculation,2)</f>
        <v>1808.1310084707254</v>
      </c>
      <c r="F225" s="54">
        <f>debtMonthlyPaymentsFY2(CycleInCalculation,3)</f>
        <v>1808.1310084707254</v>
      </c>
      <c r="G225" s="54">
        <f>debtMonthlyPaymentsFY2(CycleInCalculation,4)</f>
        <v>1808.1310084707254</v>
      </c>
      <c r="H225" s="54">
        <f>debtMonthlyPaymentsFY2(CycleInCalculation,5)</f>
        <v>1808.1310084707254</v>
      </c>
      <c r="I225" s="54">
        <f>debtMonthlyPaymentsFY2(CycleInCalculation,6)</f>
        <v>1808.1310084707254</v>
      </c>
      <c r="J225" s="54">
        <f>debtMonthlyPaymentsFY2(CycleInCalculation,7)</f>
        <v>1808.1310084707254</v>
      </c>
      <c r="K225" s="54">
        <f>debtMonthlyPaymentsFY2(CycleInCalculation,8)</f>
        <v>1808.1310084707254</v>
      </c>
      <c r="L225" s="54">
        <f>debtMonthlyPaymentsFY2(CycleInCalculation,9)</f>
        <v>1808.1310084707254</v>
      </c>
      <c r="M225" s="54">
        <f>debtMonthlyPaymentsFY2(CycleInCalculation,10)</f>
        <v>1808.1310084707254</v>
      </c>
      <c r="N225" s="54">
        <f>debtMonthlyPaymentsFY2(CycleInCalculation,11)</f>
        <v>1808.1310084707254</v>
      </c>
      <c r="O225" s="54">
        <f>debtMonthlyPaymentsFY2(CycleInCalculation,12)</f>
        <v>1808.1310084707254</v>
      </c>
      <c r="P225" s="62">
        <f>SUM(D225:O225)</f>
        <v>21697.572101648704</v>
      </c>
      <c r="Q225" s="12"/>
      <c r="R225" s="12"/>
      <c r="S225" s="12"/>
      <c r="T225" s="12"/>
      <c r="U225" s="12"/>
      <c r="V225" s="12"/>
      <c r="W225" s="12"/>
    </row>
    <row r="226" spans="1:23" s="7" customFormat="1">
      <c r="B226" s="12"/>
      <c r="C226" s="12"/>
      <c r="D226" s="56"/>
      <c r="E226" s="12"/>
      <c r="F226" s="12"/>
      <c r="G226" s="12"/>
      <c r="H226" s="12"/>
      <c r="I226" s="12"/>
      <c r="J226" s="12"/>
      <c r="K226" s="12"/>
      <c r="L226" s="12"/>
      <c r="M226" s="12"/>
      <c r="N226" s="12"/>
      <c r="O226" s="12"/>
      <c r="P226" s="53"/>
      <c r="Q226" s="12"/>
      <c r="R226" s="12"/>
      <c r="S226" s="12"/>
      <c r="T226" s="12"/>
      <c r="U226" s="12"/>
      <c r="V226" s="12"/>
      <c r="W226" s="12"/>
    </row>
    <row r="227" spans="1:23" s="7" customFormat="1">
      <c r="B227" s="40"/>
      <c r="C227" s="39" t="s">
        <v>107</v>
      </c>
      <c r="D227" s="64">
        <f>SUM(D220:D226)+D229</f>
        <v>15908.964341804061</v>
      </c>
      <c r="E227" s="64">
        <f t="shared" ref="E227:O227" si="65">SUM(E220:E226)+E229</f>
        <v>15908.964341804061</v>
      </c>
      <c r="F227" s="64">
        <f t="shared" si="65"/>
        <v>15908.964341804061</v>
      </c>
      <c r="G227" s="64">
        <f t="shared" si="65"/>
        <v>15908.964341804061</v>
      </c>
      <c r="H227" s="64">
        <f t="shared" si="65"/>
        <v>15908.964341804061</v>
      </c>
      <c r="I227" s="64">
        <f t="shared" si="65"/>
        <v>15908.964341804061</v>
      </c>
      <c r="J227" s="64">
        <f t="shared" si="65"/>
        <v>15908.964341804061</v>
      </c>
      <c r="K227" s="64">
        <f t="shared" si="65"/>
        <v>15908.964341804061</v>
      </c>
      <c r="L227" s="64">
        <f t="shared" si="65"/>
        <v>15908.964341804061</v>
      </c>
      <c r="M227" s="64">
        <f t="shared" si="65"/>
        <v>15908.964341804061</v>
      </c>
      <c r="N227" s="64">
        <f t="shared" si="65"/>
        <v>15908.964341804061</v>
      </c>
      <c r="O227" s="64">
        <f t="shared" si="65"/>
        <v>15908.964341804061</v>
      </c>
      <c r="P227" s="169">
        <f>SUM(D227:O227)</f>
        <v>190907.57210164875</v>
      </c>
      <c r="Q227" s="12"/>
      <c r="R227" s="12"/>
      <c r="S227" s="12"/>
      <c r="T227" s="12"/>
      <c r="U227" s="12"/>
      <c r="V227" s="12"/>
      <c r="W227" s="12"/>
    </row>
    <row r="228" spans="1:23" s="7" customFormat="1">
      <c r="C228" s="56"/>
      <c r="D228" s="56"/>
      <c r="E228" s="12"/>
      <c r="F228" s="12"/>
      <c r="G228" s="12"/>
      <c r="H228" s="12"/>
      <c r="I228" s="12"/>
      <c r="J228" s="12"/>
      <c r="K228" s="12"/>
      <c r="L228" s="12"/>
      <c r="M228" s="12"/>
      <c r="N228" s="12"/>
      <c r="O228" s="12"/>
      <c r="P228" s="53"/>
      <c r="Q228" s="12"/>
      <c r="R228" s="12"/>
      <c r="S228" s="12"/>
      <c r="T228" s="12"/>
      <c r="U228" s="12"/>
      <c r="V228" s="12"/>
      <c r="W228" s="12"/>
    </row>
    <row r="229" spans="1:23" s="7" customFormat="1">
      <c r="C229" s="12" t="s">
        <v>76</v>
      </c>
      <c r="D229" s="347">
        <f>P229/12</f>
        <v>1187.5</v>
      </c>
      <c r="E229" s="347">
        <f>P229/12</f>
        <v>1187.5</v>
      </c>
      <c r="F229" s="347">
        <f>P229/12</f>
        <v>1187.5</v>
      </c>
      <c r="G229" s="347">
        <f>P229/12</f>
        <v>1187.5</v>
      </c>
      <c r="H229" s="347">
        <f>P229/12</f>
        <v>1187.5</v>
      </c>
      <c r="I229" s="347">
        <f>P229/12</f>
        <v>1187.5</v>
      </c>
      <c r="J229" s="347">
        <f>P229/12</f>
        <v>1187.5</v>
      </c>
      <c r="K229" s="347">
        <f>P229/12</f>
        <v>1187.5</v>
      </c>
      <c r="L229" s="347">
        <f>P229/12</f>
        <v>1187.5</v>
      </c>
      <c r="M229" s="347">
        <f>P229/12</f>
        <v>1187.5</v>
      </c>
      <c r="N229" s="347">
        <f>P229/12</f>
        <v>1187.5</v>
      </c>
      <c r="O229" s="347">
        <f>P229/12</f>
        <v>1187.5</v>
      </c>
      <c r="P229" s="927">
        <f>VLOOKUP(2.711,'Sim-Report'!1:1048576,3+CycleInCalculation,FALSE)*'Project-Start'!D36</f>
        <v>14250</v>
      </c>
      <c r="Q229" s="12"/>
      <c r="R229" s="12"/>
      <c r="S229" s="12"/>
      <c r="T229" s="12"/>
      <c r="U229" s="12"/>
      <c r="V229" s="12"/>
      <c r="W229" s="12"/>
    </row>
    <row r="230" spans="1:23" s="7" customFormat="1">
      <c r="B230" s="40"/>
      <c r="C230" s="39" t="s">
        <v>126</v>
      </c>
      <c r="D230" s="64">
        <f>D217-D227</f>
        <v>9763.8048889651654</v>
      </c>
      <c r="E230" s="54">
        <f t="shared" ref="E230:O230" si="66">E217-E227</f>
        <v>15765.077717184031</v>
      </c>
      <c r="F230" s="54">
        <f t="shared" si="66"/>
        <v>26088.187982586544</v>
      </c>
      <c r="G230" s="54">
        <f t="shared" si="66"/>
        <v>29070.774346059934</v>
      </c>
      <c r="H230" s="54">
        <f t="shared" si="66"/>
        <v>32882.262492597816</v>
      </c>
      <c r="I230" s="54">
        <f t="shared" si="66"/>
        <v>36802.690771281166</v>
      </c>
      <c r="J230" s="54">
        <f t="shared" si="66"/>
        <v>56338.879086118875</v>
      </c>
      <c r="K230" s="54">
        <f t="shared" si="66"/>
        <v>60540.046358216641</v>
      </c>
      <c r="L230" s="54">
        <f t="shared" si="66"/>
        <v>47000.965865011909</v>
      </c>
      <c r="M230" s="54">
        <f t="shared" si="66"/>
        <v>55667.398629525836</v>
      </c>
      <c r="N230" s="54">
        <f t="shared" si="66"/>
        <v>26978.133503314177</v>
      </c>
      <c r="O230" s="54">
        <f t="shared" si="66"/>
        <v>13412.956443793319</v>
      </c>
      <c r="P230" s="169">
        <f>SUM(D230:O230)</f>
        <v>410311.17808465537</v>
      </c>
      <c r="Q230" s="12"/>
      <c r="R230" s="12"/>
      <c r="S230" s="12"/>
      <c r="T230" s="12"/>
      <c r="U230" s="12"/>
      <c r="V230" s="12"/>
      <c r="W230" s="12"/>
    </row>
    <row r="231" spans="1:23" s="7" customFormat="1">
      <c r="C231" s="39" t="s">
        <v>391</v>
      </c>
      <c r="D231" s="39">
        <f>VLOOKUP(3.11,'Sim-Report'!1:1048576,3+CycleInCalculation,FALSE)</f>
        <v>0.29849999999999999</v>
      </c>
      <c r="E231" s="65"/>
      <c r="F231" s="65"/>
      <c r="G231" s="65"/>
      <c r="H231" s="65"/>
      <c r="I231" s="65"/>
      <c r="J231" s="65"/>
      <c r="K231" s="65"/>
      <c r="L231" s="65"/>
      <c r="M231" s="65"/>
      <c r="N231" s="65"/>
      <c r="O231" s="65"/>
      <c r="P231" s="53"/>
      <c r="Q231" s="12"/>
      <c r="R231" s="12"/>
      <c r="S231" s="12"/>
      <c r="T231" s="12"/>
      <c r="U231" s="12"/>
      <c r="V231" s="12"/>
      <c r="W231" s="12"/>
    </row>
    <row r="232" spans="1:23" s="7" customFormat="1">
      <c r="B232" s="40"/>
      <c r="C232" s="39" t="s">
        <v>117</v>
      </c>
      <c r="D232" s="64">
        <f>D230</f>
        <v>9763.8048889651654</v>
      </c>
      <c r="E232" s="54">
        <f t="shared" ref="E232:O232" si="67">D232+E230</f>
        <v>25528.882606149196</v>
      </c>
      <c r="F232" s="54">
        <f t="shared" si="67"/>
        <v>51617.07058873574</v>
      </c>
      <c r="G232" s="54">
        <f t="shared" si="67"/>
        <v>80687.844934795678</v>
      </c>
      <c r="H232" s="54">
        <f>G232+H230</f>
        <v>113570.10742739349</v>
      </c>
      <c r="I232" s="54">
        <f t="shared" si="67"/>
        <v>150372.79819867466</v>
      </c>
      <c r="J232" s="54">
        <f t="shared" si="67"/>
        <v>206711.67728479352</v>
      </c>
      <c r="K232" s="54">
        <f t="shared" si="67"/>
        <v>267251.72364301013</v>
      </c>
      <c r="L232" s="54">
        <f t="shared" si="67"/>
        <v>314252.68950802204</v>
      </c>
      <c r="M232" s="54">
        <f t="shared" si="67"/>
        <v>369920.08813754789</v>
      </c>
      <c r="N232" s="54">
        <f t="shared" si="67"/>
        <v>396898.22164086206</v>
      </c>
      <c r="O232" s="54">
        <f t="shared" si="67"/>
        <v>410311.17808465537</v>
      </c>
      <c r="P232" s="53"/>
      <c r="Q232" s="12"/>
      <c r="R232" s="12"/>
      <c r="S232" s="12"/>
      <c r="T232" s="12"/>
      <c r="U232" s="12"/>
      <c r="V232" s="12"/>
      <c r="W232" s="12"/>
    </row>
    <row r="233" spans="1:23" s="7" customFormat="1">
      <c r="B233" s="40"/>
      <c r="C233" s="39" t="s">
        <v>683</v>
      </c>
      <c r="D233" s="64"/>
      <c r="E233" s="54"/>
      <c r="F233" s="54"/>
      <c r="G233" s="54"/>
      <c r="H233" s="54"/>
      <c r="I233" s="54"/>
      <c r="J233" s="54"/>
      <c r="K233" s="54"/>
      <c r="L233" s="54"/>
      <c r="M233" s="54"/>
      <c r="N233" s="54"/>
      <c r="O233" s="54"/>
      <c r="P233" s="62">
        <f>P234+P152</f>
        <v>413885.24420874997</v>
      </c>
      <c r="Q233" s="12"/>
      <c r="R233" s="12"/>
      <c r="S233" s="12"/>
      <c r="T233" s="12"/>
      <c r="U233" s="12"/>
      <c r="V233" s="12"/>
      <c r="W233" s="12"/>
    </row>
    <row r="234" spans="1:23" s="7" customFormat="1" ht="12" thickBot="1">
      <c r="B234" s="39"/>
      <c r="C234" s="40" t="s">
        <v>105</v>
      </c>
      <c r="D234" s="63">
        <f>ProfitAfterTaxes(D230,D232,D231)</f>
        <v>6849.3091000000004</v>
      </c>
      <c r="E234" s="63">
        <f>ProfitAfterTaxes(E230,E232,D231)</f>
        <v>11059.20200655</v>
      </c>
      <c r="F234" s="63">
        <f>ProfitAfterTaxes(F230,F232,D231)</f>
        <v>18300.863881999998</v>
      </c>
      <c r="G234" s="63">
        <f>ProfitAfterTaxes(G230,G232,D231)</f>
        <v>20393.148171450001</v>
      </c>
      <c r="H234" s="63">
        <f>ProfitAfterTaxes(H230,H232,D231)</f>
        <v>23066.907143749999</v>
      </c>
      <c r="I234" s="63">
        <f>ProfitAfterTaxes(I230,I232,D231)</f>
        <v>25817.087596199999</v>
      </c>
      <c r="J234" s="63">
        <f>ProfitAfterTaxes(J230,J232,D231)</f>
        <v>39521.723688649996</v>
      </c>
      <c r="K234" s="63">
        <f>ProfitAfterTaxes(K230,K232,D231)</f>
        <v>42468.842549599998</v>
      </c>
      <c r="L234" s="63">
        <f>ProfitAfterTaxes(L230,L232,D231)</f>
        <v>32971.177578850002</v>
      </c>
      <c r="M234" s="63">
        <f>ProfitAfterTaxes(M230,M232,D231)</f>
        <v>39050.680117900003</v>
      </c>
      <c r="N234" s="63">
        <f>ProfitAfterTaxes(N230,N232,D231)</f>
        <v>18925.16065025</v>
      </c>
      <c r="O234" s="63">
        <f>ProfitAfterTaxes(O230,O232,D231)</f>
        <v>9409.1889145999994</v>
      </c>
      <c r="P234" s="169">
        <f>SUM(D234:O234)</f>
        <v>287833.29139979999</v>
      </c>
      <c r="Q234" s="12"/>
      <c r="R234" s="12"/>
      <c r="S234" s="12"/>
      <c r="T234" s="12"/>
      <c r="U234" s="12"/>
      <c r="V234" s="12"/>
      <c r="W234" s="12"/>
    </row>
    <row r="235" spans="1:23" s="7" customFormat="1" ht="12" thickBot="1">
      <c r="B235" s="13"/>
      <c r="C235" s="13" t="s">
        <v>116</v>
      </c>
      <c r="D235" s="51" t="s">
        <v>34</v>
      </c>
      <c r="E235" s="51" t="s">
        <v>34</v>
      </c>
      <c r="F235" s="51" t="s">
        <v>34</v>
      </c>
      <c r="G235" s="51" t="s">
        <v>34</v>
      </c>
      <c r="H235" s="51" t="s">
        <v>34</v>
      </c>
      <c r="I235" s="51" t="s">
        <v>34</v>
      </c>
      <c r="J235" s="51" t="s">
        <v>34</v>
      </c>
      <c r="K235" s="51" t="s">
        <v>34</v>
      </c>
      <c r="L235" s="51" t="s">
        <v>34</v>
      </c>
      <c r="M235" s="51" t="s">
        <v>34</v>
      </c>
      <c r="N235" s="51" t="s">
        <v>34</v>
      </c>
      <c r="O235" s="51" t="s">
        <v>34</v>
      </c>
      <c r="P235" s="55" t="s">
        <v>34</v>
      </c>
      <c r="Q235" s="12"/>
      <c r="R235" s="12"/>
      <c r="S235" s="12"/>
      <c r="T235" s="12"/>
      <c r="U235" s="12"/>
      <c r="V235" s="12"/>
      <c r="W235" s="12"/>
    </row>
    <row r="236" spans="1:23" s="7" customFormat="1" ht="12" thickBot="1">
      <c r="B236" s="13"/>
      <c r="C236" s="13" t="s">
        <v>115</v>
      </c>
      <c r="D236" s="42" t="s">
        <v>47</v>
      </c>
      <c r="E236" s="42" t="s">
        <v>46</v>
      </c>
      <c r="F236" s="42" t="s">
        <v>45</v>
      </c>
      <c r="G236" s="42" t="s">
        <v>44</v>
      </c>
      <c r="H236" s="42" t="s">
        <v>43</v>
      </c>
      <c r="I236" s="42" t="s">
        <v>42</v>
      </c>
      <c r="J236" s="42" t="s">
        <v>41</v>
      </c>
      <c r="K236" s="42" t="s">
        <v>40</v>
      </c>
      <c r="L236" s="42" t="s">
        <v>39</v>
      </c>
      <c r="M236" s="42" t="s">
        <v>38</v>
      </c>
      <c r="N236" s="42" t="s">
        <v>37</v>
      </c>
      <c r="O236" s="42" t="s">
        <v>36</v>
      </c>
      <c r="P236" s="55" t="s">
        <v>101</v>
      </c>
      <c r="Q236" s="12"/>
      <c r="R236" s="12"/>
      <c r="S236" s="12"/>
      <c r="T236" s="12"/>
      <c r="U236" s="12"/>
      <c r="V236" s="12"/>
      <c r="W236" s="12"/>
    </row>
    <row r="237" spans="1:23" s="7" customFormat="1">
      <c r="B237" s="12"/>
      <c r="C237" s="12"/>
      <c r="D237" s="12"/>
      <c r="E237" s="12"/>
      <c r="F237" s="12"/>
      <c r="G237" s="12"/>
      <c r="H237" s="12"/>
      <c r="I237" s="12"/>
      <c r="J237" s="12"/>
      <c r="K237" s="12"/>
      <c r="L237" s="12"/>
      <c r="M237" s="12"/>
      <c r="N237" s="12"/>
      <c r="O237" s="12"/>
      <c r="P237" s="12"/>
      <c r="Q237" s="12"/>
      <c r="R237" s="12"/>
      <c r="S237" s="12"/>
      <c r="T237" s="12"/>
      <c r="U237" s="12"/>
      <c r="V237" s="12"/>
      <c r="W237" s="12"/>
    </row>
    <row r="238" spans="1:23" s="7" customFormat="1" ht="16.5" thickBot="1">
      <c r="A238" s="178">
        <v>6</v>
      </c>
      <c r="B238" s="124" t="s">
        <v>402</v>
      </c>
      <c r="C238" s="124"/>
      <c r="D238" s="12"/>
      <c r="E238" s="12"/>
      <c r="F238" s="12"/>
      <c r="G238" s="12"/>
      <c r="H238" s="12"/>
      <c r="I238" s="12"/>
      <c r="J238" s="12"/>
      <c r="K238" s="12"/>
      <c r="L238" s="12"/>
      <c r="M238" s="12"/>
      <c r="N238" s="12"/>
      <c r="O238" s="12"/>
      <c r="P238" s="12"/>
      <c r="Q238" s="12"/>
      <c r="R238" s="12"/>
      <c r="S238" s="12"/>
      <c r="T238" s="12"/>
      <c r="U238" s="12"/>
      <c r="V238" s="12"/>
      <c r="W238" s="12"/>
    </row>
    <row r="239" spans="1:23" s="7" customFormat="1" ht="12" thickBot="1">
      <c r="B239" s="13" t="s">
        <v>116</v>
      </c>
      <c r="C239" s="13"/>
      <c r="D239" s="51" t="s">
        <v>33</v>
      </c>
      <c r="E239" s="51" t="s">
        <v>33</v>
      </c>
      <c r="F239" s="51" t="s">
        <v>33</v>
      </c>
      <c r="G239" s="51" t="s">
        <v>33</v>
      </c>
      <c r="H239" s="51" t="s">
        <v>33</v>
      </c>
      <c r="I239" s="51" t="s">
        <v>33</v>
      </c>
      <c r="J239" s="51" t="s">
        <v>33</v>
      </c>
      <c r="K239" s="51" t="s">
        <v>33</v>
      </c>
      <c r="L239" s="51" t="s">
        <v>33</v>
      </c>
      <c r="M239" s="51" t="s">
        <v>33</v>
      </c>
      <c r="N239" s="51" t="s">
        <v>33</v>
      </c>
      <c r="O239" s="52" t="s">
        <v>33</v>
      </c>
      <c r="P239" s="55" t="s">
        <v>33</v>
      </c>
      <c r="Q239" s="12"/>
      <c r="R239" s="12"/>
      <c r="S239" s="12"/>
      <c r="T239" s="12"/>
      <c r="U239" s="12"/>
      <c r="V239" s="12"/>
      <c r="W239" s="12"/>
    </row>
    <row r="240" spans="1:23" s="7" customFormat="1" ht="12" thickBot="1">
      <c r="B240" s="13" t="s">
        <v>115</v>
      </c>
      <c r="C240" s="13"/>
      <c r="D240" s="42" t="s">
        <v>47</v>
      </c>
      <c r="E240" s="42" t="s">
        <v>46</v>
      </c>
      <c r="F240" s="42" t="s">
        <v>45</v>
      </c>
      <c r="G240" s="42" t="s">
        <v>44</v>
      </c>
      <c r="H240" s="42" t="s">
        <v>43</v>
      </c>
      <c r="I240" s="42" t="s">
        <v>42</v>
      </c>
      <c r="J240" s="42" t="s">
        <v>41</v>
      </c>
      <c r="K240" s="42" t="s">
        <v>40</v>
      </c>
      <c r="L240" s="42" t="s">
        <v>39</v>
      </c>
      <c r="M240" s="42" t="s">
        <v>38</v>
      </c>
      <c r="N240" s="42" t="s">
        <v>37</v>
      </c>
      <c r="O240" s="61" t="s">
        <v>36</v>
      </c>
      <c r="P240" s="55" t="s">
        <v>102</v>
      </c>
      <c r="Q240" s="12"/>
      <c r="R240" s="12"/>
      <c r="S240" s="12"/>
      <c r="T240" s="12"/>
      <c r="U240" s="12"/>
      <c r="V240" s="12"/>
      <c r="W240" s="12"/>
    </row>
    <row r="241" spans="2:23" s="7" customFormat="1">
      <c r="B241" s="71" t="s">
        <v>698</v>
      </c>
      <c r="C241" s="15" t="s">
        <v>390</v>
      </c>
      <c r="D241" s="80">
        <f>Price4_36MoPr(VarCostByProduct,B241)</f>
        <v>8</v>
      </c>
      <c r="E241" s="12"/>
      <c r="F241" s="12"/>
      <c r="G241" s="12"/>
      <c r="H241" s="70"/>
      <c r="I241" s="12"/>
      <c r="J241" s="12"/>
      <c r="K241" s="12"/>
      <c r="L241" s="12"/>
      <c r="M241" s="12"/>
      <c r="N241" s="12"/>
      <c r="O241" s="12"/>
      <c r="P241" s="53"/>
      <c r="Q241" s="12"/>
      <c r="R241" s="12"/>
      <c r="S241" s="12"/>
      <c r="T241" s="12"/>
      <c r="U241" s="12"/>
      <c r="V241" s="12"/>
      <c r="W241" s="12"/>
    </row>
    <row r="242" spans="2:23" s="7" customFormat="1">
      <c r="B242" s="40"/>
      <c r="C242" s="15" t="s">
        <v>121</v>
      </c>
      <c r="D242" s="79">
        <f>Varcosts4_36MoPr(VarCostByProduct,B241)</f>
        <v>1.1299999999999999</v>
      </c>
      <c r="E242" s="12"/>
      <c r="F242" s="12"/>
      <c r="G242" s="12"/>
      <c r="H242" s="12"/>
      <c r="I242" s="12"/>
      <c r="J242" s="12"/>
      <c r="K242" s="12"/>
      <c r="L242" s="12"/>
      <c r="M242" s="12"/>
      <c r="N242" s="12"/>
      <c r="O242" s="12"/>
      <c r="P242" s="53"/>
      <c r="Q242" s="12"/>
      <c r="R242" s="12"/>
      <c r="S242" s="12"/>
      <c r="T242" s="12"/>
      <c r="U242" s="12"/>
      <c r="V242" s="12"/>
      <c r="W242" s="12"/>
    </row>
    <row r="243" spans="2:23" s="7" customFormat="1">
      <c r="B243" s="40"/>
      <c r="C243" s="78" t="s">
        <v>114</v>
      </c>
      <c r="D243" s="81">
        <f>Sales4_36MoPr(SalesJan,"FY-3",$B241)</f>
        <v>476.25769388592545</v>
      </c>
      <c r="E243" s="81">
        <f>Sales4_36MoPr(SalesFeb,"FY-3",$B241)</f>
        <v>476.25769388592545</v>
      </c>
      <c r="F243" s="81">
        <f>Sales4_36MoPr(SalesMar,"FY-3",$B241)</f>
        <v>405.5345911949687</v>
      </c>
      <c r="G243" s="81">
        <f>Sales4_36MoPr(SalesApr,"FY-3",$B241)</f>
        <v>470.80012169151217</v>
      </c>
      <c r="H243" s="81">
        <f>Sales4_36MoPr(SalesMay,"FY-3",$B241)</f>
        <v>657.57339648000004</v>
      </c>
      <c r="I243" s="81">
        <f>Sales4_36MoPr(SalesJun,"FY-3",$B241)</f>
        <v>946.24737945492689</v>
      </c>
      <c r="J243" s="81">
        <f>Sales4_36MoPr(SalesJul,"FY-3",$B241)</f>
        <v>946.24737945492689</v>
      </c>
      <c r="K243" s="81">
        <f>Sales4_36MoPr(SalesAug,"FY-3",$B241)</f>
        <v>946.24737945492689</v>
      </c>
      <c r="L243" s="81">
        <f>Sales4_36MoPr(SalesSep,"FY-3",$B241)</f>
        <v>811.0691823899374</v>
      </c>
      <c r="M243" s="81">
        <f>Sales4_36MoPr(SalesOct,"FY-3",$B241)</f>
        <v>742.00230149597269</v>
      </c>
      <c r="N243" s="81">
        <f>Sales4_36MoPr(SalesNov,"FY-3",$B241)</f>
        <v>470.80012169151217</v>
      </c>
      <c r="O243" s="81">
        <f>Sales4_36MoPr(SalesDec,"FY-3",$B241)</f>
        <v>470.80012169151217</v>
      </c>
      <c r="P243" s="938">
        <f>SUM(D243:O243)</f>
        <v>7819.8373627720457</v>
      </c>
      <c r="Q243" s="12"/>
      <c r="R243" s="12"/>
      <c r="S243" s="12"/>
      <c r="T243" s="12"/>
      <c r="U243" s="12"/>
      <c r="V243" s="12"/>
      <c r="W243" s="12"/>
    </row>
    <row r="244" spans="2:23" s="7" customFormat="1">
      <c r="B244" s="69"/>
      <c r="C244" s="15" t="s">
        <v>113</v>
      </c>
      <c r="D244" s="54">
        <f t="shared" ref="D244:O244" si="68">D243*$D241</f>
        <v>3810.0615510874036</v>
      </c>
      <c r="E244" s="54">
        <f t="shared" si="68"/>
        <v>3810.0615510874036</v>
      </c>
      <c r="F244" s="54">
        <f t="shared" si="68"/>
        <v>3244.2767295597496</v>
      </c>
      <c r="G244" s="54">
        <f t="shared" si="68"/>
        <v>3766.4009735320974</v>
      </c>
      <c r="H244" s="54">
        <f t="shared" si="68"/>
        <v>5260.5871718400003</v>
      </c>
      <c r="I244" s="54">
        <f t="shared" si="68"/>
        <v>7569.9790356394151</v>
      </c>
      <c r="J244" s="54">
        <f t="shared" si="68"/>
        <v>7569.9790356394151</v>
      </c>
      <c r="K244" s="54">
        <f t="shared" si="68"/>
        <v>7569.9790356394151</v>
      </c>
      <c r="L244" s="54">
        <f t="shared" si="68"/>
        <v>6488.5534591194992</v>
      </c>
      <c r="M244" s="54">
        <f t="shared" si="68"/>
        <v>5936.0184119677815</v>
      </c>
      <c r="N244" s="54">
        <f t="shared" si="68"/>
        <v>3766.4009735320974</v>
      </c>
      <c r="O244" s="54">
        <f t="shared" si="68"/>
        <v>3766.4009735320974</v>
      </c>
      <c r="P244" s="62">
        <f>SUM(D244:O244)</f>
        <v>62558.698902176366</v>
      </c>
      <c r="Q244" s="12"/>
      <c r="R244" s="12"/>
      <c r="S244" s="12"/>
      <c r="T244" s="12"/>
      <c r="U244" s="12"/>
      <c r="V244" s="12"/>
      <c r="W244" s="12"/>
    </row>
    <row r="245" spans="2:23" s="7" customFormat="1">
      <c r="B245" s="40"/>
      <c r="C245" s="15" t="s">
        <v>112</v>
      </c>
      <c r="D245" s="54">
        <f>D243*$D$80</f>
        <v>538.17119409109569</v>
      </c>
      <c r="E245" s="54">
        <f>E243*$D$80</f>
        <v>538.17119409109569</v>
      </c>
      <c r="F245" s="54">
        <f t="shared" ref="F245:O245" si="69">F243*$D242</f>
        <v>458.25408805031458</v>
      </c>
      <c r="G245" s="54">
        <f t="shared" si="69"/>
        <v>532.00413751140866</v>
      </c>
      <c r="H245" s="54">
        <f t="shared" si="69"/>
        <v>743.05793802239998</v>
      </c>
      <c r="I245" s="54">
        <f t="shared" si="69"/>
        <v>1069.2595387840672</v>
      </c>
      <c r="J245" s="54">
        <f t="shared" si="69"/>
        <v>1069.2595387840672</v>
      </c>
      <c r="K245" s="54">
        <f t="shared" si="69"/>
        <v>1069.2595387840672</v>
      </c>
      <c r="L245" s="54">
        <f t="shared" si="69"/>
        <v>916.50817610062916</v>
      </c>
      <c r="M245" s="54">
        <f t="shared" si="69"/>
        <v>838.46260069044911</v>
      </c>
      <c r="N245" s="54">
        <f t="shared" si="69"/>
        <v>532.00413751140866</v>
      </c>
      <c r="O245" s="54">
        <f t="shared" si="69"/>
        <v>532.00413751140866</v>
      </c>
      <c r="P245" s="62">
        <f>SUM(D245:O245)</f>
        <v>8836.4162199324128</v>
      </c>
      <c r="Q245" s="12"/>
      <c r="R245" s="12"/>
      <c r="S245" s="12"/>
      <c r="T245" s="12"/>
      <c r="U245" s="12"/>
      <c r="V245" s="12"/>
      <c r="W245" s="12"/>
    </row>
    <row r="246" spans="2:23" s="7" customFormat="1">
      <c r="B246" s="40"/>
      <c r="C246" s="15" t="s">
        <v>111</v>
      </c>
      <c r="D246" s="54">
        <f>D244-D245</f>
        <v>3271.8903569963077</v>
      </c>
      <c r="E246" s="54">
        <f t="shared" ref="E246:O246" si="70">E244-E245</f>
        <v>3271.8903569963077</v>
      </c>
      <c r="F246" s="54">
        <f t="shared" si="70"/>
        <v>2786.0226415094348</v>
      </c>
      <c r="G246" s="54">
        <f t="shared" si="70"/>
        <v>3234.3968360206886</v>
      </c>
      <c r="H246" s="54">
        <f t="shared" si="70"/>
        <v>4517.5292338176005</v>
      </c>
      <c r="I246" s="54">
        <f t="shared" si="70"/>
        <v>6500.7194968553476</v>
      </c>
      <c r="J246" s="54">
        <f t="shared" si="70"/>
        <v>6500.7194968553476</v>
      </c>
      <c r="K246" s="54">
        <f t="shared" si="70"/>
        <v>6500.7194968553476</v>
      </c>
      <c r="L246" s="54">
        <f t="shared" si="70"/>
        <v>5572.0452830188697</v>
      </c>
      <c r="M246" s="54">
        <f t="shared" si="70"/>
        <v>5097.5558112773324</v>
      </c>
      <c r="N246" s="54">
        <f t="shared" si="70"/>
        <v>3234.3968360206886</v>
      </c>
      <c r="O246" s="54">
        <f t="shared" si="70"/>
        <v>3234.3968360206886</v>
      </c>
      <c r="P246" s="62">
        <f>SUM(D246:O246)</f>
        <v>53722.282682243953</v>
      </c>
      <c r="Q246" s="12"/>
      <c r="R246" s="12"/>
      <c r="S246" s="12"/>
      <c r="T246" s="12"/>
      <c r="U246" s="12"/>
      <c r="V246" s="12"/>
      <c r="W246" s="12"/>
    </row>
    <row r="247" spans="2:23" s="7" customFormat="1">
      <c r="B247" s="71" t="s">
        <v>699</v>
      </c>
      <c r="C247" s="15" t="s">
        <v>390</v>
      </c>
      <c r="D247" s="80">
        <f>Price4_36MoPr(VarCostByProduct,B247)</f>
        <v>8</v>
      </c>
      <c r="E247" s="12"/>
      <c r="F247" s="12"/>
      <c r="G247" s="12"/>
      <c r="H247" s="70"/>
      <c r="I247" s="12"/>
      <c r="J247" s="12"/>
      <c r="K247" s="12"/>
      <c r="L247" s="12"/>
      <c r="M247" s="12"/>
      <c r="N247" s="12"/>
      <c r="O247" s="12"/>
      <c r="P247" s="62"/>
      <c r="Q247" s="12"/>
      <c r="R247" s="12"/>
      <c r="S247" s="12"/>
      <c r="T247" s="12"/>
      <c r="U247" s="12"/>
      <c r="V247" s="12"/>
      <c r="W247" s="12"/>
    </row>
    <row r="248" spans="2:23" s="7" customFormat="1">
      <c r="B248" s="40"/>
      <c r="C248" s="15" t="s">
        <v>121</v>
      </c>
      <c r="D248" s="79">
        <f>Varcosts4_36MoPr(VarCostByProduct,B247)</f>
        <v>1.07</v>
      </c>
      <c r="E248" s="12"/>
      <c r="F248" s="12"/>
      <c r="G248" s="12"/>
      <c r="H248" s="12"/>
      <c r="I248" s="12"/>
      <c r="J248" s="12"/>
      <c r="K248" s="12"/>
      <c r="L248" s="12"/>
      <c r="M248" s="12"/>
      <c r="N248" s="12"/>
      <c r="O248" s="12"/>
      <c r="P248" s="62"/>
      <c r="Q248" s="12"/>
      <c r="R248" s="12"/>
      <c r="S248" s="12"/>
      <c r="T248" s="12"/>
      <c r="U248" s="12"/>
      <c r="V248" s="12"/>
      <c r="W248" s="12"/>
    </row>
    <row r="249" spans="2:23" s="7" customFormat="1">
      <c r="B249" s="40"/>
      <c r="C249" s="78" t="s">
        <v>114</v>
      </c>
      <c r="D249" s="81">
        <f>Sales4_36MoPr(SalesJan,"FY-3",$B247)</f>
        <v>476.25769388592545</v>
      </c>
      <c r="E249" s="81">
        <f>Sales4_36MoPr(SalesFeb,"FY-3",$B247)</f>
        <v>476.25769388592545</v>
      </c>
      <c r="F249" s="81">
        <f>Sales4_36MoPr(SalesMar,"FY-3",$B247)</f>
        <v>405.5345911949687</v>
      </c>
      <c r="G249" s="81">
        <f>Sales4_36MoPr(SalesApr,"FY-3",$B247)</f>
        <v>540.7127882599583</v>
      </c>
      <c r="H249" s="81">
        <f>Sales4_36MoPr(SalesMay,"FY-3",$B247)</f>
        <v>657.57339648000004</v>
      </c>
      <c r="I249" s="81">
        <f>Sales4_36MoPr(SalesJun,"FY-3",$B247)</f>
        <v>882.55495644960615</v>
      </c>
      <c r="J249" s="81">
        <f>Sales4_36MoPr(SalesJul,"FY-3",$B247)</f>
        <v>876.12002264578257</v>
      </c>
      <c r="K249" s="81">
        <f>Sales4_36MoPr(SalesAug,"FY-3",$B247)</f>
        <v>875.34555712270821</v>
      </c>
      <c r="L249" s="81">
        <f>Sales4_36MoPr(SalesSep,"FY-3",$B247)</f>
        <v>803.13167259786496</v>
      </c>
      <c r="M249" s="81">
        <f>Sales4_36MoPr(SalesOct,"FY-3",$B247)</f>
        <v>744.71607314725713</v>
      </c>
      <c r="N249" s="81">
        <f>Sales4_36MoPr(SalesNov,"FY-3",$B247)</f>
        <v>470.80012169151217</v>
      </c>
      <c r="O249" s="81">
        <f>Sales4_36MoPr(SalesDec,"FY-3",$B247)</f>
        <v>464.68085106382995</v>
      </c>
      <c r="P249" s="938">
        <f>SUM(D249:O249)</f>
        <v>7673.685418425338</v>
      </c>
      <c r="Q249" s="12"/>
      <c r="R249" s="12"/>
      <c r="S249" s="12"/>
      <c r="T249" s="12"/>
      <c r="U249" s="12"/>
      <c r="V249" s="12"/>
      <c r="W249" s="12"/>
    </row>
    <row r="250" spans="2:23" s="7" customFormat="1">
      <c r="B250" s="69"/>
      <c r="C250" s="15" t="s">
        <v>113</v>
      </c>
      <c r="D250" s="54">
        <f t="shared" ref="D250:O250" si="71">D249*$D247</f>
        <v>3810.0615510874036</v>
      </c>
      <c r="E250" s="54">
        <f t="shared" si="71"/>
        <v>3810.0615510874036</v>
      </c>
      <c r="F250" s="54">
        <f t="shared" si="71"/>
        <v>3244.2767295597496</v>
      </c>
      <c r="G250" s="54">
        <f t="shared" si="71"/>
        <v>4325.7023060796664</v>
      </c>
      <c r="H250" s="54">
        <f t="shared" si="71"/>
        <v>5260.5871718400003</v>
      </c>
      <c r="I250" s="54">
        <f t="shared" si="71"/>
        <v>7060.4396515968492</v>
      </c>
      <c r="J250" s="54">
        <f t="shared" si="71"/>
        <v>7008.9601811662606</v>
      </c>
      <c r="K250" s="54">
        <f t="shared" si="71"/>
        <v>7002.7644569816657</v>
      </c>
      <c r="L250" s="54">
        <f t="shared" si="71"/>
        <v>6425.0533807829197</v>
      </c>
      <c r="M250" s="54">
        <f t="shared" si="71"/>
        <v>5957.7285851780571</v>
      </c>
      <c r="N250" s="54">
        <f t="shared" si="71"/>
        <v>3766.4009735320974</v>
      </c>
      <c r="O250" s="54">
        <f t="shared" si="71"/>
        <v>3717.4468085106396</v>
      </c>
      <c r="P250" s="62">
        <f>SUM(D250:O250)</f>
        <v>61389.483347402704</v>
      </c>
      <c r="Q250" s="12"/>
      <c r="R250" s="12"/>
      <c r="S250" s="12"/>
      <c r="T250" s="12"/>
      <c r="U250" s="12"/>
      <c r="V250" s="12"/>
      <c r="W250" s="12"/>
    </row>
    <row r="251" spans="2:23" s="7" customFormat="1">
      <c r="B251" s="40"/>
      <c r="C251" s="15" t="s">
        <v>112</v>
      </c>
      <c r="D251" s="54">
        <f>D249*$D$80</f>
        <v>538.17119409109569</v>
      </c>
      <c r="E251" s="54">
        <f>E249*$D$80</f>
        <v>538.17119409109569</v>
      </c>
      <c r="F251" s="54">
        <f t="shared" ref="F251:O251" si="72">F249*$D248</f>
        <v>433.92201257861655</v>
      </c>
      <c r="G251" s="54">
        <f t="shared" si="72"/>
        <v>578.56268343815543</v>
      </c>
      <c r="H251" s="54">
        <f t="shared" si="72"/>
        <v>703.60353423360004</v>
      </c>
      <c r="I251" s="54">
        <f t="shared" si="72"/>
        <v>944.33380340107863</v>
      </c>
      <c r="J251" s="54">
        <f t="shared" si="72"/>
        <v>937.44842423098737</v>
      </c>
      <c r="K251" s="54">
        <f t="shared" si="72"/>
        <v>936.61974612129779</v>
      </c>
      <c r="L251" s="54">
        <f t="shared" si="72"/>
        <v>859.35088967971558</v>
      </c>
      <c r="M251" s="54">
        <f t="shared" si="72"/>
        <v>796.84619826756523</v>
      </c>
      <c r="N251" s="54">
        <f t="shared" si="72"/>
        <v>503.75613020991807</v>
      </c>
      <c r="O251" s="54">
        <f t="shared" si="72"/>
        <v>497.20851063829809</v>
      </c>
      <c r="P251" s="62">
        <f>SUM(D251:O251)</f>
        <v>8267.9943209814246</v>
      </c>
      <c r="Q251" s="12"/>
      <c r="R251" s="12"/>
      <c r="S251" s="12"/>
      <c r="T251" s="12"/>
      <c r="U251" s="12"/>
      <c r="V251" s="12"/>
      <c r="W251" s="12"/>
    </row>
    <row r="252" spans="2:23" s="7" customFormat="1">
      <c r="B252" s="40"/>
      <c r="C252" s="15" t="s">
        <v>111</v>
      </c>
      <c r="D252" s="54">
        <f>D250-D251</f>
        <v>3271.8903569963077</v>
      </c>
      <c r="E252" s="54">
        <f t="shared" ref="E252:O252" si="73">E250-E251</f>
        <v>3271.8903569963077</v>
      </c>
      <c r="F252" s="54">
        <f t="shared" si="73"/>
        <v>2810.3547169811332</v>
      </c>
      <c r="G252" s="54">
        <f t="shared" si="73"/>
        <v>3747.1396226415109</v>
      </c>
      <c r="H252" s="54">
        <f t="shared" si="73"/>
        <v>4556.9836376064004</v>
      </c>
      <c r="I252" s="54">
        <f t="shared" si="73"/>
        <v>6116.1058481957707</v>
      </c>
      <c r="J252" s="54">
        <f t="shared" si="73"/>
        <v>6071.5117569352733</v>
      </c>
      <c r="K252" s="54">
        <f t="shared" si="73"/>
        <v>6066.1447108603679</v>
      </c>
      <c r="L252" s="54">
        <f t="shared" si="73"/>
        <v>5565.702491103204</v>
      </c>
      <c r="M252" s="54">
        <f t="shared" si="73"/>
        <v>5160.8823869104917</v>
      </c>
      <c r="N252" s="54">
        <f t="shared" si="73"/>
        <v>3262.6448433221794</v>
      </c>
      <c r="O252" s="54">
        <f t="shared" si="73"/>
        <v>3220.2382978723417</v>
      </c>
      <c r="P252" s="62">
        <f>SUM(D252:O252)</f>
        <v>53121.489026421288</v>
      </c>
      <c r="Q252" s="12"/>
      <c r="R252" s="12"/>
      <c r="S252" s="12"/>
      <c r="T252" s="12"/>
      <c r="U252" s="12"/>
      <c r="V252" s="12"/>
      <c r="W252" s="12"/>
    </row>
    <row r="253" spans="2:23" s="7" customFormat="1">
      <c r="B253" s="71" t="s">
        <v>700</v>
      </c>
      <c r="C253" s="15" t="s">
        <v>390</v>
      </c>
      <c r="D253" s="80">
        <f>Price4_36MoPr(VarCostByProduct,B253)</f>
        <v>7.5</v>
      </c>
      <c r="E253" s="12"/>
      <c r="F253" s="12"/>
      <c r="G253" s="12"/>
      <c r="H253" s="70"/>
      <c r="I253" s="12"/>
      <c r="J253" s="12"/>
      <c r="K253" s="12"/>
      <c r="L253" s="12"/>
      <c r="M253" s="12"/>
      <c r="N253" s="12"/>
      <c r="O253" s="12"/>
      <c r="P253" s="62"/>
      <c r="Q253" s="12"/>
      <c r="R253" s="12"/>
      <c r="S253" s="12"/>
      <c r="T253" s="12"/>
      <c r="U253" s="12"/>
      <c r="V253" s="12"/>
      <c r="W253" s="12"/>
    </row>
    <row r="254" spans="2:23" s="7" customFormat="1">
      <c r="B254" s="40"/>
      <c r="C254" s="15" t="s">
        <v>121</v>
      </c>
      <c r="D254" s="79">
        <f>Varcosts4_36MoPr(VarCostByProduct,B253)</f>
        <v>1.07</v>
      </c>
      <c r="E254" s="12"/>
      <c r="F254" s="12"/>
      <c r="G254" s="12"/>
      <c r="H254" s="12"/>
      <c r="I254" s="12"/>
      <c r="J254" s="12"/>
      <c r="K254" s="12"/>
      <c r="L254" s="12"/>
      <c r="M254" s="12"/>
      <c r="N254" s="12"/>
      <c r="O254" s="12"/>
      <c r="P254" s="62"/>
      <c r="Q254" s="12"/>
      <c r="R254" s="12"/>
      <c r="S254" s="12"/>
      <c r="T254" s="12"/>
      <c r="U254" s="12"/>
      <c r="V254" s="12"/>
      <c r="W254" s="12"/>
    </row>
    <row r="255" spans="2:23" s="7" customFormat="1">
      <c r="B255" s="40"/>
      <c r="C255" s="78" t="s">
        <v>114</v>
      </c>
      <c r="D255" s="81">
        <f>Sales4_36MoPr(SalesJan,"FY-3",$B253)</f>
        <v>0</v>
      </c>
      <c r="E255" s="81">
        <f>Sales4_36MoPr(SalesFeb,"FY-3",$B253)</f>
        <v>0</v>
      </c>
      <c r="F255" s="81">
        <f>Sales4_36MoPr(SalesMar,"FY-3",$B253)</f>
        <v>0</v>
      </c>
      <c r="G255" s="81">
        <f>Sales4_36MoPr(SalesApr,"FY-3",$B253)</f>
        <v>752.4157132800002</v>
      </c>
      <c r="H255" s="81">
        <f>Sales4_36MoPr(SalesMay,"FY-3",$B253)</f>
        <v>859.90367232000017</v>
      </c>
      <c r="I255" s="81">
        <f>Sales4_36MoPr(SalesJun,"FY-3",$B253)</f>
        <v>859.90367232000017</v>
      </c>
      <c r="J255" s="81">
        <f>Sales4_36MoPr(SalesJul,"FY-3",$B253)</f>
        <v>1240</v>
      </c>
      <c r="K255" s="81">
        <f>Sales4_36MoPr(SalesAug,"FY-3",$B253)</f>
        <v>1240</v>
      </c>
      <c r="L255" s="81">
        <f>Sales4_36MoPr(SalesSep,"FY-3",$B253)</f>
        <v>1240</v>
      </c>
      <c r="M255" s="81">
        <f>Sales4_36MoPr(SalesOct,"FY-3",$B253)</f>
        <v>1182.3675494400002</v>
      </c>
      <c r="N255" s="81">
        <f>Sales4_36MoPr(SalesNov,"FY-3",$B253)</f>
        <v>752.4157132800002</v>
      </c>
      <c r="O255" s="81">
        <f>Sales4_36MoPr(SalesDec,"FY-3",$B253)</f>
        <v>752.4157132800002</v>
      </c>
      <c r="P255" s="938">
        <f>SUM(D255:O255)</f>
        <v>8879.4220339200019</v>
      </c>
      <c r="Q255" s="12"/>
      <c r="R255" s="12"/>
      <c r="S255" s="12"/>
      <c r="T255" s="12"/>
      <c r="U255" s="12"/>
      <c r="V255" s="12"/>
      <c r="W255" s="12"/>
    </row>
    <row r="256" spans="2:23" s="7" customFormat="1">
      <c r="B256" s="69"/>
      <c r="C256" s="15" t="s">
        <v>113</v>
      </c>
      <c r="D256" s="54">
        <f t="shared" ref="D256:O256" si="74">D255*$D253</f>
        <v>0</v>
      </c>
      <c r="E256" s="54">
        <f t="shared" si="74"/>
        <v>0</v>
      </c>
      <c r="F256" s="54">
        <f t="shared" si="74"/>
        <v>0</v>
      </c>
      <c r="G256" s="54">
        <f t="shared" si="74"/>
        <v>5643.1178496000011</v>
      </c>
      <c r="H256" s="54">
        <f t="shared" si="74"/>
        <v>6449.277542400001</v>
      </c>
      <c r="I256" s="54">
        <f t="shared" si="74"/>
        <v>6449.277542400001</v>
      </c>
      <c r="J256" s="54">
        <f t="shared" si="74"/>
        <v>9300</v>
      </c>
      <c r="K256" s="54">
        <f t="shared" si="74"/>
        <v>9300</v>
      </c>
      <c r="L256" s="54">
        <f t="shared" si="74"/>
        <v>9300</v>
      </c>
      <c r="M256" s="54">
        <f t="shared" si="74"/>
        <v>8867.7566208000007</v>
      </c>
      <c r="N256" s="54">
        <f t="shared" si="74"/>
        <v>5643.1178496000011</v>
      </c>
      <c r="O256" s="54">
        <f t="shared" si="74"/>
        <v>5643.1178496000011</v>
      </c>
      <c r="P256" s="62">
        <f>SUM(D256:O256)</f>
        <v>66595.66525440001</v>
      </c>
      <c r="Q256" s="12"/>
      <c r="R256" s="12"/>
      <c r="S256" s="12"/>
      <c r="T256" s="12"/>
      <c r="U256" s="12"/>
      <c r="V256" s="12"/>
      <c r="W256" s="12"/>
    </row>
    <row r="257" spans="2:23" s="7" customFormat="1">
      <c r="B257" s="40"/>
      <c r="C257" s="15" t="s">
        <v>112</v>
      </c>
      <c r="D257" s="54">
        <f>D255*$D$80</f>
        <v>0</v>
      </c>
      <c r="E257" s="54">
        <f>E255*$D$80</f>
        <v>0</v>
      </c>
      <c r="F257" s="54">
        <f t="shared" ref="F257:O257" si="75">F255*$D254</f>
        <v>0</v>
      </c>
      <c r="G257" s="54">
        <f t="shared" si="75"/>
        <v>805.08481320960027</v>
      </c>
      <c r="H257" s="54">
        <f t="shared" si="75"/>
        <v>920.09692938240028</v>
      </c>
      <c r="I257" s="54">
        <f t="shared" si="75"/>
        <v>920.09692938240028</v>
      </c>
      <c r="J257" s="54">
        <f t="shared" si="75"/>
        <v>1326.8000000000002</v>
      </c>
      <c r="K257" s="54">
        <f t="shared" si="75"/>
        <v>1326.8000000000002</v>
      </c>
      <c r="L257" s="54">
        <f t="shared" si="75"/>
        <v>1326.8000000000002</v>
      </c>
      <c r="M257" s="54">
        <f t="shared" si="75"/>
        <v>1265.1332779008003</v>
      </c>
      <c r="N257" s="54">
        <f t="shared" si="75"/>
        <v>805.08481320960027</v>
      </c>
      <c r="O257" s="54">
        <f t="shared" si="75"/>
        <v>805.08481320960027</v>
      </c>
      <c r="P257" s="62">
        <f>SUM(D257:O257)</f>
        <v>9500.9815762944017</v>
      </c>
      <c r="Q257" s="12"/>
      <c r="R257" s="12"/>
      <c r="S257" s="12"/>
      <c r="T257" s="12"/>
      <c r="U257" s="12"/>
      <c r="V257" s="12"/>
      <c r="W257" s="12"/>
    </row>
    <row r="258" spans="2:23" s="7" customFormat="1">
      <c r="B258" s="40"/>
      <c r="C258" s="15" t="s">
        <v>111</v>
      </c>
      <c r="D258" s="54">
        <f>D256-D257</f>
        <v>0</v>
      </c>
      <c r="E258" s="54">
        <f t="shared" ref="E258:O258" si="76">E256-E257</f>
        <v>0</v>
      </c>
      <c r="F258" s="54">
        <f t="shared" si="76"/>
        <v>0</v>
      </c>
      <c r="G258" s="54">
        <f t="shared" si="76"/>
        <v>4838.0330363904013</v>
      </c>
      <c r="H258" s="54">
        <f t="shared" si="76"/>
        <v>5529.180613017601</v>
      </c>
      <c r="I258" s="54">
        <f t="shared" si="76"/>
        <v>5529.180613017601</v>
      </c>
      <c r="J258" s="54">
        <f t="shared" si="76"/>
        <v>7973.2</v>
      </c>
      <c r="K258" s="54">
        <f t="shared" si="76"/>
        <v>7973.2</v>
      </c>
      <c r="L258" s="54">
        <f t="shared" si="76"/>
        <v>7973.2</v>
      </c>
      <c r="M258" s="54">
        <f t="shared" si="76"/>
        <v>7602.6233428992</v>
      </c>
      <c r="N258" s="54">
        <f t="shared" si="76"/>
        <v>4838.0330363904013</v>
      </c>
      <c r="O258" s="54">
        <f t="shared" si="76"/>
        <v>4838.0330363904013</v>
      </c>
      <c r="P258" s="62">
        <f>SUM(D258:O258)</f>
        <v>57094.683678105597</v>
      </c>
      <c r="Q258" s="12"/>
      <c r="R258" s="12"/>
      <c r="S258" s="12"/>
      <c r="T258" s="12"/>
      <c r="U258" s="12"/>
      <c r="V258" s="12"/>
      <c r="W258" s="12"/>
    </row>
    <row r="259" spans="2:23" s="7" customFormat="1">
      <c r="B259" s="71" t="s">
        <v>701</v>
      </c>
      <c r="C259" s="15" t="s">
        <v>390</v>
      </c>
      <c r="D259" s="80">
        <f>Price4_36MoPr(VarCostByProduct,B259)</f>
        <v>7.5</v>
      </c>
      <c r="E259" s="12"/>
      <c r="F259" s="12"/>
      <c r="G259" s="12"/>
      <c r="H259" s="70"/>
      <c r="I259" s="12"/>
      <c r="J259" s="12"/>
      <c r="K259" s="12"/>
      <c r="L259" s="12"/>
      <c r="M259" s="12"/>
      <c r="N259" s="12"/>
      <c r="O259" s="12"/>
      <c r="P259" s="62"/>
      <c r="Q259" s="12"/>
      <c r="R259" s="12"/>
      <c r="S259" s="12"/>
      <c r="T259" s="12"/>
      <c r="U259" s="12"/>
      <c r="V259" s="12"/>
      <c r="W259" s="12"/>
    </row>
    <row r="260" spans="2:23" s="7" customFormat="1">
      <c r="B260" s="40"/>
      <c r="C260" s="15" t="s">
        <v>121</v>
      </c>
      <c r="D260" s="79">
        <f>Varcosts4_36MoPr(VarCostByProduct,B259)</f>
        <v>1.07</v>
      </c>
      <c r="E260" s="12"/>
      <c r="F260" s="12"/>
      <c r="G260" s="12"/>
      <c r="H260" s="12"/>
      <c r="I260" s="12"/>
      <c r="J260" s="12"/>
      <c r="K260" s="12"/>
      <c r="L260" s="12"/>
      <c r="M260" s="12"/>
      <c r="N260" s="12"/>
      <c r="O260" s="12"/>
      <c r="P260" s="62"/>
      <c r="Q260" s="12"/>
      <c r="R260" s="12"/>
      <c r="S260" s="12"/>
      <c r="T260" s="12"/>
      <c r="U260" s="12"/>
      <c r="V260" s="12"/>
      <c r="W260" s="12"/>
    </row>
    <row r="261" spans="2:23" s="7" customFormat="1">
      <c r="B261" s="40"/>
      <c r="C261" s="78" t="s">
        <v>114</v>
      </c>
      <c r="D261" s="81">
        <f>Sales4_36MoPr(SalesJan,"FY-3",$B259)</f>
        <v>0</v>
      </c>
      <c r="E261" s="81">
        <f>Sales4_36MoPr(SalesFeb,"FY-3",$B259)</f>
        <v>0</v>
      </c>
      <c r="F261" s="81">
        <f>Sales4_36MoPr(SalesMar,"FY-3",$B259)</f>
        <v>720.80160767999996</v>
      </c>
      <c r="G261" s="81">
        <f>Sales4_36MoPr(SalesApr,"FY-3",$B259)</f>
        <v>840.93520896000007</v>
      </c>
      <c r="H261" s="81">
        <f>Sales4_36MoPr(SalesMay,"FY-3",$B259)</f>
        <v>961.06881024000006</v>
      </c>
      <c r="I261" s="81">
        <f>Sales4_36MoPr(SalesJun,"FY-3",$B259)</f>
        <v>1201.3360128000002</v>
      </c>
      <c r="J261" s="81">
        <f>Sales4_36MoPr(SalesJul,"FY-3",$B259)</f>
        <v>1201.3360128000002</v>
      </c>
      <c r="K261" s="81">
        <f>Sales4_36MoPr(SalesAug,"FY-3",$B259)</f>
        <v>1240</v>
      </c>
      <c r="L261" s="81">
        <f>Sales4_36MoPr(SalesSep,"FY-3",$B259)</f>
        <v>1240</v>
      </c>
      <c r="M261" s="81">
        <f>Sales4_36MoPr(SalesOct,"FY-3",$B259)</f>
        <v>1240</v>
      </c>
      <c r="N261" s="81">
        <f>Sales4_36MoPr(SalesNov,"FY-3",$B259)</f>
        <v>840.93520896000007</v>
      </c>
      <c r="O261" s="81">
        <f>Sales4_36MoPr(SalesDec,"FY-3",$B259)</f>
        <v>840.93520896000007</v>
      </c>
      <c r="P261" s="938">
        <f>SUM(D261:O261)</f>
        <v>10327.348070399999</v>
      </c>
      <c r="Q261" s="12"/>
      <c r="R261" s="12"/>
      <c r="S261" s="12"/>
      <c r="T261" s="12"/>
      <c r="U261" s="12"/>
      <c r="V261" s="12"/>
      <c r="W261" s="12"/>
    </row>
    <row r="262" spans="2:23" s="7" customFormat="1">
      <c r="B262" s="69"/>
      <c r="C262" s="15" t="s">
        <v>113</v>
      </c>
      <c r="D262" s="54">
        <f t="shared" ref="D262:O262" si="77">D261*$D259</f>
        <v>0</v>
      </c>
      <c r="E262" s="54">
        <f t="shared" si="77"/>
        <v>0</v>
      </c>
      <c r="F262" s="54">
        <f t="shared" si="77"/>
        <v>5406.0120575999999</v>
      </c>
      <c r="G262" s="54">
        <f t="shared" si="77"/>
        <v>6307.0140672000007</v>
      </c>
      <c r="H262" s="54">
        <f t="shared" si="77"/>
        <v>7208.0160768000005</v>
      </c>
      <c r="I262" s="54">
        <f t="shared" si="77"/>
        <v>9010.020096000002</v>
      </c>
      <c r="J262" s="54">
        <f t="shared" si="77"/>
        <v>9010.020096000002</v>
      </c>
      <c r="K262" s="54">
        <f t="shared" si="77"/>
        <v>9300</v>
      </c>
      <c r="L262" s="54">
        <f t="shared" si="77"/>
        <v>9300</v>
      </c>
      <c r="M262" s="54">
        <f t="shared" si="77"/>
        <v>9300</v>
      </c>
      <c r="N262" s="54">
        <f t="shared" si="77"/>
        <v>6307.0140672000007</v>
      </c>
      <c r="O262" s="54">
        <f t="shared" si="77"/>
        <v>6307.0140672000007</v>
      </c>
      <c r="P262" s="62">
        <f>SUM(D262:O262)</f>
        <v>77455.110528000005</v>
      </c>
      <c r="Q262" s="12"/>
      <c r="R262" s="12"/>
      <c r="S262" s="12"/>
      <c r="T262" s="12"/>
      <c r="U262" s="12"/>
      <c r="V262" s="12"/>
      <c r="W262" s="12"/>
    </row>
    <row r="263" spans="2:23" s="7" customFormat="1">
      <c r="B263" s="40"/>
      <c r="C263" s="15" t="s">
        <v>112</v>
      </c>
      <c r="D263" s="54">
        <f>D261*$D$80</f>
        <v>0</v>
      </c>
      <c r="E263" s="54">
        <f>E261*$D$80</f>
        <v>0</v>
      </c>
      <c r="F263" s="54">
        <f t="shared" ref="F263:O263" si="78">F261*$D260</f>
        <v>771.25772021759997</v>
      </c>
      <c r="G263" s="54">
        <f t="shared" si="78"/>
        <v>899.80067358720009</v>
      </c>
      <c r="H263" s="54">
        <f t="shared" si="78"/>
        <v>1028.3436269568001</v>
      </c>
      <c r="I263" s="54">
        <f t="shared" si="78"/>
        <v>1285.4295336960001</v>
      </c>
      <c r="J263" s="54">
        <f t="shared" si="78"/>
        <v>1285.4295336960001</v>
      </c>
      <c r="K263" s="54">
        <f t="shared" si="78"/>
        <v>1326.8000000000002</v>
      </c>
      <c r="L263" s="54">
        <f t="shared" si="78"/>
        <v>1326.8000000000002</v>
      </c>
      <c r="M263" s="54">
        <f t="shared" si="78"/>
        <v>1326.8000000000002</v>
      </c>
      <c r="N263" s="54">
        <f t="shared" si="78"/>
        <v>899.80067358720009</v>
      </c>
      <c r="O263" s="54">
        <f t="shared" si="78"/>
        <v>899.80067358720009</v>
      </c>
      <c r="P263" s="62">
        <f>SUM(D263:O263)</f>
        <v>11050.262435328003</v>
      </c>
      <c r="Q263" s="12"/>
      <c r="R263" s="12"/>
      <c r="S263" s="12"/>
      <c r="T263" s="12"/>
      <c r="U263" s="12"/>
      <c r="V263" s="12"/>
      <c r="W263" s="12"/>
    </row>
    <row r="264" spans="2:23" s="7" customFormat="1">
      <c r="B264" s="40"/>
      <c r="C264" s="15" t="s">
        <v>111</v>
      </c>
      <c r="D264" s="54">
        <f>D262-D263</f>
        <v>0</v>
      </c>
      <c r="E264" s="54">
        <f t="shared" ref="E264:O264" si="79">E262-E263</f>
        <v>0</v>
      </c>
      <c r="F264" s="54">
        <f t="shared" si="79"/>
        <v>4634.7543373824001</v>
      </c>
      <c r="G264" s="54">
        <f t="shared" si="79"/>
        <v>5407.2133936128002</v>
      </c>
      <c r="H264" s="54">
        <f t="shared" si="79"/>
        <v>6179.6724498432004</v>
      </c>
      <c r="I264" s="54">
        <f t="shared" si="79"/>
        <v>7724.5905623040017</v>
      </c>
      <c r="J264" s="54">
        <f t="shared" si="79"/>
        <v>7724.5905623040017</v>
      </c>
      <c r="K264" s="54">
        <f t="shared" si="79"/>
        <v>7973.2</v>
      </c>
      <c r="L264" s="54">
        <f t="shared" si="79"/>
        <v>7973.2</v>
      </c>
      <c r="M264" s="54">
        <f t="shared" si="79"/>
        <v>7973.2</v>
      </c>
      <c r="N264" s="54">
        <f t="shared" si="79"/>
        <v>5407.2133936128002</v>
      </c>
      <c r="O264" s="54">
        <f t="shared" si="79"/>
        <v>5407.2133936128002</v>
      </c>
      <c r="P264" s="62">
        <f>SUM(D264:O264)</f>
        <v>66404.848092671993</v>
      </c>
      <c r="Q264" s="12"/>
      <c r="R264" s="12"/>
      <c r="S264" s="12"/>
      <c r="T264" s="12"/>
      <c r="U264" s="12"/>
      <c r="V264" s="12"/>
      <c r="W264" s="12"/>
    </row>
    <row r="265" spans="2:23" s="7" customFormat="1">
      <c r="B265" s="71" t="s">
        <v>702</v>
      </c>
      <c r="C265" s="15" t="s">
        <v>390</v>
      </c>
      <c r="D265" s="80">
        <f>Price4_36MoPr(VarCostByProduct,B265)</f>
        <v>7.5</v>
      </c>
      <c r="E265" s="12"/>
      <c r="F265" s="12"/>
      <c r="G265" s="12"/>
      <c r="H265" s="70"/>
      <c r="I265" s="12"/>
      <c r="J265" s="12"/>
      <c r="K265" s="12"/>
      <c r="L265" s="12"/>
      <c r="M265" s="12"/>
      <c r="N265" s="12"/>
      <c r="O265" s="12"/>
      <c r="P265" s="62"/>
      <c r="Q265" s="12"/>
      <c r="R265" s="12"/>
      <c r="S265" s="12"/>
      <c r="T265" s="12"/>
      <c r="U265" s="12"/>
      <c r="V265" s="12"/>
      <c r="W265" s="12"/>
    </row>
    <row r="266" spans="2:23" s="7" customFormat="1">
      <c r="B266" s="40"/>
      <c r="C266" s="15" t="s">
        <v>121</v>
      </c>
      <c r="D266" s="79">
        <f>Varcosts4_36MoPr(VarCostByProduct,B265)</f>
        <v>1.07</v>
      </c>
      <c r="E266" s="12"/>
      <c r="F266" s="12"/>
      <c r="G266" s="12"/>
      <c r="H266" s="12"/>
      <c r="I266" s="12"/>
      <c r="J266" s="12"/>
      <c r="K266" s="12"/>
      <c r="L266" s="12"/>
      <c r="M266" s="12"/>
      <c r="N266" s="12"/>
      <c r="O266" s="12"/>
      <c r="P266" s="62"/>
      <c r="Q266" s="12"/>
      <c r="R266" s="12"/>
      <c r="S266" s="12"/>
      <c r="T266" s="12"/>
      <c r="U266" s="12"/>
      <c r="V266" s="12"/>
      <c r="W266" s="12"/>
    </row>
    <row r="267" spans="2:23" s="7" customFormat="1">
      <c r="B267" s="40"/>
      <c r="C267" s="78" t="s">
        <v>114</v>
      </c>
      <c r="D267" s="81">
        <f>Sales4_36MoPr(SalesJan,"FY-3",$B265)</f>
        <v>1240</v>
      </c>
      <c r="E267" s="81">
        <f>Sales4_36MoPr(SalesFeb,"FY-3",$B265)</f>
        <v>973.71445248000009</v>
      </c>
      <c r="F267" s="81">
        <f>Sales4_36MoPr(SalesMar,"FY-3",$B265)</f>
        <v>973.71445248000009</v>
      </c>
      <c r="G267" s="81">
        <f>Sales4_36MoPr(SalesApr,"FY-3",$B265)</f>
        <v>973.71445248000009</v>
      </c>
      <c r="H267" s="81">
        <f>Sales4_36MoPr(SalesMay,"FY-3",$B265)</f>
        <v>834.61238784</v>
      </c>
      <c r="I267" s="81">
        <f>Sales4_36MoPr(SalesJun,"FY-3",$B265)</f>
        <v>0</v>
      </c>
      <c r="J267" s="81">
        <f>Sales4_36MoPr(SalesJul,"FY-3",$B265)</f>
        <v>834.61238784</v>
      </c>
      <c r="K267" s="81">
        <f>Sales4_36MoPr(SalesAug,"FY-3",$B265)</f>
        <v>973.71445248000009</v>
      </c>
      <c r="L267" s="81">
        <f>Sales4_36MoPr(SalesSep,"FY-3",$B265)</f>
        <v>1112.8165171200001</v>
      </c>
      <c r="M267" s="81">
        <f>Sales4_36MoPr(SalesOct,"FY-3",$B265)</f>
        <v>1240</v>
      </c>
      <c r="N267" s="81">
        <f>Sales4_36MoPr(SalesNov,"FY-3",$B265)</f>
        <v>1240</v>
      </c>
      <c r="O267" s="81">
        <f>Sales4_36MoPr(SalesDec,"FY-3",$B265)</f>
        <v>1240</v>
      </c>
      <c r="P267" s="938">
        <f>SUM(D267:O267)</f>
        <v>11636.899102720001</v>
      </c>
      <c r="Q267" s="12"/>
      <c r="R267" s="12"/>
      <c r="S267" s="12"/>
      <c r="T267" s="12"/>
      <c r="U267" s="12"/>
      <c r="V267" s="12"/>
      <c r="W267" s="12"/>
    </row>
    <row r="268" spans="2:23" s="7" customFormat="1">
      <c r="B268" s="69"/>
      <c r="C268" s="15" t="s">
        <v>113</v>
      </c>
      <c r="D268" s="54">
        <f t="shared" ref="D268:O268" si="80">D267*$D265</f>
        <v>9300</v>
      </c>
      <c r="E268" s="54">
        <f t="shared" si="80"/>
        <v>7302.8583936000005</v>
      </c>
      <c r="F268" s="54">
        <f t="shared" si="80"/>
        <v>7302.8583936000005</v>
      </c>
      <c r="G268" s="54">
        <f t="shared" si="80"/>
        <v>7302.8583936000005</v>
      </c>
      <c r="H268" s="54">
        <f t="shared" si="80"/>
        <v>6259.5929088000003</v>
      </c>
      <c r="I268" s="54">
        <f t="shared" si="80"/>
        <v>0</v>
      </c>
      <c r="J268" s="54">
        <f t="shared" si="80"/>
        <v>6259.5929088000003</v>
      </c>
      <c r="K268" s="54">
        <f t="shared" si="80"/>
        <v>7302.8583936000005</v>
      </c>
      <c r="L268" s="54">
        <f t="shared" si="80"/>
        <v>8346.1238783999997</v>
      </c>
      <c r="M268" s="54">
        <f t="shared" si="80"/>
        <v>9300</v>
      </c>
      <c r="N268" s="54">
        <f t="shared" si="80"/>
        <v>9300</v>
      </c>
      <c r="O268" s="54">
        <f t="shared" si="80"/>
        <v>9300</v>
      </c>
      <c r="P268" s="62">
        <f>SUM(D268:O268)</f>
        <v>87276.743270399995</v>
      </c>
      <c r="Q268" s="12"/>
      <c r="R268" s="12"/>
      <c r="S268" s="12"/>
      <c r="T268" s="12"/>
      <c r="U268" s="12"/>
      <c r="V268" s="12"/>
      <c r="W268" s="12"/>
    </row>
    <row r="269" spans="2:23" s="7" customFormat="1">
      <c r="B269" s="40"/>
      <c r="C269" s="15" t="s">
        <v>112</v>
      </c>
      <c r="D269" s="54">
        <f>D267*$D$80</f>
        <v>1401.1999999999998</v>
      </c>
      <c r="E269" s="54">
        <f>E267*$D$80</f>
        <v>1100.2973313023999</v>
      </c>
      <c r="F269" s="54">
        <f t="shared" ref="F269:O269" si="81">F267*$D266</f>
        <v>1041.8744641536002</v>
      </c>
      <c r="G269" s="54">
        <f t="shared" si="81"/>
        <v>1041.8744641536002</v>
      </c>
      <c r="H269" s="54">
        <f t="shared" si="81"/>
        <v>893.03525498880003</v>
      </c>
      <c r="I269" s="54">
        <f t="shared" si="81"/>
        <v>0</v>
      </c>
      <c r="J269" s="54">
        <f t="shared" si="81"/>
        <v>893.03525498880003</v>
      </c>
      <c r="K269" s="54">
        <f t="shared" si="81"/>
        <v>1041.8744641536002</v>
      </c>
      <c r="L269" s="54">
        <f t="shared" si="81"/>
        <v>1190.7136733184002</v>
      </c>
      <c r="M269" s="54">
        <f t="shared" si="81"/>
        <v>1326.8000000000002</v>
      </c>
      <c r="N269" s="54">
        <f t="shared" si="81"/>
        <v>1326.8000000000002</v>
      </c>
      <c r="O269" s="54">
        <f t="shared" si="81"/>
        <v>1326.8000000000002</v>
      </c>
      <c r="P269" s="62">
        <f>SUM(D269:O269)</f>
        <v>12584.304907059199</v>
      </c>
      <c r="Q269" s="12"/>
      <c r="R269" s="12"/>
      <c r="S269" s="12"/>
      <c r="T269" s="12"/>
      <c r="U269" s="12"/>
      <c r="V269" s="12"/>
      <c r="W269" s="12"/>
    </row>
    <row r="270" spans="2:23" s="7" customFormat="1">
      <c r="B270" s="40"/>
      <c r="C270" s="15" t="s">
        <v>111</v>
      </c>
      <c r="D270" s="54">
        <f>D268-D269</f>
        <v>7898.8</v>
      </c>
      <c r="E270" s="54">
        <f t="shared" ref="E270:O270" si="82">E268-E269</f>
        <v>6202.5610622976001</v>
      </c>
      <c r="F270" s="54">
        <f t="shared" si="82"/>
        <v>6260.9839294464</v>
      </c>
      <c r="G270" s="54">
        <f t="shared" si="82"/>
        <v>6260.9839294464</v>
      </c>
      <c r="H270" s="54">
        <f t="shared" si="82"/>
        <v>5366.5576538112</v>
      </c>
      <c r="I270" s="54">
        <f t="shared" si="82"/>
        <v>0</v>
      </c>
      <c r="J270" s="54">
        <f t="shared" si="82"/>
        <v>5366.5576538112</v>
      </c>
      <c r="K270" s="54">
        <f t="shared" si="82"/>
        <v>6260.9839294464</v>
      </c>
      <c r="L270" s="54">
        <f t="shared" si="82"/>
        <v>7155.4102050816</v>
      </c>
      <c r="M270" s="54">
        <f t="shared" si="82"/>
        <v>7973.2</v>
      </c>
      <c r="N270" s="54">
        <f t="shared" si="82"/>
        <v>7973.2</v>
      </c>
      <c r="O270" s="54">
        <f t="shared" si="82"/>
        <v>7973.2</v>
      </c>
      <c r="P270" s="62">
        <f>SUM(D270:O270)</f>
        <v>74692.4383633408</v>
      </c>
      <c r="Q270" s="12"/>
      <c r="R270" s="12"/>
      <c r="S270" s="12"/>
      <c r="T270" s="12"/>
      <c r="U270" s="12"/>
      <c r="V270" s="12"/>
      <c r="W270" s="12"/>
    </row>
    <row r="271" spans="2:23" s="7" customFormat="1">
      <c r="B271" s="71" t="s">
        <v>703</v>
      </c>
      <c r="C271" s="15" t="s">
        <v>390</v>
      </c>
      <c r="D271" s="80">
        <f>Price4_36MoPr(VarCostByProduct,B271)</f>
        <v>7.5</v>
      </c>
      <c r="E271" s="12"/>
      <c r="F271" s="12"/>
      <c r="G271" s="12"/>
      <c r="H271" s="70"/>
      <c r="I271" s="12"/>
      <c r="J271" s="12"/>
      <c r="K271" s="12"/>
      <c r="L271" s="12"/>
      <c r="M271" s="12"/>
      <c r="N271" s="12"/>
      <c r="O271" s="12"/>
      <c r="P271" s="62"/>
      <c r="Q271" s="12"/>
      <c r="R271" s="12"/>
      <c r="S271" s="12"/>
      <c r="T271" s="12"/>
      <c r="U271" s="12"/>
      <c r="V271" s="12"/>
      <c r="W271" s="12"/>
    </row>
    <row r="272" spans="2:23" s="7" customFormat="1">
      <c r="B272" s="40"/>
      <c r="C272" s="15" t="s">
        <v>121</v>
      </c>
      <c r="D272" s="79">
        <f>Varcosts4_36MoPr(VarCostByProduct,B271)</f>
        <v>1.07</v>
      </c>
      <c r="E272" s="12"/>
      <c r="F272" s="12"/>
      <c r="G272" s="12"/>
      <c r="H272" s="12"/>
      <c r="I272" s="12"/>
      <c r="J272" s="12"/>
      <c r="K272" s="12"/>
      <c r="L272" s="12"/>
      <c r="M272" s="12"/>
      <c r="N272" s="12"/>
      <c r="O272" s="12"/>
      <c r="P272" s="62"/>
      <c r="Q272" s="12"/>
      <c r="R272" s="12"/>
      <c r="S272" s="12"/>
      <c r="T272" s="12"/>
      <c r="U272" s="12"/>
      <c r="V272" s="12"/>
      <c r="W272" s="12"/>
    </row>
    <row r="273" spans="2:23" s="7" customFormat="1">
      <c r="B273" s="40"/>
      <c r="C273" s="78" t="s">
        <v>114</v>
      </c>
      <c r="D273" s="81">
        <f>Sales4_36MoPr(SalesJan,"FY-3",$B271)</f>
        <v>1240</v>
      </c>
      <c r="E273" s="81">
        <f>Sales4_36MoPr(SalesFeb,"FY-3",$B271)</f>
        <v>1240</v>
      </c>
      <c r="F273" s="81">
        <f>Sales4_36MoPr(SalesMar,"FY-3",$B271)</f>
        <v>910.48624128000006</v>
      </c>
      <c r="G273" s="81">
        <f>Sales4_36MoPr(SalesApr,"FY-3",$B271)</f>
        <v>708.15596544000016</v>
      </c>
      <c r="H273" s="81">
        <f>Sales4_36MoPr(SalesMay,"FY-3",$B271)</f>
        <v>0</v>
      </c>
      <c r="I273" s="81">
        <f>Sales4_36MoPr(SalesJun,"FY-3",$B271)</f>
        <v>0</v>
      </c>
      <c r="J273" s="81">
        <f>Sales4_36MoPr(SalesJul,"FY-3",$B271)</f>
        <v>0</v>
      </c>
      <c r="K273" s="81">
        <f>Sales4_36MoPr(SalesAug,"FY-3",$B271)</f>
        <v>0</v>
      </c>
      <c r="L273" s="81">
        <f>Sales4_36MoPr(SalesSep,"FY-3",$B271)</f>
        <v>0</v>
      </c>
      <c r="M273" s="81">
        <f>Sales4_36MoPr(SalesOct,"FY-3",$B271)</f>
        <v>1112.8165171200001</v>
      </c>
      <c r="N273" s="81">
        <f>Sales4_36MoPr(SalesNov,"FY-3",$B271)</f>
        <v>1240</v>
      </c>
      <c r="O273" s="81">
        <f>Sales4_36MoPr(SalesDec,"FY-3",$B271)</f>
        <v>1240</v>
      </c>
      <c r="P273" s="938">
        <f>SUM(D273:O273)</f>
        <v>7691.4587238399999</v>
      </c>
      <c r="Q273" s="12"/>
      <c r="R273" s="12"/>
      <c r="S273" s="12"/>
      <c r="T273" s="12"/>
      <c r="U273" s="12"/>
      <c r="V273" s="12"/>
      <c r="W273" s="12"/>
    </row>
    <row r="274" spans="2:23" s="7" customFormat="1">
      <c r="B274" s="69"/>
      <c r="C274" s="15" t="s">
        <v>113</v>
      </c>
      <c r="D274" s="54">
        <f t="shared" ref="D274:O274" si="83">D273*$D271</f>
        <v>9300</v>
      </c>
      <c r="E274" s="54">
        <f t="shared" si="83"/>
        <v>9300</v>
      </c>
      <c r="F274" s="54">
        <f t="shared" si="83"/>
        <v>6828.6468096000008</v>
      </c>
      <c r="G274" s="54">
        <f t="shared" si="83"/>
        <v>5311.1697408000009</v>
      </c>
      <c r="H274" s="54">
        <f t="shared" si="83"/>
        <v>0</v>
      </c>
      <c r="I274" s="54">
        <f t="shared" si="83"/>
        <v>0</v>
      </c>
      <c r="J274" s="54">
        <f t="shared" si="83"/>
        <v>0</v>
      </c>
      <c r="K274" s="54">
        <f t="shared" si="83"/>
        <v>0</v>
      </c>
      <c r="L274" s="54">
        <f t="shared" si="83"/>
        <v>0</v>
      </c>
      <c r="M274" s="54">
        <f t="shared" si="83"/>
        <v>8346.1238783999997</v>
      </c>
      <c r="N274" s="54">
        <f t="shared" si="83"/>
        <v>9300</v>
      </c>
      <c r="O274" s="54">
        <f t="shared" si="83"/>
        <v>9300</v>
      </c>
      <c r="P274" s="62">
        <f>SUM(D274:O274)</f>
        <v>57685.940428800001</v>
      </c>
      <c r="Q274" s="12"/>
      <c r="R274" s="12"/>
      <c r="S274" s="12"/>
      <c r="T274" s="12"/>
      <c r="U274" s="12"/>
      <c r="V274" s="12"/>
      <c r="W274" s="12"/>
    </row>
    <row r="275" spans="2:23" s="7" customFormat="1">
      <c r="B275" s="40"/>
      <c r="C275" s="15" t="s">
        <v>112</v>
      </c>
      <c r="D275" s="54">
        <f>D273*$D$80</f>
        <v>1401.1999999999998</v>
      </c>
      <c r="E275" s="54">
        <f>E273*$D$80</f>
        <v>1401.1999999999998</v>
      </c>
      <c r="F275" s="54">
        <f t="shared" ref="F275:O275" si="84">F273*$D272</f>
        <v>974.22027816960008</v>
      </c>
      <c r="G275" s="54">
        <f t="shared" si="84"/>
        <v>757.72688302080019</v>
      </c>
      <c r="H275" s="54">
        <f t="shared" si="84"/>
        <v>0</v>
      </c>
      <c r="I275" s="54">
        <f t="shared" si="84"/>
        <v>0</v>
      </c>
      <c r="J275" s="54">
        <f t="shared" si="84"/>
        <v>0</v>
      </c>
      <c r="K275" s="54">
        <f t="shared" si="84"/>
        <v>0</v>
      </c>
      <c r="L275" s="54">
        <f t="shared" si="84"/>
        <v>0</v>
      </c>
      <c r="M275" s="54">
        <f t="shared" si="84"/>
        <v>1190.7136733184002</v>
      </c>
      <c r="N275" s="54">
        <f t="shared" si="84"/>
        <v>1326.8000000000002</v>
      </c>
      <c r="O275" s="54">
        <f t="shared" si="84"/>
        <v>1326.8000000000002</v>
      </c>
      <c r="P275" s="62">
        <f>SUM(D275:O275)</f>
        <v>8378.6608345088007</v>
      </c>
      <c r="Q275" s="12"/>
      <c r="R275" s="12"/>
      <c r="S275" s="12"/>
      <c r="T275" s="12"/>
      <c r="U275" s="12"/>
      <c r="V275" s="12"/>
      <c r="W275" s="12"/>
    </row>
    <row r="276" spans="2:23" s="7" customFormat="1">
      <c r="B276" s="40"/>
      <c r="C276" s="15" t="s">
        <v>111</v>
      </c>
      <c r="D276" s="54">
        <f>D274-D275</f>
        <v>7898.8</v>
      </c>
      <c r="E276" s="54">
        <f t="shared" ref="E276:O276" si="85">E274-E275</f>
        <v>7898.8</v>
      </c>
      <c r="F276" s="54">
        <f t="shared" si="85"/>
        <v>5854.4265314304012</v>
      </c>
      <c r="G276" s="54">
        <f t="shared" si="85"/>
        <v>4553.4428577792005</v>
      </c>
      <c r="H276" s="54">
        <f t="shared" si="85"/>
        <v>0</v>
      </c>
      <c r="I276" s="54">
        <f t="shared" si="85"/>
        <v>0</v>
      </c>
      <c r="J276" s="54">
        <f t="shared" si="85"/>
        <v>0</v>
      </c>
      <c r="K276" s="54">
        <f t="shared" si="85"/>
        <v>0</v>
      </c>
      <c r="L276" s="54">
        <f t="shared" si="85"/>
        <v>0</v>
      </c>
      <c r="M276" s="54">
        <f t="shared" si="85"/>
        <v>7155.4102050816</v>
      </c>
      <c r="N276" s="54">
        <f t="shared" si="85"/>
        <v>7973.2</v>
      </c>
      <c r="O276" s="54">
        <f t="shared" si="85"/>
        <v>7973.2</v>
      </c>
      <c r="P276" s="62">
        <f>SUM(D276:O276)</f>
        <v>49307.279594291198</v>
      </c>
      <c r="Q276" s="12"/>
      <c r="R276" s="12"/>
      <c r="S276" s="12"/>
      <c r="T276" s="12"/>
      <c r="U276" s="12"/>
      <c r="V276" s="12"/>
      <c r="W276" s="12"/>
    </row>
    <row r="277" spans="2:23" s="7" customFormat="1">
      <c r="B277" s="71" t="s">
        <v>704</v>
      </c>
      <c r="C277" s="15" t="s">
        <v>390</v>
      </c>
      <c r="D277" s="80">
        <f>Price4_36MoPr(VarCostByProduct,B277)</f>
        <v>3.3</v>
      </c>
      <c r="E277" s="12"/>
      <c r="F277" s="12"/>
      <c r="G277" s="12"/>
      <c r="H277" s="70"/>
      <c r="I277" s="12"/>
      <c r="J277" s="12"/>
      <c r="K277" s="12"/>
      <c r="L277" s="12"/>
      <c r="M277" s="12"/>
      <c r="N277" s="12"/>
      <c r="O277" s="12"/>
      <c r="P277" s="62"/>
      <c r="Q277" s="12"/>
      <c r="R277" s="12"/>
      <c r="S277" s="12"/>
      <c r="T277" s="12"/>
      <c r="U277" s="12"/>
      <c r="V277" s="12"/>
      <c r="W277" s="12"/>
    </row>
    <row r="278" spans="2:23" s="7" customFormat="1">
      <c r="B278" s="40"/>
      <c r="C278" s="15" t="s">
        <v>121</v>
      </c>
      <c r="D278" s="79">
        <f>Varcosts4_36MoPr(VarCostByProduct,B277)</f>
        <v>1.0900000000000001</v>
      </c>
      <c r="E278" s="12"/>
      <c r="F278" s="12"/>
      <c r="G278" s="12"/>
      <c r="H278" s="12"/>
      <c r="I278" s="12"/>
      <c r="J278" s="12"/>
      <c r="K278" s="12"/>
      <c r="L278" s="12"/>
      <c r="M278" s="12"/>
      <c r="N278" s="12"/>
      <c r="O278" s="12"/>
      <c r="P278" s="62"/>
      <c r="Q278" s="12"/>
      <c r="R278" s="12"/>
      <c r="S278" s="12"/>
      <c r="T278" s="12"/>
      <c r="U278" s="12"/>
      <c r="V278" s="12"/>
      <c r="W278" s="12"/>
    </row>
    <row r="279" spans="2:23" s="7" customFormat="1">
      <c r="B279" s="40"/>
      <c r="C279" s="78" t="s">
        <v>114</v>
      </c>
      <c r="D279" s="81">
        <f>Sales4_36MoPr(SalesJan,"FY-3",$B277)</f>
        <v>3243.7423061140748</v>
      </c>
      <c r="E279" s="81">
        <f>Sales4_36MoPr(SalesFeb,"FY-3",$B277)</f>
        <v>3243.7423061140748</v>
      </c>
      <c r="F279" s="81">
        <f>Sales4_36MoPr(SalesMar,"FY-3",$B277)</f>
        <v>3314.4654088050315</v>
      </c>
      <c r="G279" s="81">
        <f>Sales4_36MoPr(SalesApr,"FY-3",$B277)</f>
        <v>4489.1998783084882</v>
      </c>
      <c r="H279" s="81">
        <f>Sales4_36MoPr(SalesMay,"FY-3",$B277)</f>
        <v>5374.3979519999993</v>
      </c>
      <c r="I279" s="81">
        <f>Sales4_36MoPr(SalesJun,"FY-3",$B277)</f>
        <v>7733.752620545074</v>
      </c>
      <c r="J279" s="81">
        <f>Sales4_36MoPr(SalesJul,"FY-3",$B277)</f>
        <v>7733.752620545074</v>
      </c>
      <c r="K279" s="81">
        <f>Sales4_36MoPr(SalesAug,"FY-3",$B277)</f>
        <v>7733.752620545074</v>
      </c>
      <c r="L279" s="81">
        <f>Sales4_36MoPr(SalesSep,"FY-3",$B277)</f>
        <v>6628.9308176100621</v>
      </c>
      <c r="M279" s="81">
        <f>Sales4_36MoPr(SalesOct,"FY-3",$B277)</f>
        <v>5457.9976985040275</v>
      </c>
      <c r="N279" s="81">
        <f>Sales4_36MoPr(SalesNov,"FY-3",$B277)</f>
        <v>4489.1998783084882</v>
      </c>
      <c r="O279" s="81">
        <f>Sales4_36MoPr(SalesDec,"FY-3",$B277)</f>
        <v>4489.1998783084882</v>
      </c>
      <c r="P279" s="938">
        <f>SUM(D279:O279)</f>
        <v>63932.133985707944</v>
      </c>
      <c r="Q279" s="12"/>
      <c r="R279" s="12"/>
      <c r="S279" s="12"/>
      <c r="T279" s="12"/>
      <c r="U279" s="12"/>
      <c r="V279" s="12"/>
      <c r="W279" s="12"/>
    </row>
    <row r="280" spans="2:23" s="7" customFormat="1">
      <c r="B280" s="69"/>
      <c r="C280" s="15" t="s">
        <v>113</v>
      </c>
      <c r="D280" s="54">
        <f t="shared" ref="D280:O280" si="86">D279*$D277</f>
        <v>10704.349610176447</v>
      </c>
      <c r="E280" s="54">
        <f t="shared" si="86"/>
        <v>10704.349610176447</v>
      </c>
      <c r="F280" s="54">
        <f t="shared" si="86"/>
        <v>10937.735849056604</v>
      </c>
      <c r="G280" s="54">
        <f t="shared" si="86"/>
        <v>14814.35959841801</v>
      </c>
      <c r="H280" s="54">
        <f t="shared" si="86"/>
        <v>17735.513241599998</v>
      </c>
      <c r="I280" s="54">
        <f t="shared" si="86"/>
        <v>25521.383647798742</v>
      </c>
      <c r="J280" s="54">
        <f t="shared" si="86"/>
        <v>25521.383647798742</v>
      </c>
      <c r="K280" s="54">
        <f t="shared" si="86"/>
        <v>25521.383647798742</v>
      </c>
      <c r="L280" s="54">
        <f t="shared" si="86"/>
        <v>21875.471698113204</v>
      </c>
      <c r="M280" s="54">
        <f t="shared" si="86"/>
        <v>18011.392405063289</v>
      </c>
      <c r="N280" s="54">
        <f t="shared" si="86"/>
        <v>14814.35959841801</v>
      </c>
      <c r="O280" s="54">
        <f t="shared" si="86"/>
        <v>14814.35959841801</v>
      </c>
      <c r="P280" s="62">
        <f>SUM(D280:O280)</f>
        <v>210976.04215283619</v>
      </c>
      <c r="Q280" s="12"/>
      <c r="R280" s="12"/>
      <c r="S280" s="12"/>
      <c r="T280" s="12"/>
      <c r="U280" s="12"/>
      <c r="V280" s="12"/>
      <c r="W280" s="12"/>
    </row>
    <row r="281" spans="2:23" s="7" customFormat="1">
      <c r="B281" s="40"/>
      <c r="C281" s="15" t="s">
        <v>112</v>
      </c>
      <c r="D281" s="54">
        <f>D279*$D$80</f>
        <v>3665.428805908904</v>
      </c>
      <c r="E281" s="54">
        <f>E279*$D$80</f>
        <v>3665.428805908904</v>
      </c>
      <c r="F281" s="54">
        <f t="shared" ref="F281:O281" si="87">F279*$D278</f>
        <v>3612.7672955974845</v>
      </c>
      <c r="G281" s="54">
        <f t="shared" si="87"/>
        <v>4893.2278673562523</v>
      </c>
      <c r="H281" s="54">
        <f t="shared" si="87"/>
        <v>5858.0937676799995</v>
      </c>
      <c r="I281" s="54">
        <f t="shared" si="87"/>
        <v>8429.7903563941309</v>
      </c>
      <c r="J281" s="54">
        <f t="shared" si="87"/>
        <v>8429.7903563941309</v>
      </c>
      <c r="K281" s="54">
        <f t="shared" si="87"/>
        <v>8429.7903563941309</v>
      </c>
      <c r="L281" s="54">
        <f t="shared" si="87"/>
        <v>7225.534591194968</v>
      </c>
      <c r="M281" s="54">
        <f t="shared" si="87"/>
        <v>5949.2174913693907</v>
      </c>
      <c r="N281" s="54">
        <f t="shared" si="87"/>
        <v>4893.2278673562523</v>
      </c>
      <c r="O281" s="54">
        <f t="shared" si="87"/>
        <v>4893.2278673562523</v>
      </c>
      <c r="P281" s="62">
        <f>SUM(D281:O281)</f>
        <v>69945.525428910798</v>
      </c>
      <c r="Q281" s="12"/>
      <c r="R281" s="12"/>
      <c r="S281" s="12"/>
      <c r="T281" s="12"/>
      <c r="U281" s="12"/>
      <c r="V281" s="12"/>
      <c r="W281" s="12"/>
    </row>
    <row r="282" spans="2:23" s="7" customFormat="1">
      <c r="B282" s="40"/>
      <c r="C282" s="15" t="s">
        <v>111</v>
      </c>
      <c r="D282" s="54">
        <f>D280-D281</f>
        <v>7038.9208042675427</v>
      </c>
      <c r="E282" s="54">
        <f t="shared" ref="E282:O282" si="88">E280-E281</f>
        <v>7038.9208042675427</v>
      </c>
      <c r="F282" s="54">
        <f t="shared" si="88"/>
        <v>7324.968553459119</v>
      </c>
      <c r="G282" s="54">
        <f t="shared" si="88"/>
        <v>9921.1317310617578</v>
      </c>
      <c r="H282" s="54">
        <f t="shared" si="88"/>
        <v>11877.419473919999</v>
      </c>
      <c r="I282" s="54">
        <f t="shared" si="88"/>
        <v>17091.593291404613</v>
      </c>
      <c r="J282" s="54">
        <f t="shared" si="88"/>
        <v>17091.593291404613</v>
      </c>
      <c r="K282" s="54">
        <f t="shared" si="88"/>
        <v>17091.593291404613</v>
      </c>
      <c r="L282" s="54">
        <f t="shared" si="88"/>
        <v>14649.937106918236</v>
      </c>
      <c r="M282" s="54">
        <f t="shared" si="88"/>
        <v>12062.174913693898</v>
      </c>
      <c r="N282" s="54">
        <f t="shared" si="88"/>
        <v>9921.1317310617578</v>
      </c>
      <c r="O282" s="54">
        <f t="shared" si="88"/>
        <v>9921.1317310617578</v>
      </c>
      <c r="P282" s="62">
        <f>SUM(D282:O282)</f>
        <v>141030.51672392545</v>
      </c>
      <c r="Q282" s="12"/>
      <c r="R282" s="12"/>
      <c r="S282" s="12"/>
      <c r="T282" s="12"/>
      <c r="U282" s="12"/>
      <c r="V282" s="12"/>
      <c r="W282" s="12"/>
    </row>
    <row r="283" spans="2:23" s="7" customFormat="1">
      <c r="B283" s="71" t="s">
        <v>705</v>
      </c>
      <c r="C283" s="15" t="s">
        <v>390</v>
      </c>
      <c r="D283" s="80">
        <f>Price4_36MoPr(VarCostByProduct,B283)</f>
        <v>3.3</v>
      </c>
      <c r="E283" s="12"/>
      <c r="F283" s="12"/>
      <c r="G283" s="12"/>
      <c r="H283" s="70"/>
      <c r="I283" s="12"/>
      <c r="J283" s="12"/>
      <c r="K283" s="12"/>
      <c r="L283" s="12"/>
      <c r="M283" s="12"/>
      <c r="N283" s="12"/>
      <c r="O283" s="12"/>
      <c r="P283" s="62"/>
      <c r="Q283" s="12"/>
      <c r="R283" s="12"/>
      <c r="S283" s="12"/>
      <c r="T283" s="12"/>
      <c r="U283" s="12"/>
      <c r="V283" s="12"/>
      <c r="W283" s="12"/>
    </row>
    <row r="284" spans="2:23" s="7" customFormat="1">
      <c r="B284" s="40"/>
      <c r="C284" s="15" t="s">
        <v>121</v>
      </c>
      <c r="D284" s="79">
        <f>Varcosts4_36MoPr(VarCostByProduct,B283)</f>
        <v>1.0900000000000001</v>
      </c>
      <c r="E284" s="12"/>
      <c r="F284" s="12"/>
      <c r="G284" s="12"/>
      <c r="H284" s="12"/>
      <c r="I284" s="12"/>
      <c r="J284" s="12"/>
      <c r="K284" s="12"/>
      <c r="L284" s="12"/>
      <c r="M284" s="12"/>
      <c r="N284" s="12"/>
      <c r="O284" s="12"/>
      <c r="P284" s="62"/>
      <c r="Q284" s="12"/>
      <c r="R284" s="12"/>
      <c r="S284" s="12"/>
      <c r="T284" s="12"/>
      <c r="U284" s="12"/>
      <c r="V284" s="12"/>
      <c r="W284" s="12"/>
    </row>
    <row r="285" spans="2:23" s="7" customFormat="1">
      <c r="B285" s="40"/>
      <c r="C285" s="78" t="s">
        <v>114</v>
      </c>
      <c r="D285" s="81">
        <f>Sales4_36MoPr(SalesJan,"FY-3",$B283)</f>
        <v>3243.7423061140748</v>
      </c>
      <c r="E285" s="81">
        <f>Sales4_36MoPr(SalesFeb,"FY-3",$B283)</f>
        <v>3243.7423061140748</v>
      </c>
      <c r="F285" s="81">
        <f>Sales4_36MoPr(SalesMar,"FY-3",$B283)</f>
        <v>3314.4654088050315</v>
      </c>
      <c r="G285" s="81">
        <f>Sales4_36MoPr(SalesApr,"FY-3",$B283)</f>
        <v>4419.287211740042</v>
      </c>
      <c r="H285" s="81">
        <f>Sales4_36MoPr(SalesMay,"FY-3",$B283)</f>
        <v>5374.3979519999993</v>
      </c>
      <c r="I285" s="81">
        <f>Sales4_36MoPr(SalesJun,"FY-3",$B283)</f>
        <v>6557.4450435503941</v>
      </c>
      <c r="J285" s="81">
        <f>Sales4_36MoPr(SalesJul,"FY-3",$B283)</f>
        <v>6563.8799773542187</v>
      </c>
      <c r="K285" s="81">
        <f>Sales4_36MoPr(SalesAug,"FY-3",$B283)</f>
        <v>7804.6544428772904</v>
      </c>
      <c r="L285" s="81">
        <f>Sales4_36MoPr(SalesSep,"FY-3",$B283)</f>
        <v>7876.868327402135</v>
      </c>
      <c r="M285" s="81">
        <f>Sales4_36MoPr(SalesOct,"FY-3",$B283)</f>
        <v>6695.2839268527423</v>
      </c>
      <c r="N285" s="81">
        <f>Sales4_36MoPr(SalesNov,"FY-3",$B283)</f>
        <v>4489.1998783084882</v>
      </c>
      <c r="O285" s="81">
        <f>Sales4_36MoPr(SalesDec,"FY-3",$B283)</f>
        <v>3255.3191489361702</v>
      </c>
      <c r="P285" s="938">
        <f>SUM(D285:O285)</f>
        <v>62838.285930054662</v>
      </c>
      <c r="Q285" s="12"/>
      <c r="R285" s="12"/>
      <c r="S285" s="12"/>
      <c r="T285" s="12"/>
      <c r="U285" s="12"/>
      <c r="V285" s="12"/>
      <c r="W285" s="12"/>
    </row>
    <row r="286" spans="2:23" s="7" customFormat="1">
      <c r="B286" s="69"/>
      <c r="C286" s="15" t="s">
        <v>113</v>
      </c>
      <c r="D286" s="54">
        <f t="shared" ref="D286:O286" si="89">D285*$D283</f>
        <v>10704.349610176447</v>
      </c>
      <c r="E286" s="54">
        <f t="shared" si="89"/>
        <v>10704.349610176447</v>
      </c>
      <c r="F286" s="54">
        <f t="shared" si="89"/>
        <v>10937.735849056604</v>
      </c>
      <c r="G286" s="54">
        <f t="shared" si="89"/>
        <v>14583.647798742139</v>
      </c>
      <c r="H286" s="54">
        <f t="shared" si="89"/>
        <v>17735.513241599998</v>
      </c>
      <c r="I286" s="54">
        <f t="shared" si="89"/>
        <v>21639.568643716299</v>
      </c>
      <c r="J286" s="54">
        <f t="shared" si="89"/>
        <v>21660.80392526892</v>
      </c>
      <c r="K286" s="54">
        <f t="shared" si="89"/>
        <v>25755.359661495058</v>
      </c>
      <c r="L286" s="54">
        <f t="shared" si="89"/>
        <v>25993.665480427044</v>
      </c>
      <c r="M286" s="54">
        <f t="shared" si="89"/>
        <v>22094.436958614049</v>
      </c>
      <c r="N286" s="54">
        <f t="shared" si="89"/>
        <v>14814.35959841801</v>
      </c>
      <c r="O286" s="54">
        <f t="shared" si="89"/>
        <v>10742.553191489362</v>
      </c>
      <c r="P286" s="62">
        <f>SUM(D286:O286)</f>
        <v>207366.34356918035</v>
      </c>
      <c r="Q286" s="12"/>
      <c r="R286" s="12"/>
      <c r="S286" s="12"/>
      <c r="T286" s="12"/>
      <c r="U286" s="12"/>
      <c r="V286" s="12"/>
      <c r="W286" s="12"/>
    </row>
    <row r="287" spans="2:23" s="7" customFormat="1">
      <c r="B287" s="40"/>
      <c r="C287" s="15" t="s">
        <v>112</v>
      </c>
      <c r="D287" s="54">
        <f>D285*$D$80</f>
        <v>3665.428805908904</v>
      </c>
      <c r="E287" s="54">
        <f>E285*$D$80</f>
        <v>3665.428805908904</v>
      </c>
      <c r="F287" s="54">
        <f t="shared" ref="F287:O287" si="90">F285*$D284</f>
        <v>3612.7672955974845</v>
      </c>
      <c r="G287" s="54">
        <f t="shared" si="90"/>
        <v>4817.023060796646</v>
      </c>
      <c r="H287" s="54">
        <f t="shared" si="90"/>
        <v>5858.0937676799995</v>
      </c>
      <c r="I287" s="54">
        <f t="shared" si="90"/>
        <v>7147.6150974699303</v>
      </c>
      <c r="J287" s="54">
        <f t="shared" si="90"/>
        <v>7154.6291753160986</v>
      </c>
      <c r="K287" s="54">
        <f t="shared" si="90"/>
        <v>8507.0733427362466</v>
      </c>
      <c r="L287" s="54">
        <f t="shared" si="90"/>
        <v>8585.7864768683285</v>
      </c>
      <c r="M287" s="54">
        <f t="shared" si="90"/>
        <v>7297.8594802694897</v>
      </c>
      <c r="N287" s="54">
        <f t="shared" si="90"/>
        <v>4893.2278673562523</v>
      </c>
      <c r="O287" s="54">
        <f t="shared" si="90"/>
        <v>3548.2978723404258</v>
      </c>
      <c r="P287" s="62">
        <f>SUM(D287:O287)</f>
        <v>68753.231048248708</v>
      </c>
      <c r="Q287" s="12"/>
      <c r="R287" s="12"/>
      <c r="S287" s="12"/>
      <c r="T287" s="12"/>
      <c r="U287" s="12"/>
      <c r="V287" s="12"/>
      <c r="W287" s="12"/>
    </row>
    <row r="288" spans="2:23" s="7" customFormat="1">
      <c r="B288" s="40"/>
      <c r="C288" s="15" t="s">
        <v>111</v>
      </c>
      <c r="D288" s="54">
        <f>D286-D287</f>
        <v>7038.9208042675427</v>
      </c>
      <c r="E288" s="54">
        <f t="shared" ref="E288:O288" si="91">E286-E287</f>
        <v>7038.9208042675427</v>
      </c>
      <c r="F288" s="54">
        <f t="shared" si="91"/>
        <v>7324.968553459119</v>
      </c>
      <c r="G288" s="54">
        <f t="shared" si="91"/>
        <v>9766.6247379454926</v>
      </c>
      <c r="H288" s="54">
        <f t="shared" si="91"/>
        <v>11877.419473919999</v>
      </c>
      <c r="I288" s="54">
        <f t="shared" si="91"/>
        <v>14491.953546246368</v>
      </c>
      <c r="J288" s="54">
        <f t="shared" si="91"/>
        <v>14506.174749952821</v>
      </c>
      <c r="K288" s="54">
        <f t="shared" si="91"/>
        <v>17248.286318758812</v>
      </c>
      <c r="L288" s="54">
        <f t="shared" si="91"/>
        <v>17407.879003558715</v>
      </c>
      <c r="M288" s="54">
        <f t="shared" si="91"/>
        <v>14796.577478344559</v>
      </c>
      <c r="N288" s="54">
        <f t="shared" si="91"/>
        <v>9921.1317310617578</v>
      </c>
      <c r="O288" s="54">
        <f t="shared" si="91"/>
        <v>7194.255319148936</v>
      </c>
      <c r="P288" s="62">
        <f>SUM(D288:O288)</f>
        <v>138613.11252093167</v>
      </c>
      <c r="Q288" s="12"/>
      <c r="R288" s="12"/>
      <c r="S288" s="12"/>
      <c r="T288" s="12"/>
      <c r="U288" s="12"/>
      <c r="V288" s="12"/>
      <c r="W288" s="12"/>
    </row>
    <row r="289" spans="2:23" s="7" customFormat="1">
      <c r="B289" s="71" t="s">
        <v>706</v>
      </c>
      <c r="C289" s="15" t="s">
        <v>390</v>
      </c>
      <c r="D289" s="80">
        <f>Price4_36MoPr(VarCostByProduct,B289)</f>
        <v>6</v>
      </c>
      <c r="E289" s="12"/>
      <c r="F289" s="12"/>
      <c r="G289" s="12"/>
      <c r="H289" s="70"/>
      <c r="I289" s="12"/>
      <c r="J289" s="12"/>
      <c r="K289" s="12"/>
      <c r="L289" s="12"/>
      <c r="M289" s="12"/>
      <c r="N289" s="12"/>
      <c r="O289" s="12"/>
      <c r="P289" s="62"/>
      <c r="Q289" s="12"/>
      <c r="R289" s="12"/>
      <c r="S289" s="12"/>
      <c r="T289" s="12"/>
      <c r="U289" s="12"/>
      <c r="V289" s="12"/>
      <c r="W289" s="12"/>
    </row>
    <row r="290" spans="2:23" s="7" customFormat="1">
      <c r="B290" s="40"/>
      <c r="C290" s="15" t="s">
        <v>121</v>
      </c>
      <c r="D290" s="79">
        <f>Varcosts4_36MoPr(VarCostByProduct,B289)</f>
        <v>1.1000000000000001</v>
      </c>
      <c r="E290" s="12"/>
      <c r="F290" s="12"/>
      <c r="G290" s="12"/>
      <c r="H290" s="12"/>
      <c r="I290" s="12"/>
      <c r="J290" s="12"/>
      <c r="K290" s="12"/>
      <c r="L290" s="12"/>
      <c r="M290" s="12"/>
      <c r="N290" s="12"/>
      <c r="O290" s="12"/>
      <c r="P290" s="62"/>
      <c r="Q290" s="12"/>
      <c r="R290" s="12"/>
      <c r="S290" s="12"/>
      <c r="T290" s="12"/>
      <c r="U290" s="12"/>
      <c r="V290" s="12"/>
      <c r="W290" s="12"/>
    </row>
    <row r="291" spans="2:23" s="7" customFormat="1">
      <c r="B291" s="40"/>
      <c r="C291" s="78" t="s">
        <v>114</v>
      </c>
      <c r="D291" s="81">
        <f>Sales4_36MoPr(SalesJan,"FY-3",$B289)</f>
        <v>0</v>
      </c>
      <c r="E291" s="81">
        <f>Sales4_36MoPr(SalesFeb,"FY-3",$B289)</f>
        <v>266.28554751999945</v>
      </c>
      <c r="F291" s="81">
        <f>Sales4_36MoPr(SalesMar,"FY-3",$B289)</f>
        <v>1114.9976985600006</v>
      </c>
      <c r="G291" s="81">
        <f>Sales4_36MoPr(SalesApr,"FY-3",$B289)</f>
        <v>1684.7786598400016</v>
      </c>
      <c r="H291" s="81">
        <f>Sales4_36MoPr(SalesMay,"FY-3",$B289)</f>
        <v>1400.472432640001</v>
      </c>
      <c r="I291" s="81">
        <f>Sales4_36MoPr(SalesJun,"FY-3",$B289)</f>
        <v>418.76031487999717</v>
      </c>
      <c r="J291" s="81">
        <f>Sales4_36MoPr(SalesJul,"FY-3",$B289)</f>
        <v>444.051599360002</v>
      </c>
      <c r="K291" s="81">
        <f>Sales4_36MoPr(SalesAug,"FY-3",$B289)</f>
        <v>266.28554751999764</v>
      </c>
      <c r="L291" s="81">
        <f>Sales4_36MoPr(SalesSep,"FY-3",$B289)</f>
        <v>127.18348287999834</v>
      </c>
      <c r="M291" s="81">
        <f>Sales4_36MoPr(SalesOct,"FY-3",$B289)</f>
        <v>184.81593344000066</v>
      </c>
      <c r="N291" s="81">
        <f>Sales4_36MoPr(SalesNov,"FY-3",$B289)</f>
        <v>886.64907775999745</v>
      </c>
      <c r="O291" s="81">
        <f>Sales4_36MoPr(SalesDec,"FY-3",$B289)</f>
        <v>886.64907775999745</v>
      </c>
      <c r="P291" s="938">
        <f>SUM(D291:O291)</f>
        <v>7680.9293721599934</v>
      </c>
      <c r="Q291" s="12"/>
      <c r="R291" s="12"/>
      <c r="S291" s="12"/>
      <c r="T291" s="12"/>
      <c r="U291" s="12"/>
      <c r="V291" s="12"/>
      <c r="W291" s="12"/>
    </row>
    <row r="292" spans="2:23" s="7" customFormat="1">
      <c r="B292" s="69"/>
      <c r="C292" s="15" t="s">
        <v>113</v>
      </c>
      <c r="D292" s="54">
        <f t="shared" ref="D292:O292" si="92">D291*$D289</f>
        <v>0</v>
      </c>
      <c r="E292" s="54">
        <f t="shared" si="92"/>
        <v>1597.7132851199967</v>
      </c>
      <c r="F292" s="54">
        <f t="shared" si="92"/>
        <v>6689.9861913600034</v>
      </c>
      <c r="G292" s="54">
        <f t="shared" si="92"/>
        <v>10108.67195904001</v>
      </c>
      <c r="H292" s="54">
        <f t="shared" si="92"/>
        <v>8402.8345958400059</v>
      </c>
      <c r="I292" s="54">
        <f t="shared" si="92"/>
        <v>2512.561889279983</v>
      </c>
      <c r="J292" s="54">
        <f t="shared" si="92"/>
        <v>2664.309596160012</v>
      </c>
      <c r="K292" s="54">
        <f t="shared" si="92"/>
        <v>1597.7132851199858</v>
      </c>
      <c r="L292" s="54">
        <f t="shared" si="92"/>
        <v>763.10089727999002</v>
      </c>
      <c r="M292" s="54">
        <f t="shared" si="92"/>
        <v>1108.895600640004</v>
      </c>
      <c r="N292" s="54">
        <f t="shared" si="92"/>
        <v>5319.8944665599847</v>
      </c>
      <c r="O292" s="54">
        <f t="shared" si="92"/>
        <v>5319.8944665599847</v>
      </c>
      <c r="P292" s="62">
        <f>SUM(D292:O292)</f>
        <v>46085.57623295996</v>
      </c>
      <c r="Q292" s="12"/>
      <c r="R292" s="12"/>
      <c r="S292" s="12"/>
      <c r="T292" s="12"/>
      <c r="U292" s="12"/>
      <c r="V292" s="12"/>
      <c r="W292" s="12"/>
    </row>
    <row r="293" spans="2:23" s="7" customFormat="1">
      <c r="B293" s="40"/>
      <c r="C293" s="15" t="s">
        <v>112</v>
      </c>
      <c r="D293" s="54">
        <f>D291*$D$80</f>
        <v>0</v>
      </c>
      <c r="E293" s="54">
        <f>E291*$D$80</f>
        <v>300.90266869759938</v>
      </c>
      <c r="F293" s="54">
        <f t="shared" ref="F293:O293" si="93">F291*$D290</f>
        <v>1226.4974684160006</v>
      </c>
      <c r="G293" s="54">
        <f t="shared" si="93"/>
        <v>1853.256525824002</v>
      </c>
      <c r="H293" s="54">
        <f t="shared" si="93"/>
        <v>1540.5196759040011</v>
      </c>
      <c r="I293" s="54">
        <f t="shared" si="93"/>
        <v>460.63634636799691</v>
      </c>
      <c r="J293" s="54">
        <f t="shared" si="93"/>
        <v>488.45675929600225</v>
      </c>
      <c r="K293" s="54">
        <f t="shared" si="93"/>
        <v>292.91410227199742</v>
      </c>
      <c r="L293" s="54">
        <f t="shared" si="93"/>
        <v>139.90183116799818</v>
      </c>
      <c r="M293" s="54">
        <f t="shared" si="93"/>
        <v>203.29752678400075</v>
      </c>
      <c r="N293" s="54">
        <f t="shared" si="93"/>
        <v>975.31398553599729</v>
      </c>
      <c r="O293" s="54">
        <f t="shared" si="93"/>
        <v>975.31398553599729</v>
      </c>
      <c r="P293" s="62">
        <f>SUM(D293:O293)</f>
        <v>8457.010875801594</v>
      </c>
      <c r="Q293" s="12"/>
      <c r="R293" s="12"/>
      <c r="S293" s="12"/>
      <c r="T293" s="12"/>
      <c r="U293" s="12"/>
      <c r="V293" s="12"/>
      <c r="W293" s="12"/>
    </row>
    <row r="294" spans="2:23" s="7" customFormat="1">
      <c r="B294" s="40"/>
      <c r="C294" s="15" t="s">
        <v>111</v>
      </c>
      <c r="D294" s="54">
        <f>D292-D293</f>
        <v>0</v>
      </c>
      <c r="E294" s="54">
        <f t="shared" ref="E294:O294" si="94">E292-E293</f>
        <v>1296.8106164223973</v>
      </c>
      <c r="F294" s="54">
        <f t="shared" si="94"/>
        <v>5463.4887229440028</v>
      </c>
      <c r="G294" s="54">
        <f t="shared" si="94"/>
        <v>8255.4154332160069</v>
      </c>
      <c r="H294" s="54">
        <f t="shared" si="94"/>
        <v>6862.314919936005</v>
      </c>
      <c r="I294" s="54">
        <f t="shared" si="94"/>
        <v>2051.9255429119862</v>
      </c>
      <c r="J294" s="54">
        <f t="shared" si="94"/>
        <v>2175.85283686401</v>
      </c>
      <c r="K294" s="54">
        <f t="shared" si="94"/>
        <v>1304.7991828479885</v>
      </c>
      <c r="L294" s="54">
        <f t="shared" si="94"/>
        <v>623.1990661119919</v>
      </c>
      <c r="M294" s="54">
        <f t="shared" si="94"/>
        <v>905.59807385600323</v>
      </c>
      <c r="N294" s="54">
        <f t="shared" si="94"/>
        <v>4344.5804810239879</v>
      </c>
      <c r="O294" s="54">
        <f t="shared" si="94"/>
        <v>4344.5804810239879</v>
      </c>
      <c r="P294" s="62">
        <f>SUM(D294:O294)</f>
        <v>37628.565357158368</v>
      </c>
      <c r="Q294" s="12"/>
      <c r="R294" s="12"/>
      <c r="S294" s="12"/>
      <c r="T294" s="12"/>
      <c r="U294" s="12"/>
      <c r="V294" s="12"/>
      <c r="W294" s="12"/>
    </row>
    <row r="295" spans="2:23" s="7" customFormat="1">
      <c r="B295" s="40"/>
      <c r="C295" s="39"/>
      <c r="D295" s="66"/>
      <c r="E295" s="65"/>
      <c r="F295" s="65"/>
      <c r="G295" s="65"/>
      <c r="H295" s="65"/>
      <c r="I295" s="65"/>
      <c r="J295" s="65"/>
      <c r="K295" s="65"/>
      <c r="L295" s="65"/>
      <c r="M295" s="65"/>
      <c r="N295" s="65"/>
      <c r="O295" s="65"/>
      <c r="P295" s="62"/>
      <c r="Q295" s="12"/>
      <c r="R295" s="12"/>
      <c r="S295" s="12"/>
      <c r="T295" s="12"/>
      <c r="U295" s="12"/>
      <c r="V295" s="12"/>
      <c r="W295" s="12"/>
    </row>
    <row r="296" spans="2:23" s="7" customFormat="1">
      <c r="B296" s="40"/>
      <c r="C296" s="15" t="s">
        <v>110</v>
      </c>
      <c r="D296" s="68">
        <f t="shared" ref="D296:O296" si="95">SUMIF($C241:$C295,"Revenue",D241:D295)</f>
        <v>47628.822322527703</v>
      </c>
      <c r="E296" s="68">
        <f t="shared" si="95"/>
        <v>47229.394001247696</v>
      </c>
      <c r="F296" s="68">
        <f t="shared" si="95"/>
        <v>54591.528609392713</v>
      </c>
      <c r="G296" s="68">
        <f t="shared" si="95"/>
        <v>72162.942687011935</v>
      </c>
      <c r="H296" s="68">
        <f t="shared" si="95"/>
        <v>74311.921950720003</v>
      </c>
      <c r="I296" s="68">
        <f t="shared" si="95"/>
        <v>79763.230506431297</v>
      </c>
      <c r="J296" s="68">
        <f t="shared" si="95"/>
        <v>88995.049390833359</v>
      </c>
      <c r="K296" s="68">
        <f t="shared" si="95"/>
        <v>93350.058480634863</v>
      </c>
      <c r="L296" s="68">
        <f t="shared" si="95"/>
        <v>88491.968794122644</v>
      </c>
      <c r="M296" s="68">
        <f t="shared" si="95"/>
        <v>88922.352460663184</v>
      </c>
      <c r="N296" s="68">
        <f t="shared" si="95"/>
        <v>73031.547527260205</v>
      </c>
      <c r="O296" s="68">
        <f t="shared" si="95"/>
        <v>68910.786955310105</v>
      </c>
      <c r="P296" s="62">
        <f>SUM(D296:O296)</f>
        <v>877389.60368615587</v>
      </c>
      <c r="Q296" s="12"/>
      <c r="R296" s="12"/>
      <c r="S296" s="12"/>
      <c r="T296" s="12"/>
      <c r="U296" s="12"/>
      <c r="V296" s="12"/>
      <c r="W296" s="12"/>
    </row>
    <row r="297" spans="2:23" s="7" customFormat="1">
      <c r="B297" s="40"/>
      <c r="C297" s="15" t="s">
        <v>124</v>
      </c>
      <c r="D297" s="68">
        <f t="shared" ref="D297:O297" si="96">SUMIF($C241:$C295,"Expenses",D241:D295)</f>
        <v>11209.599999999999</v>
      </c>
      <c r="E297" s="68">
        <f t="shared" si="96"/>
        <v>11209.599999999999</v>
      </c>
      <c r="F297" s="68">
        <f t="shared" si="96"/>
        <v>12131.5606227807</v>
      </c>
      <c r="G297" s="68">
        <f t="shared" si="96"/>
        <v>16178.561108897666</v>
      </c>
      <c r="H297" s="68">
        <f t="shared" si="96"/>
        <v>17544.844494847999</v>
      </c>
      <c r="I297" s="68">
        <f t="shared" si="96"/>
        <v>20257.161605495603</v>
      </c>
      <c r="J297" s="68">
        <f t="shared" si="96"/>
        <v>21584.849042706086</v>
      </c>
      <c r="K297" s="68">
        <f t="shared" si="96"/>
        <v>22931.131550461341</v>
      </c>
      <c r="L297" s="68">
        <f t="shared" si="96"/>
        <v>21571.395638330039</v>
      </c>
      <c r="M297" s="68">
        <f t="shared" si="96"/>
        <v>20195.130248600097</v>
      </c>
      <c r="N297" s="68">
        <f t="shared" si="96"/>
        <v>16156.015474766629</v>
      </c>
      <c r="O297" s="68">
        <f t="shared" si="96"/>
        <v>14804.537860179184</v>
      </c>
      <c r="P297" s="62">
        <f>SUM(D297:O297)</f>
        <v>205774.38764706533</v>
      </c>
      <c r="Q297" s="12"/>
      <c r="R297" s="12"/>
      <c r="S297" s="12"/>
      <c r="T297" s="12"/>
      <c r="U297" s="12"/>
      <c r="V297" s="12"/>
      <c r="W297" s="12"/>
    </row>
    <row r="298" spans="2:23" s="7" customFormat="1">
      <c r="B298" s="40"/>
      <c r="C298" s="39" t="s">
        <v>505</v>
      </c>
      <c r="D298" s="68">
        <f t="shared" ref="D298:O298" si="97">SUMIF($C241:$C295,"Contribution",D241:D295)</f>
        <v>36419.222322527698</v>
      </c>
      <c r="E298" s="68">
        <f t="shared" si="97"/>
        <v>36019.794001247705</v>
      </c>
      <c r="F298" s="68">
        <f t="shared" si="97"/>
        <v>42459.967986612013</v>
      </c>
      <c r="G298" s="68">
        <f t="shared" si="97"/>
        <v>55984.381578114262</v>
      </c>
      <c r="H298" s="68">
        <f t="shared" si="97"/>
        <v>56767.077455872015</v>
      </c>
      <c r="I298" s="68">
        <f t="shared" si="97"/>
        <v>59506.068900935694</v>
      </c>
      <c r="J298" s="68">
        <f t="shared" si="97"/>
        <v>67410.20034812727</v>
      </c>
      <c r="K298" s="68">
        <f t="shared" si="97"/>
        <v>70418.926930173533</v>
      </c>
      <c r="L298" s="68">
        <f t="shared" si="97"/>
        <v>66920.573155792619</v>
      </c>
      <c r="M298" s="68">
        <f t="shared" si="97"/>
        <v>68727.22221206309</v>
      </c>
      <c r="N298" s="68">
        <f t="shared" si="97"/>
        <v>56875.532052493574</v>
      </c>
      <c r="O298" s="68">
        <f t="shared" si="97"/>
        <v>54106.249095130916</v>
      </c>
      <c r="P298" s="62">
        <f>SUM(D298:O298)</f>
        <v>671615.21603909042</v>
      </c>
      <c r="Q298" s="12"/>
      <c r="R298" s="12"/>
      <c r="S298" s="12"/>
      <c r="T298" s="12"/>
      <c r="U298" s="12"/>
      <c r="V298" s="12"/>
      <c r="W298" s="12"/>
    </row>
    <row r="299" spans="2:23" s="7" customFormat="1">
      <c r="B299" s="40"/>
      <c r="C299" s="39"/>
      <c r="D299" s="56"/>
      <c r="E299" s="12"/>
      <c r="F299" s="12"/>
      <c r="G299" s="12"/>
      <c r="H299" s="12"/>
      <c r="I299" s="12"/>
      <c r="J299" s="12"/>
      <c r="K299" s="12"/>
      <c r="L299" s="12"/>
      <c r="M299" s="12"/>
      <c r="N299" s="12"/>
      <c r="O299" s="12"/>
      <c r="P299" s="62"/>
      <c r="Q299" s="12"/>
      <c r="R299" s="12"/>
      <c r="S299" s="12"/>
      <c r="T299" s="12"/>
      <c r="U299" s="12"/>
      <c r="V299" s="12"/>
      <c r="W299" s="12"/>
    </row>
    <row r="300" spans="2:23" s="7" customFormat="1">
      <c r="B300" s="40" t="s">
        <v>120</v>
      </c>
      <c r="C300" s="12" t="s">
        <v>119</v>
      </c>
      <c r="D300" s="56"/>
      <c r="E300" s="12"/>
      <c r="F300" s="12"/>
      <c r="G300" s="12"/>
      <c r="H300" s="12"/>
      <c r="I300" s="12"/>
      <c r="J300" s="12"/>
      <c r="K300" s="12"/>
      <c r="L300" s="12"/>
      <c r="M300" s="12"/>
      <c r="N300" s="12"/>
      <c r="O300" s="12"/>
      <c r="P300" s="62"/>
      <c r="Q300" s="12"/>
      <c r="R300" s="12"/>
      <c r="S300" s="12"/>
      <c r="T300" s="12"/>
      <c r="U300" s="12"/>
      <c r="V300" s="12"/>
      <c r="W300" s="12"/>
    </row>
    <row r="301" spans="2:23" s="7" customFormat="1">
      <c r="C301" s="39" t="s">
        <v>369</v>
      </c>
      <c r="D301" s="54">
        <f>E65/12</f>
        <v>6071.416666666667</v>
      </c>
      <c r="E301" s="54">
        <f t="shared" ref="E301:O304" si="98">$D301</f>
        <v>6071.416666666667</v>
      </c>
      <c r="F301" s="54">
        <f t="shared" si="98"/>
        <v>6071.416666666667</v>
      </c>
      <c r="G301" s="54">
        <f t="shared" si="98"/>
        <v>6071.416666666667</v>
      </c>
      <c r="H301" s="54">
        <f t="shared" si="98"/>
        <v>6071.416666666667</v>
      </c>
      <c r="I301" s="54">
        <f t="shared" si="98"/>
        <v>6071.416666666667</v>
      </c>
      <c r="J301" s="54">
        <f t="shared" si="98"/>
        <v>6071.416666666667</v>
      </c>
      <c r="K301" s="54">
        <f t="shared" si="98"/>
        <v>6071.416666666667</v>
      </c>
      <c r="L301" s="54">
        <f t="shared" si="98"/>
        <v>6071.416666666667</v>
      </c>
      <c r="M301" s="54">
        <f t="shared" si="98"/>
        <v>6071.416666666667</v>
      </c>
      <c r="N301" s="54">
        <f t="shared" si="98"/>
        <v>6071.416666666667</v>
      </c>
      <c r="O301" s="54">
        <f t="shared" si="98"/>
        <v>6071.416666666667</v>
      </c>
      <c r="P301" s="62">
        <f>SUM(D301:O301)</f>
        <v>72857</v>
      </c>
      <c r="Q301" s="12"/>
      <c r="R301" s="12"/>
      <c r="S301" s="12"/>
      <c r="T301" s="12"/>
      <c r="U301" s="12"/>
      <c r="V301" s="12"/>
      <c r="W301" s="12"/>
    </row>
    <row r="302" spans="2:23" s="7" customFormat="1">
      <c r="C302" s="39" t="s">
        <v>387</v>
      </c>
      <c r="D302" s="79">
        <f>E66/12</f>
        <v>2608.2999999999997</v>
      </c>
      <c r="E302" s="54">
        <f t="shared" si="98"/>
        <v>2608.2999999999997</v>
      </c>
      <c r="F302" s="54">
        <f t="shared" si="98"/>
        <v>2608.2999999999997</v>
      </c>
      <c r="G302" s="54">
        <f t="shared" si="98"/>
        <v>2608.2999999999997</v>
      </c>
      <c r="H302" s="54">
        <f t="shared" si="98"/>
        <v>2608.2999999999997</v>
      </c>
      <c r="I302" s="54">
        <f t="shared" si="98"/>
        <v>2608.2999999999997</v>
      </c>
      <c r="J302" s="54">
        <f t="shared" si="98"/>
        <v>2608.2999999999997</v>
      </c>
      <c r="K302" s="54">
        <f t="shared" si="98"/>
        <v>2608.2999999999997</v>
      </c>
      <c r="L302" s="54">
        <f t="shared" si="98"/>
        <v>2608.2999999999997</v>
      </c>
      <c r="M302" s="54">
        <f t="shared" si="98"/>
        <v>2608.2999999999997</v>
      </c>
      <c r="N302" s="54">
        <f t="shared" si="98"/>
        <v>2608.2999999999997</v>
      </c>
      <c r="O302" s="54">
        <f t="shared" si="98"/>
        <v>2608.2999999999997</v>
      </c>
      <c r="P302" s="62">
        <f>SUM(D302:O302)</f>
        <v>31299.599999999995</v>
      </c>
      <c r="Q302" s="12"/>
      <c r="R302" s="12"/>
      <c r="S302" s="12"/>
      <c r="T302" s="12"/>
      <c r="U302" s="12"/>
      <c r="V302" s="12"/>
      <c r="W302" s="12"/>
    </row>
    <row r="303" spans="2:23" s="7" customFormat="1">
      <c r="C303" s="39" t="s">
        <v>366</v>
      </c>
      <c r="D303" s="79">
        <f>E67/12</f>
        <v>4928.75</v>
      </c>
      <c r="E303" s="54">
        <f t="shared" si="98"/>
        <v>4928.75</v>
      </c>
      <c r="F303" s="54">
        <f t="shared" si="98"/>
        <v>4928.75</v>
      </c>
      <c r="G303" s="54">
        <f t="shared" si="98"/>
        <v>4928.75</v>
      </c>
      <c r="H303" s="54">
        <f t="shared" si="98"/>
        <v>4928.75</v>
      </c>
      <c r="I303" s="54">
        <f t="shared" si="98"/>
        <v>4928.75</v>
      </c>
      <c r="J303" s="54">
        <f t="shared" si="98"/>
        <v>4928.75</v>
      </c>
      <c r="K303" s="54">
        <f t="shared" si="98"/>
        <v>4928.75</v>
      </c>
      <c r="L303" s="54">
        <f t="shared" si="98"/>
        <v>4928.75</v>
      </c>
      <c r="M303" s="54">
        <f t="shared" si="98"/>
        <v>4928.75</v>
      </c>
      <c r="N303" s="54">
        <f t="shared" si="98"/>
        <v>4928.75</v>
      </c>
      <c r="O303" s="54">
        <f t="shared" si="98"/>
        <v>4928.75</v>
      </c>
      <c r="P303" s="62">
        <f>SUM(D303:O303)</f>
        <v>59145</v>
      </c>
      <c r="Q303" s="12"/>
      <c r="R303" s="12"/>
      <c r="S303" s="12"/>
      <c r="T303" s="12"/>
      <c r="U303" s="12"/>
      <c r="V303" s="12"/>
      <c r="W303" s="12"/>
    </row>
    <row r="304" spans="2:23" s="7" customFormat="1">
      <c r="C304" s="39" t="s">
        <v>83</v>
      </c>
      <c r="D304" s="79">
        <f>E68/12</f>
        <v>522</v>
      </c>
      <c r="E304" s="54">
        <f t="shared" si="98"/>
        <v>522</v>
      </c>
      <c r="F304" s="54">
        <f t="shared" si="98"/>
        <v>522</v>
      </c>
      <c r="G304" s="54">
        <f t="shared" si="98"/>
        <v>522</v>
      </c>
      <c r="H304" s="54">
        <f t="shared" si="98"/>
        <v>522</v>
      </c>
      <c r="I304" s="54">
        <f t="shared" si="98"/>
        <v>522</v>
      </c>
      <c r="J304" s="54">
        <f t="shared" si="98"/>
        <v>522</v>
      </c>
      <c r="K304" s="54">
        <f t="shared" si="98"/>
        <v>522</v>
      </c>
      <c r="L304" s="54">
        <f t="shared" si="98"/>
        <v>522</v>
      </c>
      <c r="M304" s="54">
        <f t="shared" si="98"/>
        <v>522</v>
      </c>
      <c r="N304" s="54">
        <f t="shared" si="98"/>
        <v>522</v>
      </c>
      <c r="O304" s="54">
        <f t="shared" si="98"/>
        <v>522</v>
      </c>
      <c r="P304" s="62">
        <f>SUM(D304:O304)</f>
        <v>6264</v>
      </c>
      <c r="Q304" s="12"/>
      <c r="R304" s="12"/>
      <c r="S304" s="12"/>
      <c r="T304" s="12"/>
      <c r="U304" s="12"/>
      <c r="V304" s="12"/>
      <c r="W304" s="12"/>
    </row>
    <row r="305" spans="1:23" s="7" customFormat="1">
      <c r="C305" s="39"/>
      <c r="D305" s="66"/>
      <c r="E305" s="65"/>
      <c r="F305" s="65"/>
      <c r="G305" s="65"/>
      <c r="H305" s="65"/>
      <c r="I305" s="65"/>
      <c r="J305" s="65"/>
      <c r="K305" s="65"/>
      <c r="L305" s="65"/>
      <c r="M305" s="65"/>
      <c r="N305" s="65"/>
      <c r="O305" s="65"/>
      <c r="P305" s="62"/>
      <c r="Q305" s="12"/>
      <c r="R305" s="12"/>
      <c r="S305" s="12"/>
      <c r="T305" s="12"/>
      <c r="U305" s="12"/>
      <c r="V305" s="12"/>
      <c r="W305" s="12"/>
    </row>
    <row r="306" spans="1:23" s="7" customFormat="1">
      <c r="C306" s="67" t="s">
        <v>108</v>
      </c>
      <c r="D306" s="54">
        <f>debtMonthlyPaymentsFY3(CycleInCalculation,1)</f>
        <v>1808.1310084707254</v>
      </c>
      <c r="E306" s="54">
        <f>debtMonthlyPaymentsFY3(CycleInCalculation,2)</f>
        <v>1808.1310084707254</v>
      </c>
      <c r="F306" s="54">
        <f>debtMonthlyPaymentsFY3(CycleInCalculation,3)</f>
        <v>1808.1310084707254</v>
      </c>
      <c r="G306" s="54">
        <f>debtMonthlyPaymentsFY3(CycleInCalculation,4)</f>
        <v>1808.1310084707254</v>
      </c>
      <c r="H306" s="54">
        <f>debtMonthlyPaymentsFY3(CycleInCalculation,5)</f>
        <v>1808.1310084707254</v>
      </c>
      <c r="I306" s="54">
        <f>debtMonthlyPaymentsFY3(CycleInCalculation,6)</f>
        <v>1808.1310084707254</v>
      </c>
      <c r="J306" s="54">
        <f>debtMonthlyPaymentsFY3(CycleInCalculation,7)</f>
        <v>1808.1310084707254</v>
      </c>
      <c r="K306" s="54">
        <f>debtMonthlyPaymentsFY3(CycleInCalculation,8)</f>
        <v>1808.1310084707254</v>
      </c>
      <c r="L306" s="54">
        <f>debtMonthlyPaymentsFY3(CycleInCalculation,9)</f>
        <v>1808.1310084707254</v>
      </c>
      <c r="M306" s="54">
        <f>debtMonthlyPaymentsFY3(CycleInCalculation,10)</f>
        <v>1808.1310084707254</v>
      </c>
      <c r="N306" s="54">
        <f>debtMonthlyPaymentsFY3(CycleInCalculation,11)</f>
        <v>1808.1310084707254</v>
      </c>
      <c r="O306" s="54">
        <f>debtMonthlyPaymentsFY3(CycleInCalculation,12)</f>
        <v>1808.1310084707254</v>
      </c>
      <c r="P306" s="62">
        <f>SUM(D306:O306)</f>
        <v>21697.572101648704</v>
      </c>
      <c r="Q306" s="12"/>
      <c r="R306" s="12"/>
      <c r="S306" s="12"/>
      <c r="T306" s="12"/>
      <c r="U306" s="12"/>
      <c r="V306" s="12"/>
      <c r="W306" s="12"/>
    </row>
    <row r="307" spans="1:23" s="7" customFormat="1">
      <c r="B307" s="12"/>
      <c r="C307" s="12"/>
      <c r="D307" s="56"/>
      <c r="E307" s="12"/>
      <c r="F307" s="12"/>
      <c r="G307" s="12"/>
      <c r="H307" s="12"/>
      <c r="I307" s="12"/>
      <c r="J307" s="12"/>
      <c r="K307" s="12"/>
      <c r="L307" s="12"/>
      <c r="M307" s="12"/>
      <c r="N307" s="12"/>
      <c r="O307" s="12"/>
      <c r="P307" s="53"/>
      <c r="Q307" s="12"/>
      <c r="R307" s="12"/>
      <c r="S307" s="12"/>
      <c r="T307" s="12"/>
      <c r="U307" s="12"/>
      <c r="V307" s="12"/>
      <c r="W307" s="12"/>
    </row>
    <row r="308" spans="1:23" s="7" customFormat="1">
      <c r="B308" s="40"/>
      <c r="C308" s="39" t="s">
        <v>107</v>
      </c>
      <c r="D308" s="64">
        <f>SUM(D301:D306)+D310</f>
        <v>17007.347675137393</v>
      </c>
      <c r="E308" s="64">
        <f t="shared" ref="E308:O308" si="99">SUM(E301:E306)+E310</f>
        <v>17007.347675137393</v>
      </c>
      <c r="F308" s="64">
        <f t="shared" si="99"/>
        <v>17007.347675137393</v>
      </c>
      <c r="G308" s="64">
        <f t="shared" si="99"/>
        <v>17007.347675137393</v>
      </c>
      <c r="H308" s="64">
        <f t="shared" si="99"/>
        <v>17007.347675137393</v>
      </c>
      <c r="I308" s="64">
        <f t="shared" si="99"/>
        <v>17007.347675137393</v>
      </c>
      <c r="J308" s="64">
        <f t="shared" si="99"/>
        <v>17007.347675137393</v>
      </c>
      <c r="K308" s="64">
        <f t="shared" si="99"/>
        <v>17007.347675137393</v>
      </c>
      <c r="L308" s="64">
        <f t="shared" si="99"/>
        <v>17007.347675137393</v>
      </c>
      <c r="M308" s="64">
        <f t="shared" si="99"/>
        <v>17007.347675137393</v>
      </c>
      <c r="N308" s="64">
        <f t="shared" si="99"/>
        <v>17007.347675137393</v>
      </c>
      <c r="O308" s="64">
        <f t="shared" si="99"/>
        <v>17007.347675137393</v>
      </c>
      <c r="P308" s="169">
        <f>SUM(D308:O308)</f>
        <v>204088.17210164873</v>
      </c>
      <c r="Q308" s="12"/>
      <c r="R308" s="12"/>
      <c r="S308" s="12"/>
      <c r="T308" s="12"/>
      <c r="U308" s="12"/>
      <c r="V308" s="12"/>
      <c r="W308" s="12"/>
    </row>
    <row r="309" spans="1:23" s="7" customFormat="1">
      <c r="C309" s="12"/>
      <c r="D309" s="56"/>
      <c r="E309" s="12"/>
      <c r="F309" s="12"/>
      <c r="G309" s="12"/>
      <c r="H309" s="12"/>
      <c r="I309" s="12"/>
      <c r="J309" s="12"/>
      <c r="K309" s="12"/>
      <c r="L309" s="12"/>
      <c r="M309" s="12"/>
      <c r="N309" s="12"/>
      <c r="O309" s="12"/>
      <c r="P309" s="53"/>
      <c r="Q309" s="12"/>
      <c r="R309" s="12"/>
      <c r="S309" s="12"/>
      <c r="T309" s="12"/>
      <c r="U309" s="12"/>
      <c r="V309" s="12"/>
      <c r="W309" s="12"/>
    </row>
    <row r="310" spans="1:23" s="7" customFormat="1">
      <c r="B310" s="35"/>
      <c r="C310" s="12" t="s">
        <v>76</v>
      </c>
      <c r="D310" s="347">
        <f>P310/12</f>
        <v>1068.7500000000002</v>
      </c>
      <c r="E310" s="347">
        <f>P310/12</f>
        <v>1068.7500000000002</v>
      </c>
      <c r="F310" s="347">
        <f>P310/12</f>
        <v>1068.7500000000002</v>
      </c>
      <c r="G310" s="347">
        <f>P310/12</f>
        <v>1068.7500000000002</v>
      </c>
      <c r="H310" s="347">
        <f>P310/12</f>
        <v>1068.7500000000002</v>
      </c>
      <c r="I310" s="347">
        <f>P310/12</f>
        <v>1068.7500000000002</v>
      </c>
      <c r="J310" s="347">
        <f>P310/12</f>
        <v>1068.7500000000002</v>
      </c>
      <c r="K310" s="347">
        <f>P310/12</f>
        <v>1068.7500000000002</v>
      </c>
      <c r="L310" s="347">
        <f>P310/12</f>
        <v>1068.7500000000002</v>
      </c>
      <c r="M310" s="347">
        <f>P310/12</f>
        <v>1068.7500000000002</v>
      </c>
      <c r="N310" s="347">
        <f>P310/12</f>
        <v>1068.7500000000002</v>
      </c>
      <c r="O310" s="347">
        <f>P310/12</f>
        <v>1068.7500000000002</v>
      </c>
      <c r="P310" s="927">
        <f>VLOOKUP(2.721,'Sim-Report'!1:1048576,3+CycleInCalculation,FALSE)*'Project-Start'!D36</f>
        <v>12825.000000000002</v>
      </c>
      <c r="Q310" s="12"/>
      <c r="R310" s="12"/>
      <c r="S310" s="12"/>
      <c r="T310" s="12"/>
      <c r="U310" s="12"/>
      <c r="V310" s="12"/>
      <c r="W310" s="12"/>
    </row>
    <row r="311" spans="1:23" s="7" customFormat="1">
      <c r="B311" s="40"/>
      <c r="C311" s="39" t="s">
        <v>126</v>
      </c>
      <c r="D311" s="64">
        <f t="shared" ref="D311:O311" si="100">D298-D308</f>
        <v>19411.874647390305</v>
      </c>
      <c r="E311" s="54">
        <f t="shared" si="100"/>
        <v>19012.446326110312</v>
      </c>
      <c r="F311" s="54">
        <f t="shared" si="100"/>
        <v>25452.62031147462</v>
      </c>
      <c r="G311" s="54">
        <f t="shared" si="100"/>
        <v>38977.033902976866</v>
      </c>
      <c r="H311" s="54">
        <f t="shared" si="100"/>
        <v>39759.729780734619</v>
      </c>
      <c r="I311" s="54">
        <f t="shared" si="100"/>
        <v>42498.721225798305</v>
      </c>
      <c r="J311" s="54">
        <f t="shared" si="100"/>
        <v>50402.852672989873</v>
      </c>
      <c r="K311" s="54">
        <f t="shared" si="100"/>
        <v>53411.579255036137</v>
      </c>
      <c r="L311" s="54">
        <f t="shared" si="100"/>
        <v>49913.225480655223</v>
      </c>
      <c r="M311" s="54">
        <f t="shared" si="100"/>
        <v>51719.874536925694</v>
      </c>
      <c r="N311" s="54">
        <f t="shared" si="100"/>
        <v>39868.184377356185</v>
      </c>
      <c r="O311" s="54">
        <f t="shared" si="100"/>
        <v>37098.901419993519</v>
      </c>
      <c r="P311" s="169">
        <f>SUM(D311:O311)</f>
        <v>467527.04393744166</v>
      </c>
      <c r="Q311" s="12"/>
      <c r="R311" s="12"/>
      <c r="S311" s="12"/>
      <c r="T311" s="12"/>
      <c r="U311" s="12"/>
      <c r="V311" s="12"/>
      <c r="W311" s="12"/>
    </row>
    <row r="312" spans="1:23" s="7" customFormat="1">
      <c r="C312" s="12" t="s">
        <v>392</v>
      </c>
      <c r="D312" s="39">
        <f>VLOOKUP(3.11,'Sim-Report'!1:1048576,3+CycleInCalculation,FALSE)</f>
        <v>0.29849999999999999</v>
      </c>
      <c r="E312" s="65"/>
      <c r="F312" s="65"/>
      <c r="G312" s="65"/>
      <c r="H312" s="65"/>
      <c r="I312" s="65"/>
      <c r="J312" s="65"/>
      <c r="K312" s="65"/>
      <c r="L312" s="65"/>
      <c r="M312" s="65"/>
      <c r="N312" s="65"/>
      <c r="O312" s="65"/>
      <c r="P312" s="53"/>
      <c r="Q312" s="12"/>
      <c r="R312" s="12"/>
      <c r="S312" s="12"/>
      <c r="T312" s="12"/>
      <c r="U312" s="12"/>
      <c r="V312" s="12"/>
      <c r="W312" s="12"/>
    </row>
    <row r="313" spans="1:23" s="7" customFormat="1">
      <c r="B313" s="40"/>
      <c r="C313" s="39" t="s">
        <v>117</v>
      </c>
      <c r="D313" s="64">
        <f>D311</f>
        <v>19411.874647390305</v>
      </c>
      <c r="E313" s="54">
        <f t="shared" ref="E313:O313" si="101">D313+E311</f>
        <v>38424.320973500617</v>
      </c>
      <c r="F313" s="54">
        <f t="shared" si="101"/>
        <v>63876.941284975241</v>
      </c>
      <c r="G313" s="54">
        <f t="shared" si="101"/>
        <v>102853.97518795211</v>
      </c>
      <c r="H313" s="54">
        <f t="shared" si="101"/>
        <v>142613.70496868674</v>
      </c>
      <c r="I313" s="54">
        <f t="shared" si="101"/>
        <v>185112.42619448504</v>
      </c>
      <c r="J313" s="54">
        <f t="shared" si="101"/>
        <v>235515.27886747493</v>
      </c>
      <c r="K313" s="54">
        <f t="shared" si="101"/>
        <v>288926.85812251107</v>
      </c>
      <c r="L313" s="54">
        <f t="shared" si="101"/>
        <v>338840.08360316628</v>
      </c>
      <c r="M313" s="54">
        <f t="shared" si="101"/>
        <v>390559.95814009197</v>
      </c>
      <c r="N313" s="54">
        <f t="shared" si="101"/>
        <v>430428.14251744817</v>
      </c>
      <c r="O313" s="54">
        <f t="shared" si="101"/>
        <v>467527.04393744166</v>
      </c>
      <c r="P313" s="53"/>
      <c r="Q313" s="12"/>
      <c r="R313" s="12"/>
      <c r="S313" s="12"/>
      <c r="T313" s="12"/>
      <c r="U313" s="12"/>
      <c r="V313" s="12"/>
      <c r="W313" s="12"/>
    </row>
    <row r="314" spans="1:23" s="7" customFormat="1">
      <c r="B314" s="40"/>
      <c r="C314" s="39" t="s">
        <v>683</v>
      </c>
      <c r="D314" s="64"/>
      <c r="E314" s="54"/>
      <c r="F314" s="54"/>
      <c r="G314" s="54"/>
      <c r="H314" s="54"/>
      <c r="I314" s="54"/>
      <c r="J314" s="54"/>
      <c r="K314" s="54"/>
      <c r="L314" s="54"/>
      <c r="M314" s="54"/>
      <c r="N314" s="54"/>
      <c r="O314" s="54"/>
      <c r="P314" s="62">
        <f>P315+P233</f>
        <v>741855.46547269996</v>
      </c>
      <c r="Q314" s="12"/>
      <c r="R314" s="12"/>
      <c r="S314" s="12"/>
      <c r="T314" s="12"/>
      <c r="U314" s="12"/>
      <c r="V314" s="12"/>
      <c r="W314" s="12"/>
    </row>
    <row r="315" spans="1:23" s="7" customFormat="1" ht="12" thickBot="1">
      <c r="B315" s="39"/>
      <c r="C315" s="40" t="s">
        <v>105</v>
      </c>
      <c r="D315" s="63">
        <f>ProfitAfterTaxes(D311,D313,D312)</f>
        <v>13617.43</v>
      </c>
      <c r="E315" s="63">
        <f>ProfitAfterTaxes(E311,E313,D312)</f>
        <v>13337.231079450001</v>
      </c>
      <c r="F315" s="63">
        <f>ProfitAfterTaxes(F311,F313,D312)</f>
        <v>17855.013140449999</v>
      </c>
      <c r="G315" s="63">
        <f>ProfitAfterTaxes(G311,G313,D312)</f>
        <v>27342.389280850002</v>
      </c>
      <c r="H315" s="63">
        <f>ProfitAfterTaxes(H311,H313,D312)</f>
        <v>27891.4504547</v>
      </c>
      <c r="I315" s="63">
        <f>ProfitAfterTaxes(I311,I313,D312)</f>
        <v>29812.8529218</v>
      </c>
      <c r="J315" s="63">
        <f>ProfitAfterTaxes(J311,J313,D312)</f>
        <v>35357.601169050002</v>
      </c>
      <c r="K315" s="63">
        <f>ProfitAfterTaxes(K311,K313,D312)</f>
        <v>37468.22287895</v>
      </c>
      <c r="L315" s="63">
        <f>ProfitAfterTaxes(L311,L313,D312)</f>
        <v>35014.127688250002</v>
      </c>
      <c r="M315" s="63">
        <f>ProfitAfterTaxes(M311,M313,D312)</f>
        <v>36281.491961749998</v>
      </c>
      <c r="N315" s="63">
        <f>ProfitAfterTaxes(N311,N313,D312)</f>
        <v>27967.5313566</v>
      </c>
      <c r="O315" s="63">
        <f>ProfitAfterTaxes(O311,O313,D312)</f>
        <v>26024.879332100001</v>
      </c>
      <c r="P315" s="169">
        <f>SUM(D315:O315)</f>
        <v>327970.22126394999</v>
      </c>
      <c r="Q315" s="12"/>
      <c r="R315" s="12"/>
      <c r="S315" s="12"/>
      <c r="T315" s="12"/>
      <c r="U315" s="12"/>
      <c r="V315" s="12"/>
      <c r="W315" s="12"/>
    </row>
    <row r="316" spans="1:23" s="7" customFormat="1" ht="12" thickBot="1">
      <c r="B316" s="13"/>
      <c r="C316" s="13" t="s">
        <v>116</v>
      </c>
      <c r="D316" s="51" t="s">
        <v>33</v>
      </c>
      <c r="E316" s="51" t="s">
        <v>33</v>
      </c>
      <c r="F316" s="51" t="s">
        <v>33</v>
      </c>
      <c r="G316" s="51" t="s">
        <v>33</v>
      </c>
      <c r="H316" s="51" t="s">
        <v>33</v>
      </c>
      <c r="I316" s="51" t="s">
        <v>33</v>
      </c>
      <c r="J316" s="51" t="s">
        <v>33</v>
      </c>
      <c r="K316" s="51" t="s">
        <v>33</v>
      </c>
      <c r="L316" s="51" t="s">
        <v>33</v>
      </c>
      <c r="M316" s="51" t="s">
        <v>33</v>
      </c>
      <c r="N316" s="51" t="s">
        <v>33</v>
      </c>
      <c r="O316" s="52" t="s">
        <v>33</v>
      </c>
      <c r="P316" s="55" t="s">
        <v>103</v>
      </c>
      <c r="Q316" s="12"/>
      <c r="R316" s="12"/>
      <c r="S316" s="12"/>
      <c r="T316" s="12"/>
      <c r="U316" s="12"/>
      <c r="V316" s="12"/>
      <c r="W316" s="12"/>
    </row>
    <row r="317" spans="1:23" s="7" customFormat="1" ht="12" thickBot="1">
      <c r="B317" s="13"/>
      <c r="C317" s="13" t="s">
        <v>115</v>
      </c>
      <c r="D317" s="42" t="s">
        <v>47</v>
      </c>
      <c r="E317" s="42" t="s">
        <v>46</v>
      </c>
      <c r="F317" s="42" t="s">
        <v>45</v>
      </c>
      <c r="G317" s="42" t="s">
        <v>44</v>
      </c>
      <c r="H317" s="42" t="s">
        <v>43</v>
      </c>
      <c r="I317" s="42" t="s">
        <v>42</v>
      </c>
      <c r="J317" s="42" t="s">
        <v>41</v>
      </c>
      <c r="K317" s="42" t="s">
        <v>40</v>
      </c>
      <c r="L317" s="42" t="s">
        <v>39</v>
      </c>
      <c r="M317" s="42" t="s">
        <v>38</v>
      </c>
      <c r="N317" s="42" t="s">
        <v>37</v>
      </c>
      <c r="O317" s="61" t="s">
        <v>36</v>
      </c>
      <c r="P317" s="55" t="s">
        <v>101</v>
      </c>
      <c r="Q317" s="12"/>
      <c r="R317" s="12"/>
      <c r="S317" s="12"/>
      <c r="T317" s="12"/>
      <c r="U317" s="12"/>
      <c r="V317" s="12"/>
      <c r="W317" s="12"/>
    </row>
    <row r="318" spans="1:23" s="7" customFormat="1">
      <c r="B318" s="12"/>
      <c r="C318" s="12"/>
      <c r="D318" s="12"/>
      <c r="E318" s="12"/>
      <c r="F318" s="12"/>
      <c r="G318" s="12"/>
      <c r="H318" s="12"/>
      <c r="I318" s="12"/>
      <c r="J318" s="12"/>
      <c r="K318" s="12"/>
      <c r="L318" s="12"/>
      <c r="M318" s="12"/>
      <c r="N318" s="12"/>
      <c r="O318" s="12"/>
      <c r="P318" s="12"/>
      <c r="Q318" s="12"/>
      <c r="R318" s="12"/>
      <c r="S318" s="12"/>
      <c r="T318" s="12"/>
      <c r="U318" s="12"/>
      <c r="V318" s="12"/>
      <c r="W318" s="12"/>
    </row>
    <row r="319" spans="1:23" s="7" customFormat="1" ht="17.45" customHeight="1">
      <c r="A319" s="178">
        <v>7</v>
      </c>
      <c r="B319" s="124" t="s">
        <v>660</v>
      </c>
      <c r="C319" s="124"/>
      <c r="D319" s="124"/>
      <c r="E319" s="12"/>
      <c r="F319" s="12"/>
      <c r="G319" s="60"/>
      <c r="H319" s="59"/>
      <c r="I319" s="59"/>
      <c r="J319" s="59"/>
      <c r="K319" s="60"/>
      <c r="L319" s="59"/>
      <c r="M319" s="59"/>
      <c r="N319" s="59"/>
      <c r="O319" s="60"/>
      <c r="P319" s="59"/>
      <c r="Q319" s="59"/>
      <c r="R319" s="59"/>
      <c r="S319" s="60"/>
      <c r="T319" s="59"/>
      <c r="U319" s="12"/>
      <c r="V319" s="12"/>
      <c r="W319" s="12"/>
    </row>
    <row r="320" spans="1:23" s="7" customFormat="1">
      <c r="B320" s="166"/>
      <c r="C320" s="167"/>
      <c r="D320" s="168" t="s">
        <v>104</v>
      </c>
      <c r="E320" s="168" t="s">
        <v>35</v>
      </c>
      <c r="F320" s="168" t="s">
        <v>34</v>
      </c>
      <c r="G320" s="168" t="s">
        <v>103</v>
      </c>
      <c r="H320" s="12"/>
      <c r="I320" s="12"/>
      <c r="J320" s="12"/>
      <c r="K320" s="12"/>
      <c r="L320" s="12"/>
      <c r="M320" s="12"/>
      <c r="N320" s="12"/>
      <c r="O320" s="12"/>
      <c r="P320" s="12"/>
      <c r="Q320" s="12"/>
      <c r="R320" s="12"/>
      <c r="S320" s="12"/>
      <c r="T320" s="12"/>
      <c r="U320" s="12"/>
      <c r="V320" s="12"/>
      <c r="W320" s="12"/>
    </row>
    <row r="321" spans="2:23" s="7" customFormat="1">
      <c r="B321" s="166"/>
      <c r="C321" s="167"/>
      <c r="D321" s="168" t="s">
        <v>101</v>
      </c>
      <c r="E321" s="168" t="s">
        <v>102</v>
      </c>
      <c r="F321" s="168" t="s">
        <v>101</v>
      </c>
      <c r="G321" s="168" t="s">
        <v>101</v>
      </c>
      <c r="H321" s="58"/>
      <c r="I321" s="12"/>
      <c r="J321" s="12"/>
      <c r="K321" s="12"/>
      <c r="L321" s="12"/>
      <c r="M321" s="12"/>
      <c r="N321" s="12"/>
      <c r="O321" s="12"/>
      <c r="P321" s="12"/>
      <c r="Q321" s="12"/>
      <c r="R321" s="12"/>
      <c r="S321" s="12"/>
      <c r="T321" s="12"/>
      <c r="U321" s="12"/>
      <c r="V321" s="12"/>
      <c r="W321" s="12"/>
    </row>
    <row r="322" spans="2:23" s="7" customFormat="1">
      <c r="B322" s="7" t="s">
        <v>698</v>
      </c>
      <c r="C322" s="40"/>
      <c r="D322" s="95"/>
      <c r="E322" s="95"/>
      <c r="F322" s="95"/>
      <c r="G322" s="95"/>
      <c r="H322" s="12"/>
      <c r="I322" s="12"/>
      <c r="J322" s="12"/>
      <c r="K322" s="12"/>
      <c r="L322" s="12"/>
      <c r="M322" s="12"/>
      <c r="N322" s="12"/>
      <c r="O322" s="12"/>
      <c r="P322" s="12"/>
      <c r="Q322" s="12"/>
      <c r="R322" s="12"/>
      <c r="S322" s="12"/>
      <c r="T322" s="12"/>
      <c r="U322" s="12"/>
      <c r="V322" s="12"/>
      <c r="W322" s="12"/>
    </row>
    <row r="323" spans="2:23" s="7" customFormat="1">
      <c r="C323" s="40"/>
      <c r="D323" s="95"/>
      <c r="E323" s="95"/>
      <c r="F323" s="95"/>
      <c r="G323" s="95"/>
      <c r="H323" s="12"/>
      <c r="I323" s="12"/>
      <c r="J323" s="12"/>
      <c r="K323" s="12"/>
      <c r="L323" s="12"/>
      <c r="M323" s="12"/>
      <c r="N323" s="12"/>
      <c r="O323" s="12"/>
      <c r="P323" s="12"/>
      <c r="Q323" s="12"/>
      <c r="R323" s="12"/>
      <c r="S323" s="12"/>
      <c r="T323" s="12"/>
      <c r="U323" s="12"/>
      <c r="V323" s="12"/>
      <c r="W323" s="12"/>
    </row>
    <row r="324" spans="2:23" s="7" customFormat="1">
      <c r="C324" s="158" t="s">
        <v>114</v>
      </c>
      <c r="D324" s="157">
        <f>SUM(E324:G324)</f>
        <v>19999.53397648194</v>
      </c>
      <c r="E324" s="157">
        <v>6193.2149131439101</v>
      </c>
      <c r="F324" s="157">
        <v>5986.4817005659834</v>
      </c>
      <c r="G324" s="157">
        <v>7819.8373627720457</v>
      </c>
      <c r="H324" s="108"/>
      <c r="I324" s="108"/>
      <c r="J324" s="57"/>
      <c r="K324" s="12"/>
      <c r="L324" s="12"/>
      <c r="M324" s="12"/>
      <c r="N324" s="12"/>
      <c r="O324" s="12"/>
      <c r="P324" s="12"/>
      <c r="Q324" s="12"/>
      <c r="R324" s="12"/>
      <c r="S324" s="12"/>
      <c r="T324" s="12"/>
      <c r="U324" s="12"/>
      <c r="V324" s="12"/>
      <c r="W324" s="12"/>
    </row>
    <row r="325" spans="2:23" s="7" customFormat="1">
      <c r="C325" s="1138" t="s">
        <v>113</v>
      </c>
      <c r="D325" s="1139">
        <f>SUM(E325:G325)</f>
        <v>159996.27179999999</v>
      </c>
      <c r="E325" s="160">
        <v>49545.719299999997</v>
      </c>
      <c r="F325" s="160">
        <v>47891.853600000002</v>
      </c>
      <c r="G325" s="160">
        <v>62558.698900000003</v>
      </c>
      <c r="H325" s="56"/>
      <c r="I325" s="56"/>
      <c r="J325" s="56"/>
      <c r="K325" s="12"/>
      <c r="L325" s="12"/>
      <c r="M325" s="12"/>
      <c r="N325" s="12"/>
      <c r="O325" s="12"/>
      <c r="P325" s="12"/>
      <c r="Q325" s="12"/>
      <c r="R325" s="12"/>
      <c r="S325" s="12"/>
      <c r="T325" s="12"/>
      <c r="U325" s="12"/>
      <c r="V325" s="12"/>
      <c r="W325" s="12"/>
    </row>
    <row r="326" spans="2:23" s="7" customFormat="1">
      <c r="C326" s="159" t="s">
        <v>112</v>
      </c>
      <c r="D326" s="251">
        <f>SUM(E326:G326)</f>
        <v>22599.473399999999</v>
      </c>
      <c r="E326" s="157">
        <v>6998.3329000000003</v>
      </c>
      <c r="F326" s="157">
        <v>6764.7242999999999</v>
      </c>
      <c r="G326" s="157">
        <v>8836.4161999999997</v>
      </c>
      <c r="H326" s="56"/>
      <c r="I326" s="56"/>
      <c r="J326" s="56"/>
      <c r="K326" s="12"/>
      <c r="L326" s="12"/>
      <c r="M326" s="12"/>
      <c r="N326" s="12"/>
      <c r="O326" s="12"/>
      <c r="P326" s="12"/>
      <c r="Q326" s="12"/>
      <c r="R326" s="12"/>
      <c r="S326" s="12"/>
      <c r="T326" s="12"/>
      <c r="U326" s="12"/>
      <c r="V326" s="12"/>
      <c r="W326" s="12"/>
    </row>
    <row r="327" spans="2:23" s="7" customFormat="1">
      <c r="C327" s="1138" t="s">
        <v>111</v>
      </c>
      <c r="D327" s="1139">
        <f>SUM(E327:G327)</f>
        <v>137396.7985</v>
      </c>
      <c r="E327" s="160">
        <v>42547.386500000001</v>
      </c>
      <c r="F327" s="160">
        <v>41127.129300000001</v>
      </c>
      <c r="G327" s="160">
        <v>53722.282700000003</v>
      </c>
      <c r="H327" s="56"/>
      <c r="I327" s="56"/>
      <c r="J327" s="56"/>
      <c r="K327" s="12"/>
      <c r="L327" s="12"/>
      <c r="M327" s="12"/>
      <c r="N327" s="12"/>
      <c r="O327" s="12"/>
      <c r="P327" s="12"/>
      <c r="Q327" s="12"/>
      <c r="R327" s="12"/>
      <c r="S327" s="12"/>
      <c r="T327" s="12"/>
      <c r="U327" s="12"/>
      <c r="V327" s="12"/>
      <c r="W327" s="12"/>
    </row>
    <row r="328" spans="2:23" s="7" customFormat="1">
      <c r="B328" s="7" t="s">
        <v>699</v>
      </c>
      <c r="C328" s="40"/>
      <c r="D328" s="193"/>
      <c r="E328" s="160"/>
      <c r="F328" s="160"/>
      <c r="G328" s="160"/>
      <c r="H328" s="56"/>
      <c r="I328" s="56"/>
      <c r="J328" s="56"/>
      <c r="K328" s="12"/>
      <c r="L328" s="12"/>
      <c r="M328" s="12"/>
      <c r="N328" s="12"/>
      <c r="O328" s="12"/>
      <c r="P328" s="12"/>
      <c r="Q328" s="12"/>
      <c r="R328" s="12"/>
      <c r="S328" s="12"/>
      <c r="T328" s="12"/>
      <c r="U328" s="12"/>
      <c r="V328" s="12"/>
      <c r="W328" s="12"/>
    </row>
    <row r="329" spans="2:23" s="7" customFormat="1">
      <c r="C329" s="40"/>
      <c r="D329" s="193"/>
      <c r="E329" s="160"/>
      <c r="F329" s="160"/>
      <c r="G329" s="160"/>
      <c r="H329" s="56"/>
      <c r="I329" s="56"/>
      <c r="J329" s="56"/>
      <c r="K329" s="12"/>
      <c r="L329" s="12"/>
      <c r="M329" s="12"/>
      <c r="N329" s="12"/>
      <c r="O329" s="12"/>
      <c r="P329" s="12"/>
      <c r="Q329" s="12"/>
      <c r="R329" s="12"/>
      <c r="S329" s="12"/>
      <c r="T329" s="12"/>
      <c r="U329" s="12"/>
      <c r="V329" s="12"/>
      <c r="W329" s="12"/>
    </row>
    <row r="330" spans="2:23" s="7" customFormat="1">
      <c r="C330" s="158" t="s">
        <v>114</v>
      </c>
      <c r="D330" s="157">
        <f>SUM(E330:G330)</f>
        <v>21126.63680251488</v>
      </c>
      <c r="E330" s="157">
        <v>6575.340803869617</v>
      </c>
      <c r="F330" s="157">
        <v>6877.6105802199254</v>
      </c>
      <c r="G330" s="157">
        <v>7673.685418425338</v>
      </c>
      <c r="H330" s="108"/>
      <c r="I330" s="108"/>
      <c r="J330" s="57"/>
      <c r="K330" s="12"/>
      <c r="L330" s="12"/>
      <c r="M330" s="12"/>
      <c r="N330" s="12"/>
      <c r="O330" s="12"/>
      <c r="P330" s="12"/>
      <c r="Q330" s="12"/>
      <c r="R330" s="12"/>
      <c r="S330" s="12"/>
      <c r="T330" s="12"/>
      <c r="U330" s="12"/>
      <c r="V330" s="12"/>
      <c r="W330" s="12"/>
    </row>
    <row r="331" spans="2:23" s="7" customFormat="1">
      <c r="C331" s="1138" t="s">
        <v>113</v>
      </c>
      <c r="D331" s="1139">
        <f>SUM(E331:G331)</f>
        <v>169013.0943</v>
      </c>
      <c r="E331" s="160">
        <v>52602.7264</v>
      </c>
      <c r="F331" s="160">
        <v>55020.884599999998</v>
      </c>
      <c r="G331" s="160">
        <v>61389.4833</v>
      </c>
      <c r="H331" s="56"/>
      <c r="I331" s="56"/>
      <c r="J331" s="56"/>
      <c r="K331" s="12"/>
      <c r="L331" s="12"/>
      <c r="M331" s="12"/>
      <c r="N331" s="12"/>
      <c r="O331" s="12"/>
      <c r="P331" s="12"/>
      <c r="Q331" s="12"/>
      <c r="R331" s="12"/>
      <c r="S331" s="12"/>
      <c r="T331" s="12"/>
      <c r="U331" s="12"/>
      <c r="V331" s="12"/>
      <c r="W331" s="12"/>
    </row>
    <row r="332" spans="2:23" s="7" customFormat="1">
      <c r="C332" s="159" t="s">
        <v>112</v>
      </c>
      <c r="D332" s="251">
        <f>SUM(E332:G332)</f>
        <v>22758.049800000001</v>
      </c>
      <c r="E332" s="157">
        <v>7084.9840000000004</v>
      </c>
      <c r="F332" s="157">
        <v>7405.0715</v>
      </c>
      <c r="G332" s="157">
        <v>8267.9943000000003</v>
      </c>
      <c r="H332" s="56"/>
      <c r="I332" s="56"/>
      <c r="J332" s="56"/>
      <c r="K332" s="12"/>
      <c r="L332" s="12"/>
      <c r="M332" s="12"/>
      <c r="N332" s="12"/>
      <c r="O332" s="12"/>
      <c r="P332" s="12"/>
      <c r="Q332" s="12"/>
      <c r="R332" s="12"/>
      <c r="S332" s="12"/>
      <c r="T332" s="12"/>
      <c r="U332" s="12"/>
      <c r="V332" s="12"/>
      <c r="W332" s="12"/>
    </row>
    <row r="333" spans="2:23" s="7" customFormat="1">
      <c r="C333" s="1138" t="s">
        <v>111</v>
      </c>
      <c r="D333" s="1139">
        <f>SUM(E333:G333)</f>
        <v>146255.04459999999</v>
      </c>
      <c r="E333" s="160">
        <v>45517.742400000003</v>
      </c>
      <c r="F333" s="160">
        <v>47615.813199999997</v>
      </c>
      <c r="G333" s="160">
        <v>53121.489000000001</v>
      </c>
      <c r="H333" s="56"/>
      <c r="I333" s="56"/>
      <c r="J333" s="56"/>
      <c r="K333" s="12"/>
      <c r="L333" s="12"/>
      <c r="M333" s="12"/>
      <c r="N333" s="12"/>
      <c r="O333" s="12"/>
      <c r="P333" s="12"/>
      <c r="Q333" s="12"/>
      <c r="R333" s="12"/>
      <c r="S333" s="12"/>
      <c r="T333" s="12"/>
      <c r="U333" s="12"/>
      <c r="V333" s="12"/>
      <c r="W333" s="12"/>
    </row>
    <row r="334" spans="2:23" s="7" customFormat="1">
      <c r="B334" s="7" t="s">
        <v>700</v>
      </c>
      <c r="C334" s="40"/>
      <c r="D334" s="193"/>
      <c r="E334" s="160"/>
      <c r="F334" s="160"/>
      <c r="G334" s="160"/>
      <c r="H334" s="56"/>
      <c r="I334" s="56"/>
      <c r="J334" s="56"/>
      <c r="K334" s="12"/>
      <c r="L334" s="12"/>
      <c r="M334" s="12"/>
      <c r="N334" s="12"/>
      <c r="O334" s="12"/>
      <c r="P334" s="12"/>
      <c r="Q334" s="12"/>
      <c r="R334" s="12"/>
      <c r="S334" s="12"/>
      <c r="T334" s="12"/>
      <c r="U334" s="12"/>
      <c r="V334" s="12"/>
      <c r="W334" s="12"/>
    </row>
    <row r="335" spans="2:23" s="7" customFormat="1">
      <c r="C335" s="40"/>
      <c r="D335" s="193"/>
      <c r="E335" s="160"/>
      <c r="F335" s="160"/>
      <c r="G335" s="160"/>
      <c r="H335" s="56"/>
      <c r="I335" s="56"/>
      <c r="J335" s="56"/>
      <c r="K335" s="12"/>
      <c r="L335" s="12"/>
      <c r="M335" s="12"/>
      <c r="N335" s="12"/>
      <c r="O335" s="12"/>
      <c r="P335" s="12"/>
      <c r="Q335" s="12"/>
      <c r="R335" s="12"/>
      <c r="S335" s="12"/>
      <c r="T335" s="12"/>
      <c r="U335" s="12"/>
      <c r="V335" s="12"/>
      <c r="W335" s="12"/>
    </row>
    <row r="336" spans="2:23" s="7" customFormat="1">
      <c r="C336" s="158" t="s">
        <v>114</v>
      </c>
      <c r="D336" s="157">
        <f>SUM(E336:G336)</f>
        <v>23184.371221680005</v>
      </c>
      <c r="E336" s="157">
        <v>6545.6621445599994</v>
      </c>
      <c r="F336" s="157">
        <v>7759.2870432000018</v>
      </c>
      <c r="G336" s="157">
        <v>8879.4220339200019</v>
      </c>
      <c r="H336" s="108"/>
      <c r="I336" s="108"/>
      <c r="J336" s="57"/>
      <c r="K336" s="12"/>
      <c r="L336" s="12"/>
      <c r="M336" s="12"/>
      <c r="N336" s="12"/>
      <c r="O336" s="12"/>
      <c r="P336" s="12"/>
      <c r="Q336" s="12"/>
      <c r="R336" s="12"/>
      <c r="S336" s="12"/>
      <c r="T336" s="12"/>
      <c r="U336" s="12"/>
      <c r="V336" s="12"/>
      <c r="W336" s="12"/>
    </row>
    <row r="337" spans="2:23" s="7" customFormat="1">
      <c r="C337" s="1138" t="s">
        <v>113</v>
      </c>
      <c r="D337" s="1139">
        <f>SUM(E337:G337)</f>
        <v>173882.78419999999</v>
      </c>
      <c r="E337" s="160">
        <v>49092.466099999998</v>
      </c>
      <c r="F337" s="160">
        <v>58194.652800000003</v>
      </c>
      <c r="G337" s="160">
        <v>66595.665299999993</v>
      </c>
      <c r="H337" s="58"/>
      <c r="I337" s="56"/>
      <c r="J337" s="12"/>
      <c r="K337" s="12"/>
      <c r="L337" s="12"/>
      <c r="M337" s="12"/>
      <c r="N337" s="12"/>
      <c r="O337" s="12"/>
      <c r="P337" s="12"/>
      <c r="Q337" s="12"/>
      <c r="R337" s="12"/>
      <c r="S337" s="12"/>
      <c r="T337" s="12"/>
      <c r="U337" s="12"/>
      <c r="V337" s="12"/>
      <c r="W337" s="12"/>
    </row>
    <row r="338" spans="2:23" s="7" customFormat="1">
      <c r="C338" s="159" t="s">
        <v>112</v>
      </c>
      <c r="D338" s="251">
        <f>SUM(E338:G338)</f>
        <v>24807.277199999997</v>
      </c>
      <c r="E338" s="157">
        <v>7003.8585000000003</v>
      </c>
      <c r="F338" s="157">
        <v>8302.4370999999992</v>
      </c>
      <c r="G338" s="157">
        <v>9500.9815999999992</v>
      </c>
      <c r="H338" s="56"/>
      <c r="I338" s="56"/>
      <c r="J338" s="56"/>
      <c r="K338" s="12"/>
      <c r="L338" s="12"/>
      <c r="M338" s="12"/>
      <c r="N338" s="12"/>
      <c r="O338" s="12"/>
      <c r="P338" s="12"/>
      <c r="Q338" s="12"/>
      <c r="R338" s="12"/>
      <c r="S338" s="12"/>
      <c r="T338" s="12"/>
      <c r="U338" s="12"/>
      <c r="V338" s="12"/>
      <c r="W338" s="12"/>
    </row>
    <row r="339" spans="2:23" s="7" customFormat="1">
      <c r="C339" s="1138" t="s">
        <v>111</v>
      </c>
      <c r="D339" s="1139">
        <f>SUM(E339:G339)</f>
        <v>149075.50700000001</v>
      </c>
      <c r="E339" s="160">
        <v>42088.607600000003</v>
      </c>
      <c r="F339" s="160">
        <v>49892.215700000001</v>
      </c>
      <c r="G339" s="160">
        <v>57094.683700000001</v>
      </c>
      <c r="H339" s="56"/>
      <c r="I339" s="56"/>
      <c r="J339" s="56"/>
      <c r="K339" s="12"/>
      <c r="L339" s="12"/>
      <c r="M339" s="12"/>
      <c r="N339" s="12"/>
      <c r="O339" s="12"/>
      <c r="P339" s="12"/>
      <c r="Q339" s="12"/>
      <c r="R339" s="12"/>
      <c r="S339" s="12"/>
      <c r="T339" s="12"/>
      <c r="U339" s="12"/>
      <c r="V339" s="12"/>
      <c r="W339" s="12"/>
    </row>
    <row r="340" spans="2:23" s="7" customFormat="1">
      <c r="B340" s="7" t="s">
        <v>701</v>
      </c>
      <c r="C340" s="40"/>
      <c r="D340" s="193"/>
      <c r="E340" s="160"/>
      <c r="F340" s="160"/>
      <c r="G340" s="160"/>
      <c r="H340" s="56"/>
      <c r="I340" s="56"/>
      <c r="J340" s="56"/>
      <c r="K340" s="12"/>
      <c r="L340" s="12"/>
      <c r="M340" s="12"/>
      <c r="N340" s="12"/>
      <c r="O340" s="12"/>
      <c r="P340" s="12"/>
      <c r="Q340" s="12"/>
      <c r="R340" s="12"/>
      <c r="S340" s="12"/>
      <c r="T340" s="12"/>
      <c r="U340" s="12"/>
      <c r="V340" s="12"/>
      <c r="W340" s="12"/>
    </row>
    <row r="341" spans="2:23" s="7" customFormat="1">
      <c r="C341" s="40"/>
      <c r="D341" s="193"/>
      <c r="E341" s="160"/>
      <c r="F341" s="160"/>
      <c r="G341" s="160"/>
      <c r="H341" s="56"/>
      <c r="I341" s="56"/>
      <c r="J341" s="56"/>
      <c r="K341" s="12"/>
      <c r="L341" s="12"/>
      <c r="M341" s="12"/>
      <c r="N341" s="12"/>
      <c r="O341" s="12"/>
      <c r="P341" s="12"/>
      <c r="Q341" s="12"/>
      <c r="R341" s="12"/>
      <c r="S341" s="12"/>
      <c r="T341" s="12"/>
      <c r="U341" s="12"/>
      <c r="V341" s="12"/>
      <c r="W341" s="12"/>
    </row>
    <row r="342" spans="2:23" s="7" customFormat="1">
      <c r="C342" s="158" t="s">
        <v>114</v>
      </c>
      <c r="D342" s="157">
        <f>SUM(E342:G342)</f>
        <v>27690.936234119999</v>
      </c>
      <c r="E342" s="157">
        <v>8392.7214053600001</v>
      </c>
      <c r="F342" s="157">
        <v>8970.8667583599999</v>
      </c>
      <c r="G342" s="157">
        <v>10327.348070399999</v>
      </c>
      <c r="H342" s="108"/>
      <c r="I342" s="108"/>
      <c r="J342" s="57"/>
      <c r="K342" s="12"/>
      <c r="L342" s="12"/>
      <c r="M342" s="12"/>
      <c r="N342" s="12"/>
      <c r="O342" s="12"/>
      <c r="P342" s="12"/>
      <c r="Q342" s="12"/>
      <c r="R342" s="12"/>
      <c r="S342" s="12"/>
      <c r="T342" s="12"/>
      <c r="U342" s="12"/>
      <c r="V342" s="12"/>
      <c r="W342" s="12"/>
    </row>
    <row r="343" spans="2:23" s="7" customFormat="1">
      <c r="C343" s="1138" t="s">
        <v>113</v>
      </c>
      <c r="D343" s="1139">
        <f>SUM(E343:G343)</f>
        <v>207682.02169999998</v>
      </c>
      <c r="E343" s="160">
        <v>62945.410499999998</v>
      </c>
      <c r="F343" s="160">
        <v>67281.500700000004</v>
      </c>
      <c r="G343" s="160">
        <v>77455.110499999995</v>
      </c>
      <c r="H343" s="56"/>
      <c r="I343" s="56"/>
      <c r="J343" s="56"/>
      <c r="K343" s="12"/>
      <c r="L343" s="12"/>
      <c r="M343" s="12"/>
      <c r="N343" s="12"/>
      <c r="O343" s="12"/>
      <c r="P343" s="12"/>
      <c r="Q343" s="12"/>
      <c r="R343" s="12"/>
      <c r="S343" s="12"/>
      <c r="T343" s="12"/>
      <c r="U343" s="12"/>
      <c r="V343" s="12"/>
      <c r="W343" s="12"/>
    </row>
    <row r="344" spans="2:23" s="7" customFormat="1">
      <c r="C344" s="159" t="s">
        <v>112</v>
      </c>
      <c r="D344" s="251">
        <f>SUM(E344:G344)</f>
        <v>29629.3017</v>
      </c>
      <c r="E344" s="157">
        <v>8980.2119000000002</v>
      </c>
      <c r="F344" s="157">
        <v>9598.8274000000001</v>
      </c>
      <c r="G344" s="157">
        <v>11050.2624</v>
      </c>
      <c r="H344" s="56"/>
      <c r="I344" s="56"/>
      <c r="J344" s="56"/>
      <c r="K344" s="12"/>
      <c r="L344" s="12"/>
      <c r="M344" s="12"/>
      <c r="N344" s="12"/>
      <c r="O344" s="12"/>
      <c r="P344" s="12"/>
      <c r="Q344" s="12"/>
      <c r="R344" s="12"/>
      <c r="S344" s="12"/>
      <c r="T344" s="12"/>
      <c r="U344" s="12"/>
      <c r="V344" s="12"/>
      <c r="W344" s="12"/>
    </row>
    <row r="345" spans="2:23" s="7" customFormat="1">
      <c r="C345" s="1138" t="s">
        <v>111</v>
      </c>
      <c r="D345" s="1139">
        <f>SUM(E345:G345)</f>
        <v>178052.72</v>
      </c>
      <c r="E345" s="160">
        <v>53965.198600000003</v>
      </c>
      <c r="F345" s="160">
        <v>57682.673300000002</v>
      </c>
      <c r="G345" s="160">
        <v>66404.848100000003</v>
      </c>
      <c r="H345" s="56"/>
      <c r="I345" s="56"/>
      <c r="J345" s="56"/>
      <c r="K345" s="12"/>
      <c r="L345" s="12"/>
      <c r="M345" s="12"/>
      <c r="N345" s="12"/>
      <c r="O345" s="12"/>
      <c r="P345" s="12"/>
      <c r="Q345" s="12"/>
      <c r="R345" s="12"/>
      <c r="S345" s="12"/>
      <c r="T345" s="12"/>
      <c r="U345" s="12"/>
      <c r="V345" s="12"/>
      <c r="W345" s="12"/>
    </row>
    <row r="346" spans="2:23" s="7" customFormat="1">
      <c r="B346" s="7" t="s">
        <v>702</v>
      </c>
      <c r="C346" s="40"/>
      <c r="D346" s="193"/>
      <c r="E346" s="160"/>
      <c r="F346" s="160"/>
      <c r="G346" s="160"/>
      <c r="H346" s="56"/>
      <c r="I346" s="56"/>
      <c r="J346" s="56"/>
      <c r="K346" s="12"/>
      <c r="L346" s="12"/>
      <c r="M346" s="12"/>
      <c r="N346" s="12"/>
      <c r="O346" s="12"/>
      <c r="P346" s="12"/>
      <c r="Q346" s="12"/>
      <c r="R346" s="12"/>
      <c r="S346" s="12"/>
      <c r="T346" s="12"/>
      <c r="U346" s="12"/>
      <c r="V346" s="12"/>
      <c r="W346" s="12"/>
    </row>
    <row r="347" spans="2:23" s="7" customFormat="1">
      <c r="C347" s="40"/>
      <c r="D347" s="193"/>
      <c r="E347" s="160"/>
      <c r="F347" s="160"/>
      <c r="G347" s="160"/>
      <c r="H347" s="56"/>
      <c r="I347" s="56"/>
      <c r="J347" s="56"/>
      <c r="K347" s="12"/>
      <c r="L347" s="12"/>
      <c r="M347" s="12"/>
      <c r="N347" s="12"/>
      <c r="O347" s="12"/>
      <c r="P347" s="12"/>
      <c r="Q347" s="12"/>
      <c r="R347" s="12"/>
      <c r="S347" s="12"/>
      <c r="T347" s="12"/>
      <c r="U347" s="12"/>
      <c r="V347" s="12"/>
      <c r="W347" s="12"/>
    </row>
    <row r="348" spans="2:23" s="7" customFormat="1">
      <c r="C348" s="159" t="s">
        <v>114</v>
      </c>
      <c r="D348" s="251">
        <f>SUM(E348:G348)</f>
        <v>31006.058884320002</v>
      </c>
      <c r="E348" s="157">
        <v>9137.4088787199998</v>
      </c>
      <c r="F348" s="157">
        <v>10231.750902880001</v>
      </c>
      <c r="G348" s="157">
        <v>11636.899102720001</v>
      </c>
      <c r="H348" s="56"/>
      <c r="I348" s="56"/>
      <c r="J348" s="56"/>
      <c r="K348" s="12"/>
      <c r="L348" s="12"/>
      <c r="M348" s="12"/>
      <c r="N348" s="12"/>
      <c r="O348" s="12"/>
      <c r="P348" s="12"/>
      <c r="Q348" s="12"/>
      <c r="R348" s="12"/>
      <c r="S348" s="12"/>
      <c r="T348" s="12"/>
      <c r="U348" s="12"/>
      <c r="V348" s="12"/>
      <c r="W348" s="12"/>
    </row>
    <row r="349" spans="2:23" s="7" customFormat="1">
      <c r="C349" s="1138" t="s">
        <v>113</v>
      </c>
      <c r="D349" s="1139">
        <f>SUM(E349:G349)</f>
        <v>232545.4417</v>
      </c>
      <c r="E349" s="160">
        <v>68530.566600000006</v>
      </c>
      <c r="F349" s="160">
        <v>76738.131800000003</v>
      </c>
      <c r="G349" s="160">
        <v>87276.743300000002</v>
      </c>
      <c r="H349" s="56"/>
      <c r="I349" s="56"/>
      <c r="J349" s="56"/>
      <c r="K349" s="12"/>
      <c r="L349" s="12"/>
      <c r="M349" s="12"/>
      <c r="N349" s="12"/>
      <c r="O349" s="12"/>
      <c r="P349" s="12"/>
      <c r="Q349" s="12"/>
      <c r="R349" s="12"/>
      <c r="S349" s="12"/>
      <c r="T349" s="12"/>
      <c r="U349" s="12"/>
      <c r="V349" s="12"/>
      <c r="W349" s="12"/>
    </row>
    <row r="350" spans="2:23" s="7" customFormat="1">
      <c r="C350" s="159" t="s">
        <v>112</v>
      </c>
      <c r="D350" s="251">
        <f>SUM(E350:G350)</f>
        <v>33559.559800000003</v>
      </c>
      <c r="E350" s="157">
        <v>9900.1638999999996</v>
      </c>
      <c r="F350" s="157">
        <v>11075.091</v>
      </c>
      <c r="G350" s="157">
        <v>12584.304899999999</v>
      </c>
      <c r="H350" s="12"/>
      <c r="I350" s="12"/>
      <c r="J350" s="12"/>
      <c r="K350" s="12"/>
      <c r="L350" s="12"/>
      <c r="M350" s="12"/>
      <c r="N350" s="12"/>
      <c r="O350" s="12"/>
      <c r="P350" s="12"/>
      <c r="Q350" s="12"/>
      <c r="R350" s="12"/>
      <c r="S350" s="12"/>
      <c r="T350" s="12"/>
      <c r="U350" s="12"/>
      <c r="V350" s="12"/>
      <c r="W350" s="12"/>
    </row>
    <row r="351" spans="2:23" s="7" customFormat="1">
      <c r="B351" s="40"/>
      <c r="C351" s="1138" t="s">
        <v>111</v>
      </c>
      <c r="D351" s="1139">
        <f>SUM(E351:G351)</f>
        <v>198985.88189999998</v>
      </c>
      <c r="E351" s="160">
        <v>58630.402699999999</v>
      </c>
      <c r="F351" s="160">
        <v>65663.040800000002</v>
      </c>
      <c r="G351" s="160">
        <v>74692.438399999999</v>
      </c>
      <c r="H351" s="12"/>
      <c r="I351" s="12"/>
      <c r="J351" s="12"/>
      <c r="K351" s="12"/>
      <c r="L351" s="12"/>
      <c r="M351" s="12"/>
      <c r="N351" s="12"/>
      <c r="O351" s="12"/>
      <c r="P351" s="12"/>
      <c r="Q351" s="12"/>
      <c r="R351" s="12"/>
      <c r="S351" s="12"/>
      <c r="T351" s="12"/>
      <c r="U351" s="12"/>
      <c r="V351" s="12"/>
      <c r="W351" s="12"/>
    </row>
    <row r="352" spans="2:23" s="7" customFormat="1">
      <c r="B352" s="7" t="s">
        <v>703</v>
      </c>
      <c r="C352" s="40"/>
      <c r="D352" s="950"/>
      <c r="E352" s="950"/>
      <c r="F352" s="950"/>
      <c r="G352" s="950"/>
      <c r="H352" s="12"/>
      <c r="I352" s="12"/>
      <c r="J352" s="12"/>
      <c r="K352" s="12"/>
      <c r="L352" s="12"/>
      <c r="M352" s="12"/>
      <c r="N352" s="12"/>
      <c r="O352" s="12"/>
      <c r="P352" s="12"/>
      <c r="Q352" s="12"/>
      <c r="R352" s="12"/>
      <c r="S352" s="12"/>
      <c r="T352" s="12"/>
      <c r="U352" s="12"/>
      <c r="V352" s="12"/>
      <c r="W352" s="12"/>
    </row>
    <row r="353" spans="2:23" s="7" customFormat="1">
      <c r="C353" s="39"/>
      <c r="D353" s="193"/>
      <c r="E353" s="160"/>
      <c r="F353" s="160"/>
      <c r="G353" s="160"/>
      <c r="H353" s="12"/>
      <c r="I353" s="12"/>
      <c r="J353" s="12"/>
      <c r="K353" s="12"/>
      <c r="L353" s="12"/>
      <c r="M353" s="12"/>
      <c r="N353" s="12"/>
      <c r="O353" s="12"/>
      <c r="P353" s="12"/>
      <c r="Q353" s="12"/>
      <c r="R353" s="12"/>
      <c r="S353" s="12"/>
      <c r="T353" s="12"/>
      <c r="U353" s="12"/>
      <c r="V353" s="12"/>
      <c r="W353" s="12"/>
    </row>
    <row r="354" spans="2:23" s="7" customFormat="1">
      <c r="C354" s="159" t="s">
        <v>114</v>
      </c>
      <c r="D354" s="251">
        <f>SUM(E354:G354)</f>
        <v>20844.605457919999</v>
      </c>
      <c r="E354" s="157">
        <v>6108.8602380800003</v>
      </c>
      <c r="F354" s="157">
        <v>7044.2864959999997</v>
      </c>
      <c r="G354" s="157">
        <v>7691.4587238399999</v>
      </c>
      <c r="H354" s="12"/>
      <c r="I354" s="12"/>
      <c r="J354" s="12"/>
      <c r="K354" s="12"/>
      <c r="L354" s="12"/>
      <c r="M354" s="12"/>
      <c r="N354" s="12"/>
      <c r="O354" s="12"/>
      <c r="P354" s="12"/>
      <c r="Q354" s="12"/>
      <c r="R354" s="12"/>
      <c r="S354" s="12"/>
      <c r="T354" s="12"/>
      <c r="U354" s="12"/>
      <c r="V354" s="12"/>
      <c r="W354" s="12"/>
    </row>
    <row r="355" spans="2:23" s="7" customFormat="1">
      <c r="C355" s="1138" t="s">
        <v>113</v>
      </c>
      <c r="D355" s="1139">
        <f>SUM(E355:G355)</f>
        <v>156334.54089999999</v>
      </c>
      <c r="E355" s="160">
        <v>45816.451800000003</v>
      </c>
      <c r="F355" s="160">
        <v>52832.148699999998</v>
      </c>
      <c r="G355" s="160">
        <v>57685.940399999999</v>
      </c>
      <c r="H355" s="12"/>
      <c r="I355" s="12"/>
      <c r="J355" s="12"/>
      <c r="K355" s="12"/>
      <c r="L355" s="12"/>
      <c r="M355" s="12"/>
      <c r="N355" s="12"/>
      <c r="O355" s="12"/>
      <c r="P355" s="12"/>
      <c r="Q355" s="12"/>
      <c r="R355" s="12"/>
      <c r="S355" s="12"/>
      <c r="T355" s="12"/>
      <c r="U355" s="12"/>
      <c r="V355" s="12"/>
      <c r="W355" s="12"/>
    </row>
    <row r="356" spans="2:23" s="7" customFormat="1">
      <c r="C356" s="159" t="s">
        <v>112</v>
      </c>
      <c r="D356" s="251">
        <f>SUM(E356:G356)</f>
        <v>22717.275099999999</v>
      </c>
      <c r="E356" s="157">
        <v>6666.5792000000001</v>
      </c>
      <c r="F356" s="157">
        <v>7672.0351000000001</v>
      </c>
      <c r="G356" s="157">
        <v>8378.6607999999997</v>
      </c>
      <c r="H356" s="12"/>
      <c r="I356" s="12"/>
      <c r="J356" s="12"/>
      <c r="K356" s="12"/>
      <c r="L356" s="12"/>
      <c r="M356" s="12"/>
      <c r="N356" s="12"/>
      <c r="O356" s="12"/>
      <c r="P356" s="12"/>
      <c r="Q356" s="12"/>
      <c r="R356" s="12"/>
      <c r="S356" s="12"/>
      <c r="T356" s="12"/>
      <c r="U356" s="12"/>
      <c r="V356" s="12"/>
      <c r="W356" s="12"/>
    </row>
    <row r="357" spans="2:23" s="7" customFormat="1">
      <c r="B357" s="67"/>
      <c r="C357" s="1138" t="s">
        <v>111</v>
      </c>
      <c r="D357" s="1139">
        <f>SUM(E357:G357)</f>
        <v>133617.26569999999</v>
      </c>
      <c r="E357" s="160">
        <v>39149.872499999998</v>
      </c>
      <c r="F357" s="160">
        <v>45160.113599999997</v>
      </c>
      <c r="G357" s="160">
        <v>49307.279600000002</v>
      </c>
      <c r="H357" s="12"/>
      <c r="I357" s="12"/>
      <c r="J357" s="12"/>
      <c r="K357" s="12"/>
      <c r="L357" s="12"/>
      <c r="M357" s="12"/>
      <c r="N357" s="12"/>
      <c r="O357" s="12"/>
      <c r="P357" s="12"/>
      <c r="Q357" s="12"/>
      <c r="R357" s="12"/>
      <c r="S357" s="12"/>
      <c r="T357" s="12"/>
      <c r="U357" s="12"/>
      <c r="V357" s="12"/>
      <c r="W357" s="12"/>
    </row>
    <row r="358" spans="2:23" s="7" customFormat="1">
      <c r="B358" s="12" t="s">
        <v>704</v>
      </c>
      <c r="C358" s="12"/>
      <c r="D358" s="193"/>
      <c r="E358" s="160"/>
      <c r="F358" s="160"/>
      <c r="G358" s="160"/>
      <c r="H358" s="12"/>
      <c r="I358" s="12"/>
      <c r="J358" s="12"/>
      <c r="K358" s="12"/>
      <c r="L358" s="12"/>
      <c r="M358" s="12"/>
      <c r="N358" s="12"/>
      <c r="O358" s="12"/>
      <c r="P358" s="12"/>
      <c r="Q358" s="12"/>
      <c r="R358" s="12"/>
      <c r="S358" s="12"/>
      <c r="T358" s="12"/>
      <c r="U358" s="12"/>
      <c r="V358" s="12"/>
      <c r="W358" s="12"/>
    </row>
    <row r="359" spans="2:23" s="7" customFormat="1">
      <c r="B359" s="40"/>
      <c r="C359" s="40"/>
      <c r="D359" s="193"/>
      <c r="E359" s="160"/>
      <c r="F359" s="160"/>
      <c r="G359" s="160"/>
      <c r="H359" s="12"/>
      <c r="I359" s="12"/>
      <c r="J359" s="12"/>
      <c r="K359" s="12"/>
      <c r="L359" s="12"/>
      <c r="M359" s="12"/>
      <c r="N359" s="12"/>
      <c r="O359" s="12"/>
      <c r="P359" s="12"/>
      <c r="Q359" s="12"/>
      <c r="R359" s="12"/>
      <c r="S359" s="12"/>
      <c r="T359" s="12"/>
      <c r="U359" s="12"/>
      <c r="V359" s="12"/>
      <c r="W359" s="12"/>
    </row>
    <row r="360" spans="2:23" s="7" customFormat="1">
      <c r="C360" s="159" t="s">
        <v>114</v>
      </c>
      <c r="D360" s="251">
        <f>SUM(E360:G360)</f>
        <v>166517.31552111806</v>
      </c>
      <c r="E360" s="157">
        <v>47811.663235976092</v>
      </c>
      <c r="F360" s="157">
        <v>54773.518299434014</v>
      </c>
      <c r="G360" s="157">
        <v>63932.133985707944</v>
      </c>
      <c r="H360" s="12"/>
      <c r="I360" s="12"/>
      <c r="J360" s="12"/>
      <c r="K360" s="12"/>
      <c r="L360" s="12"/>
      <c r="M360" s="12"/>
      <c r="N360" s="12"/>
      <c r="O360" s="12"/>
      <c r="P360" s="12"/>
      <c r="Q360" s="12"/>
      <c r="R360" s="12"/>
      <c r="S360" s="12"/>
      <c r="T360" s="12"/>
      <c r="U360" s="12"/>
      <c r="V360" s="12"/>
      <c r="W360" s="12"/>
    </row>
    <row r="361" spans="2:23" s="7" customFormat="1">
      <c r="B361" s="40"/>
      <c r="C361" s="1140" t="s">
        <v>113</v>
      </c>
      <c r="D361" s="1139">
        <f>SUM(E361:G361)</f>
        <v>549507.14130000002</v>
      </c>
      <c r="E361" s="1141">
        <v>157778.48869999999</v>
      </c>
      <c r="F361" s="1141">
        <v>180752.61040000001</v>
      </c>
      <c r="G361" s="1141">
        <v>210976.0422</v>
      </c>
      <c r="H361" s="12"/>
      <c r="I361" s="12"/>
      <c r="J361" s="12"/>
      <c r="K361" s="12"/>
      <c r="L361" s="12"/>
      <c r="M361" s="12"/>
      <c r="N361" s="12"/>
      <c r="O361" s="12"/>
      <c r="P361" s="12"/>
      <c r="Q361" s="12"/>
      <c r="R361" s="12"/>
      <c r="S361" s="12"/>
      <c r="T361" s="12"/>
      <c r="U361" s="12"/>
      <c r="V361" s="12"/>
      <c r="W361" s="12"/>
    </row>
    <row r="362" spans="2:23" s="7" customFormat="1">
      <c r="B362" s="12"/>
      <c r="C362" s="159" t="s">
        <v>112</v>
      </c>
      <c r="D362" s="252">
        <f>SUM(E362:G362)</f>
        <v>182021.3388</v>
      </c>
      <c r="E362" s="253">
        <v>52286.376499999998</v>
      </c>
      <c r="F362" s="253">
        <v>59789.436900000001</v>
      </c>
      <c r="G362" s="253">
        <v>69945.525399999999</v>
      </c>
      <c r="H362" s="12"/>
      <c r="I362" s="12"/>
      <c r="J362" s="12"/>
      <c r="K362" s="12"/>
      <c r="L362" s="12"/>
      <c r="M362" s="12"/>
      <c r="N362" s="12"/>
      <c r="O362" s="12"/>
      <c r="P362" s="12"/>
      <c r="Q362" s="12"/>
      <c r="R362" s="12"/>
      <c r="S362" s="12"/>
      <c r="T362" s="12"/>
      <c r="U362" s="12"/>
      <c r="V362" s="12"/>
      <c r="W362" s="12"/>
    </row>
    <row r="363" spans="2:23" s="7" customFormat="1">
      <c r="C363" s="1140" t="s">
        <v>111</v>
      </c>
      <c r="D363" s="1139">
        <f>SUM(E363:G363)</f>
        <v>367485.80240000004</v>
      </c>
      <c r="E363" s="1141">
        <v>105492.1122</v>
      </c>
      <c r="F363" s="1141">
        <v>120963.1735</v>
      </c>
      <c r="G363" s="1141">
        <v>141030.51670000001</v>
      </c>
      <c r="H363" s="12"/>
      <c r="I363" s="12"/>
      <c r="J363" s="12"/>
      <c r="K363" s="12"/>
      <c r="L363" s="12"/>
      <c r="M363" s="12"/>
      <c r="N363" s="12"/>
      <c r="O363" s="12"/>
      <c r="P363" s="12"/>
      <c r="Q363" s="12"/>
      <c r="R363" s="12"/>
      <c r="S363" s="12"/>
      <c r="T363" s="12"/>
      <c r="U363" s="12"/>
      <c r="V363" s="12"/>
      <c r="W363" s="12"/>
    </row>
    <row r="364" spans="2:23" s="7" customFormat="1">
      <c r="B364" s="7" t="s">
        <v>705</v>
      </c>
      <c r="C364" s="12"/>
      <c r="D364" s="95"/>
      <c r="E364" s="95"/>
      <c r="F364" s="95"/>
      <c r="G364" s="95"/>
      <c r="H364" s="12"/>
      <c r="I364" s="12"/>
      <c r="J364" s="12"/>
      <c r="K364" s="12"/>
      <c r="L364" s="12"/>
      <c r="M364" s="12"/>
      <c r="N364" s="12"/>
      <c r="O364" s="12"/>
      <c r="P364" s="12"/>
      <c r="Q364" s="12"/>
      <c r="R364" s="12"/>
      <c r="S364" s="12"/>
      <c r="T364" s="12"/>
      <c r="U364" s="12"/>
      <c r="V364" s="12"/>
      <c r="W364" s="12"/>
    </row>
    <row r="365" spans="2:23" s="7" customFormat="1">
      <c r="B365" s="12"/>
      <c r="C365" s="12"/>
      <c r="D365" s="95"/>
      <c r="E365" s="95"/>
      <c r="F365" s="95"/>
      <c r="G365" s="95"/>
      <c r="H365" s="12"/>
      <c r="I365" s="12"/>
      <c r="J365" s="12"/>
      <c r="K365" s="12"/>
      <c r="L365" s="12"/>
      <c r="M365" s="12"/>
      <c r="N365" s="12"/>
      <c r="O365" s="12"/>
      <c r="P365" s="12"/>
      <c r="Q365" s="12"/>
      <c r="R365" s="12"/>
      <c r="S365" s="12"/>
      <c r="T365" s="12"/>
      <c r="U365" s="12"/>
      <c r="V365" s="12"/>
      <c r="W365" s="12"/>
    </row>
    <row r="366" spans="2:23" s="7" customFormat="1">
      <c r="B366" s="12"/>
      <c r="C366" s="159" t="s">
        <v>114</v>
      </c>
      <c r="D366" s="252">
        <f>SUM(E366:G366)</f>
        <v>184697.82654436512</v>
      </c>
      <c r="E366" s="252">
        <v>62023.871901330385</v>
      </c>
      <c r="F366" s="252">
        <v>59835.668712980078</v>
      </c>
      <c r="G366" s="252">
        <v>62838.285930054662</v>
      </c>
      <c r="H366" s="12"/>
      <c r="I366" s="12"/>
      <c r="J366" s="12"/>
      <c r="K366" s="12"/>
      <c r="L366" s="12"/>
      <c r="M366" s="12"/>
      <c r="N366" s="12"/>
      <c r="O366" s="12"/>
      <c r="P366" s="12"/>
      <c r="Q366" s="12"/>
      <c r="R366" s="12"/>
      <c r="S366" s="12"/>
      <c r="T366" s="12"/>
      <c r="U366" s="12"/>
      <c r="V366" s="12"/>
      <c r="W366" s="12"/>
    </row>
    <row r="367" spans="2:23" s="7" customFormat="1">
      <c r="B367" s="40"/>
      <c r="C367" s="1138" t="s">
        <v>113</v>
      </c>
      <c r="D367" s="254">
        <f>SUM(E367:G367)</f>
        <v>609502.82770000002</v>
      </c>
      <c r="E367" s="254">
        <v>204678.77729999999</v>
      </c>
      <c r="F367" s="254">
        <v>197457.70680000001</v>
      </c>
      <c r="G367" s="254">
        <v>207366.34359999999</v>
      </c>
      <c r="H367" s="156"/>
      <c r="I367" s="156"/>
      <c r="J367" s="156"/>
      <c r="K367" s="156"/>
      <c r="L367" s="156"/>
      <c r="M367" s="156"/>
      <c r="N367" s="156"/>
      <c r="O367" s="156"/>
      <c r="P367" s="12"/>
      <c r="Q367" s="12"/>
      <c r="R367" s="12"/>
      <c r="S367" s="12"/>
      <c r="T367" s="12"/>
      <c r="U367" s="12"/>
      <c r="V367" s="12"/>
      <c r="W367" s="12"/>
    </row>
    <row r="368" spans="2:23" s="7" customFormat="1">
      <c r="B368" s="40"/>
      <c r="C368" s="159" t="s">
        <v>112</v>
      </c>
      <c r="D368" s="255">
        <f>SUM(E368:G368)</f>
        <v>202105.32550000001</v>
      </c>
      <c r="E368" s="255">
        <v>67864.301000000007</v>
      </c>
      <c r="F368" s="255">
        <v>65487.7935</v>
      </c>
      <c r="G368" s="255">
        <v>68753.231</v>
      </c>
      <c r="H368" s="156"/>
      <c r="I368" s="156"/>
      <c r="J368" s="156"/>
      <c r="K368" s="156"/>
      <c r="L368" s="156"/>
      <c r="M368" s="156"/>
      <c r="N368" s="156"/>
      <c r="O368" s="156"/>
      <c r="P368" s="12"/>
      <c r="Q368" s="12"/>
      <c r="R368" s="12"/>
      <c r="S368" s="12"/>
      <c r="T368" s="12"/>
      <c r="U368" s="12"/>
      <c r="V368" s="12"/>
      <c r="W368" s="12"/>
    </row>
    <row r="369" spans="2:23" s="7" customFormat="1">
      <c r="B369" s="40"/>
      <c r="C369" s="1138" t="s">
        <v>111</v>
      </c>
      <c r="D369" s="254">
        <f>SUM(E369:G369)</f>
        <v>407397.50199999998</v>
      </c>
      <c r="E369" s="254">
        <v>136814.4762</v>
      </c>
      <c r="F369" s="254">
        <v>131969.91329999999</v>
      </c>
      <c r="G369" s="254">
        <v>138613.11249999999</v>
      </c>
      <c r="H369" s="156"/>
      <c r="I369" s="156"/>
      <c r="J369" s="156"/>
      <c r="K369" s="156"/>
      <c r="L369" s="156"/>
      <c r="M369" s="156"/>
      <c r="N369" s="156"/>
      <c r="O369" s="156"/>
      <c r="P369" s="12"/>
      <c r="Q369" s="12"/>
      <c r="R369" s="12"/>
      <c r="S369" s="12"/>
      <c r="T369" s="12"/>
      <c r="U369" s="12"/>
      <c r="V369" s="12"/>
      <c r="W369" s="12"/>
    </row>
    <row r="370" spans="2:23" s="7" customFormat="1">
      <c r="B370" s="12" t="s">
        <v>706</v>
      </c>
      <c r="C370" s="12"/>
      <c r="D370" s="95"/>
      <c r="E370" s="95"/>
      <c r="F370" s="95"/>
      <c r="G370" s="95"/>
      <c r="H370" s="12"/>
      <c r="I370" s="12"/>
      <c r="J370" s="12"/>
      <c r="K370" s="12"/>
      <c r="L370" s="12"/>
      <c r="M370" s="12"/>
      <c r="N370" s="12"/>
      <c r="O370" s="12"/>
      <c r="P370" s="12"/>
      <c r="Q370" s="12"/>
      <c r="R370" s="12"/>
      <c r="S370" s="12"/>
      <c r="T370" s="12"/>
      <c r="U370" s="12"/>
      <c r="V370" s="12"/>
      <c r="W370" s="12"/>
    </row>
    <row r="371" spans="2:23" s="7" customFormat="1">
      <c r="B371" s="12"/>
      <c r="C371" s="12"/>
      <c r="D371" s="95"/>
      <c r="E371" s="95"/>
      <c r="F371" s="95"/>
      <c r="G371" s="95"/>
      <c r="H371" s="12"/>
      <c r="I371" s="12"/>
      <c r="J371" s="12"/>
      <c r="K371" s="12"/>
      <c r="L371" s="12"/>
      <c r="M371" s="12"/>
      <c r="N371" s="12"/>
      <c r="O371" s="12"/>
      <c r="P371" s="12"/>
      <c r="Q371" s="12"/>
      <c r="R371" s="12"/>
      <c r="S371" s="12"/>
      <c r="T371" s="12"/>
      <c r="U371" s="12"/>
      <c r="V371" s="12"/>
      <c r="W371" s="12"/>
    </row>
    <row r="372" spans="2:23" s="7" customFormat="1">
      <c r="B372" s="12"/>
      <c r="C372" s="159" t="s">
        <v>114</v>
      </c>
      <c r="D372" s="252">
        <f>SUM(E372:G372)</f>
        <v>24455.813198039988</v>
      </c>
      <c r="E372" s="252">
        <v>8374.3543195199982</v>
      </c>
      <c r="F372" s="252">
        <v>8400.529506359997</v>
      </c>
      <c r="G372" s="252">
        <v>7680.9293721599934</v>
      </c>
      <c r="H372" s="12"/>
      <c r="I372" s="12"/>
      <c r="J372" s="12"/>
      <c r="K372" s="12"/>
      <c r="L372" s="12"/>
      <c r="M372" s="12"/>
      <c r="N372" s="12"/>
      <c r="O372" s="12"/>
      <c r="P372" s="12"/>
      <c r="Q372" s="12"/>
      <c r="R372" s="12"/>
      <c r="S372" s="12"/>
      <c r="T372" s="12"/>
      <c r="U372" s="12"/>
      <c r="V372" s="12"/>
      <c r="W372" s="12"/>
    </row>
    <row r="373" spans="2:23" s="7" customFormat="1">
      <c r="B373" s="12"/>
      <c r="C373" s="1138" t="s">
        <v>113</v>
      </c>
      <c r="D373" s="1141">
        <f>SUM(E373:G373)</f>
        <v>146734.87910000002</v>
      </c>
      <c r="E373" s="1141">
        <v>50246.125899999999</v>
      </c>
      <c r="F373" s="1141">
        <v>50403.177000000003</v>
      </c>
      <c r="G373" s="1141">
        <v>46085.576200000003</v>
      </c>
      <c r="H373" s="12"/>
      <c r="I373" s="12"/>
      <c r="J373" s="12"/>
      <c r="K373" s="12"/>
      <c r="L373" s="12"/>
      <c r="M373" s="12"/>
      <c r="N373" s="12"/>
      <c r="O373" s="12"/>
      <c r="P373" s="12"/>
      <c r="Q373" s="12"/>
      <c r="R373" s="12"/>
      <c r="S373" s="12"/>
      <c r="T373" s="12"/>
      <c r="U373" s="12"/>
      <c r="V373" s="12"/>
      <c r="W373" s="12"/>
    </row>
    <row r="374" spans="2:23" s="7" customFormat="1">
      <c r="B374" s="12"/>
      <c r="C374" s="159" t="s">
        <v>112</v>
      </c>
      <c r="D374" s="252">
        <f>SUM(E374:G374)</f>
        <v>26953.180200000003</v>
      </c>
      <c r="E374" s="252">
        <v>9237.6699000000008</v>
      </c>
      <c r="F374" s="252">
        <v>9258.4994000000006</v>
      </c>
      <c r="G374" s="252">
        <v>8457.0108999999993</v>
      </c>
      <c r="H374" s="12"/>
      <c r="I374" s="12"/>
      <c r="J374" s="12"/>
      <c r="K374" s="12"/>
      <c r="L374" s="12"/>
      <c r="M374" s="12"/>
      <c r="N374" s="12"/>
      <c r="O374" s="12"/>
      <c r="P374" s="12"/>
      <c r="Q374" s="12"/>
      <c r="R374" s="12"/>
      <c r="S374" s="12"/>
      <c r="T374" s="12"/>
      <c r="U374" s="12"/>
      <c r="V374" s="12"/>
      <c r="W374" s="12"/>
    </row>
    <row r="375" spans="2:23" s="7" customFormat="1">
      <c r="B375" s="12"/>
      <c r="C375" s="1138" t="s">
        <v>111</v>
      </c>
      <c r="D375" s="1141">
        <f>SUM(E375:G375)</f>
        <v>119781.69899999999</v>
      </c>
      <c r="E375" s="1141">
        <v>41008.455999999998</v>
      </c>
      <c r="F375" s="1141">
        <v>41144.677600000003</v>
      </c>
      <c r="G375" s="1141">
        <v>37628.565399999999</v>
      </c>
      <c r="H375" s="12"/>
      <c r="I375" s="12"/>
      <c r="J375" s="12"/>
      <c r="K375" s="12"/>
      <c r="L375" s="12"/>
      <c r="M375" s="12"/>
      <c r="N375" s="12"/>
      <c r="O375" s="12"/>
      <c r="P375" s="12"/>
      <c r="Q375" s="12"/>
      <c r="R375" s="12"/>
      <c r="S375" s="12"/>
      <c r="T375" s="12"/>
      <c r="U375" s="12"/>
      <c r="V375" s="12"/>
      <c r="W375" s="12"/>
    </row>
    <row r="376" spans="2:23" s="7" customFormat="1">
      <c r="B376" s="12"/>
      <c r="C376" s="12"/>
      <c r="D376" s="95"/>
      <c r="E376" s="95"/>
      <c r="F376" s="95"/>
      <c r="G376" s="95"/>
      <c r="H376" s="12"/>
      <c r="I376" s="12"/>
      <c r="J376" s="12"/>
      <c r="K376" s="12"/>
      <c r="L376" s="12"/>
      <c r="M376" s="12"/>
      <c r="N376" s="12"/>
      <c r="O376" s="12"/>
      <c r="P376" s="12"/>
      <c r="Q376" s="12"/>
      <c r="R376" s="12"/>
      <c r="S376" s="12"/>
      <c r="T376" s="12"/>
      <c r="U376" s="12"/>
      <c r="V376" s="12"/>
      <c r="W376" s="12"/>
    </row>
    <row r="377" spans="2:23" s="7" customFormat="1">
      <c r="B377" s="12"/>
      <c r="C377" s="1140" t="s">
        <v>110</v>
      </c>
      <c r="D377" s="1141">
        <f>SUM(E377:G377)</f>
        <v>2405199.0027000001</v>
      </c>
      <c r="E377" s="1141">
        <v>741236.73259999999</v>
      </c>
      <c r="F377" s="1141">
        <v>786572.66639999999</v>
      </c>
      <c r="G377" s="1141">
        <v>877389.60369999998</v>
      </c>
      <c r="H377" s="12"/>
      <c r="I377" s="12"/>
      <c r="J377" s="12"/>
      <c r="K377" s="12"/>
      <c r="L377" s="12"/>
      <c r="M377" s="12"/>
      <c r="N377" s="12"/>
      <c r="O377" s="12"/>
      <c r="P377" s="12"/>
      <c r="Q377" s="12"/>
      <c r="R377" s="12"/>
      <c r="S377" s="12"/>
      <c r="T377" s="12"/>
      <c r="U377" s="12"/>
      <c r="V377" s="12"/>
      <c r="W377" s="12"/>
    </row>
    <row r="378" spans="2:23" s="7" customFormat="1">
      <c r="B378" s="12"/>
      <c r="C378" s="360" t="s">
        <v>124</v>
      </c>
      <c r="D378" s="252">
        <f>SUM(E378:G378)</f>
        <v>567150.78170000005</v>
      </c>
      <c r="E378" s="252">
        <v>176022.4779</v>
      </c>
      <c r="F378" s="252">
        <v>185353.91620000001</v>
      </c>
      <c r="G378" s="252">
        <v>205774.38759999999</v>
      </c>
      <c r="H378" s="12"/>
      <c r="I378" s="12"/>
      <c r="J378" s="12"/>
      <c r="K378" s="12"/>
      <c r="L378" s="12"/>
      <c r="M378" s="12"/>
      <c r="N378" s="12"/>
      <c r="O378" s="12"/>
      <c r="P378" s="12"/>
      <c r="Q378" s="12"/>
      <c r="R378" s="12"/>
      <c r="S378" s="12"/>
      <c r="T378" s="12"/>
      <c r="U378" s="12"/>
      <c r="V378" s="12"/>
      <c r="W378" s="12"/>
    </row>
    <row r="379" spans="2:23" s="7" customFormat="1">
      <c r="C379" s="1142" t="s">
        <v>505</v>
      </c>
      <c r="D379" s="1141">
        <f>SUM(E379:G379)</f>
        <v>1838048.2209000001</v>
      </c>
      <c r="E379" s="1141">
        <v>565214.25470000005</v>
      </c>
      <c r="F379" s="1141">
        <v>601218.75020000001</v>
      </c>
      <c r="G379" s="1141">
        <v>671615.21600000001</v>
      </c>
    </row>
    <row r="380" spans="2:23" s="7" customFormat="1">
      <c r="D380" s="95"/>
      <c r="E380" s="95"/>
      <c r="F380" s="95"/>
      <c r="G380" s="95"/>
    </row>
    <row r="381" spans="2:23" s="7" customFormat="1">
      <c r="B381" s="7" t="s">
        <v>120</v>
      </c>
      <c r="D381" s="95"/>
      <c r="E381" s="95"/>
      <c r="F381" s="95"/>
      <c r="G381" s="95"/>
    </row>
    <row r="382" spans="2:23" s="7" customFormat="1">
      <c r="C382" s="361" t="s">
        <v>369</v>
      </c>
      <c r="D382" s="252">
        <f>SUM(E382:G382)</f>
        <v>202307</v>
      </c>
      <c r="E382" s="252">
        <v>62500</v>
      </c>
      <c r="F382" s="252">
        <v>66950</v>
      </c>
      <c r="G382" s="252">
        <v>72857</v>
      </c>
    </row>
    <row r="383" spans="2:23" s="7" customFormat="1">
      <c r="C383" s="1142" t="s">
        <v>387</v>
      </c>
      <c r="D383" s="1141">
        <f>SUM(E383:G383)</f>
        <v>86209.600000000006</v>
      </c>
      <c r="E383" s="1141">
        <v>23500</v>
      </c>
      <c r="F383" s="1141">
        <v>31410</v>
      </c>
      <c r="G383" s="1141">
        <v>31299.599999999999</v>
      </c>
    </row>
    <row r="384" spans="2:23" s="7" customFormat="1">
      <c r="C384" s="361" t="s">
        <v>366</v>
      </c>
      <c r="D384" s="252">
        <f>SUM(E384:G384)</f>
        <v>161845</v>
      </c>
      <c r="E384" s="252">
        <v>51500</v>
      </c>
      <c r="F384" s="252">
        <v>51200</v>
      </c>
      <c r="G384" s="252">
        <v>59145</v>
      </c>
    </row>
    <row r="385" spans="2:7" s="7" customFormat="1">
      <c r="C385" s="1142" t="s">
        <v>83</v>
      </c>
      <c r="D385" s="1141">
        <f>SUM(E385:G385)</f>
        <v>16664</v>
      </c>
      <c r="E385" s="1141">
        <v>5000</v>
      </c>
      <c r="F385" s="1141">
        <v>5400</v>
      </c>
      <c r="G385" s="1141">
        <v>6264</v>
      </c>
    </row>
    <row r="386" spans="2:7" s="7" customFormat="1">
      <c r="C386" s="19"/>
      <c r="D386" s="95"/>
      <c r="E386" s="95"/>
      <c r="F386" s="95"/>
      <c r="G386" s="95"/>
    </row>
    <row r="387" spans="2:7" s="7" customFormat="1">
      <c r="C387" s="1142" t="s">
        <v>108</v>
      </c>
      <c r="D387" s="1141">
        <f>SUM(E387:G387)</f>
        <v>65092.7163</v>
      </c>
      <c r="E387" s="1141">
        <v>21697.572100000001</v>
      </c>
      <c r="F387" s="1141">
        <v>21697.572100000001</v>
      </c>
      <c r="G387" s="1141">
        <v>21697.572100000001</v>
      </c>
    </row>
    <row r="388" spans="2:7" s="7" customFormat="1">
      <c r="D388" s="95"/>
      <c r="E388" s="95"/>
      <c r="F388" s="95"/>
      <c r="G388" s="95"/>
    </row>
    <row r="389" spans="2:7" s="7" customFormat="1">
      <c r="C389" s="1142" t="s">
        <v>107</v>
      </c>
      <c r="D389" s="1141">
        <f>SUM(E389:G389)</f>
        <v>566693.31629999995</v>
      </c>
      <c r="E389" s="1141">
        <v>171697.57209999999</v>
      </c>
      <c r="F389" s="1141">
        <v>190907.57209999999</v>
      </c>
      <c r="G389" s="1141">
        <v>204088.1721</v>
      </c>
    </row>
    <row r="390" spans="2:7" s="7" customFormat="1">
      <c r="B390" s="19"/>
      <c r="C390" s="19"/>
      <c r="D390" s="95"/>
      <c r="E390" s="95"/>
      <c r="F390" s="95"/>
      <c r="G390" s="95"/>
    </row>
    <row r="391" spans="2:7" s="7" customFormat="1">
      <c r="C391" s="1142" t="s">
        <v>76</v>
      </c>
      <c r="D391" s="1141">
        <f>SUM(E391:G391)</f>
        <v>34575</v>
      </c>
      <c r="E391" s="1141">
        <v>7500</v>
      </c>
      <c r="F391" s="1141">
        <v>14250</v>
      </c>
      <c r="G391" s="1141">
        <v>12825</v>
      </c>
    </row>
    <row r="392" spans="2:7" s="7" customFormat="1">
      <c r="C392" s="361" t="s">
        <v>126</v>
      </c>
      <c r="D392" s="252">
        <f>SUM(E392:G392)</f>
        <v>1271354.9046</v>
      </c>
      <c r="E392" s="252">
        <v>393516.6826</v>
      </c>
      <c r="F392" s="252">
        <v>410311.17810000002</v>
      </c>
      <c r="G392" s="252">
        <v>467527.04389999999</v>
      </c>
    </row>
    <row r="393" spans="2:7" s="7" customFormat="1">
      <c r="C393" s="19"/>
      <c r="D393" s="95"/>
      <c r="E393" s="95"/>
      <c r="F393" s="95"/>
      <c r="G393" s="95"/>
    </row>
    <row r="394" spans="2:7" s="7" customFormat="1">
      <c r="C394" s="19"/>
      <c r="D394" s="95"/>
      <c r="E394" s="95"/>
      <c r="F394" s="95"/>
      <c r="G394" s="95"/>
    </row>
    <row r="395" spans="2:7">
      <c r="C395" s="1143" t="s">
        <v>683</v>
      </c>
      <c r="D395" s="1141"/>
      <c r="E395" s="1141">
        <v>126051.9528</v>
      </c>
      <c r="F395" s="1141">
        <v>413885.24420000002</v>
      </c>
      <c r="G395" s="1141">
        <v>741855.46550000005</v>
      </c>
    </row>
    <row r="396" spans="2:7">
      <c r="C396" s="951" t="s">
        <v>105</v>
      </c>
      <c r="D396" s="252">
        <f>SUM(E396:G396)</f>
        <v>891855.46550000005</v>
      </c>
      <c r="E396" s="252">
        <v>276051.95280000003</v>
      </c>
      <c r="F396" s="252">
        <v>287833.29139999999</v>
      </c>
      <c r="G396" s="252">
        <v>327970.22129999998</v>
      </c>
    </row>
    <row r="397" spans="2:7">
      <c r="C397" s="1143" t="s">
        <v>116</v>
      </c>
      <c r="D397" s="1141" t="s">
        <v>393</v>
      </c>
      <c r="E397" s="1141" t="s">
        <v>35</v>
      </c>
      <c r="F397" s="1141" t="s">
        <v>34</v>
      </c>
      <c r="G397" s="1141" t="s">
        <v>103</v>
      </c>
    </row>
    <row r="398" spans="2:7">
      <c r="D398" s="95"/>
      <c r="E398" s="95"/>
      <c r="F398" s="95"/>
      <c r="G398" s="95"/>
    </row>
    <row r="399" spans="2:7">
      <c r="D399" s="95"/>
      <c r="E399" s="95"/>
      <c r="F399" s="95"/>
      <c r="G399" s="95"/>
    </row>
    <row r="400" spans="2:7">
      <c r="D400" s="95"/>
      <c r="E400" s="95"/>
      <c r="F400" s="95"/>
      <c r="G400" s="95"/>
    </row>
  </sheetData>
  <sheetProtection algorithmName="SHA-512" hashValue="+g3elzGvSzpsogujC1qGdacuwm7amSq25KNzLbfmBIQcWrg/BoZZ0KLa11QqYKpZlxJxDfXoOyn+EFhDoDxLLg==" saltValue="DU3/MJfx+CuePdItuByZZQ==" spinCount="100000" sheet="1" objects="1" scenarios="1"/>
  <mergeCells count="1">
    <mergeCell ref="E48:H48"/>
  </mergeCells>
  <phoneticPr fontId="87" type="noConversion"/>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419100</xdr:colOff>
                <xdr:row>0</xdr:row>
                <xdr:rowOff>390525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AH480"/>
  <sheetViews>
    <sheetView showGridLines="0" showRowColHeaders="0" zoomScale="85" zoomScaleNormal="85" zoomScalePageLayoutView="90" workbookViewId="0">
      <pane ySplit="1" topLeftCell="A200" activePane="bottomLeft" state="frozen"/>
      <selection activeCell="D50" sqref="D50"/>
      <selection pane="bottomLeft" activeCell="Q223" sqref="Q223"/>
    </sheetView>
  </sheetViews>
  <sheetFormatPr defaultColWidth="9.140625" defaultRowHeight="11.25"/>
  <cols>
    <col min="1" max="1" width="10.140625" style="7" customWidth="1"/>
    <col min="2" max="2" width="19.42578125" style="7" customWidth="1"/>
    <col min="3" max="3" width="9.5703125" style="7" customWidth="1"/>
    <col min="4" max="4" width="13.42578125" style="7" customWidth="1"/>
    <col min="5" max="5" width="13.5703125" style="7" bestFit="1" customWidth="1"/>
    <col min="6" max="7" width="11.42578125" style="7" customWidth="1"/>
    <col min="8" max="8" width="12" style="7" customWidth="1"/>
    <col min="9" max="9" width="15.42578125" style="7" customWidth="1"/>
    <col min="10" max="10" width="16.42578125" style="7" customWidth="1"/>
    <col min="11" max="11" width="14.5703125" style="7" customWidth="1"/>
    <col min="12" max="12" width="13.140625" style="768" customWidth="1"/>
    <col min="13" max="13" width="12.42578125" style="7" bestFit="1" customWidth="1"/>
    <col min="14" max="14" width="12" style="7" customWidth="1"/>
    <col min="15" max="15" width="11.140625" style="768" customWidth="1"/>
    <col min="16" max="16" width="12.5703125" style="768" customWidth="1"/>
    <col min="17" max="17" width="13.42578125" style="12" customWidth="1"/>
    <col min="18" max="18" width="10.5703125" style="7" customWidth="1"/>
    <col min="19" max="23" width="9.140625" style="7"/>
    <col min="24" max="24" width="10.42578125" style="7" bestFit="1" customWidth="1"/>
    <col min="25" max="16384" width="9.140625" style="7"/>
  </cols>
  <sheetData>
    <row r="1" spans="1:28" s="1" customFormat="1" ht="32.1" customHeight="1">
      <c r="I1" s="763" t="str">
        <f>"Current Cycle "&amp;CurrentCycle</f>
        <v>Current Cycle 12</v>
      </c>
      <c r="J1" s="764" t="str">
        <f>"Calculating "&amp;CycleInCalculation</f>
        <v>Calculating 12</v>
      </c>
      <c r="K1" s="764" t="str">
        <f>"MCS Interation:"&amp;MCSInt</f>
        <v>MCS Interation:0</v>
      </c>
      <c r="L1" s="765"/>
      <c r="O1" s="765"/>
      <c r="P1" s="765"/>
      <c r="Q1" s="12"/>
    </row>
    <row r="2" spans="1:28" s="1" customFormat="1" ht="41.25" customHeight="1">
      <c r="L2" s="765"/>
      <c r="O2" s="765"/>
      <c r="P2" s="765"/>
      <c r="Q2" s="12"/>
    </row>
    <row r="3" spans="1:28" s="1" customFormat="1" ht="12.75" customHeight="1">
      <c r="L3" s="765"/>
      <c r="O3" s="765"/>
      <c r="P3" s="765"/>
      <c r="Q3" s="12"/>
    </row>
    <row r="4" spans="1:28" ht="17.25" customHeight="1">
      <c r="A4" s="766"/>
      <c r="B4" s="12"/>
      <c r="C4" s="766"/>
      <c r="D4" s="12"/>
      <c r="E4" s="766"/>
      <c r="F4" s="12"/>
      <c r="G4" s="766"/>
      <c r="H4" s="12"/>
      <c r="I4" s="766"/>
      <c r="J4" s="12"/>
      <c r="K4" s="766"/>
      <c r="L4" s="12"/>
      <c r="M4" s="766"/>
      <c r="N4" s="12"/>
      <c r="O4" s="767"/>
      <c r="R4" s="12"/>
      <c r="S4" s="766"/>
      <c r="T4" s="12"/>
      <c r="U4" s="766"/>
      <c r="V4" s="12"/>
      <c r="W4" s="766"/>
      <c r="X4" s="12"/>
      <c r="Y4" s="12"/>
      <c r="Z4" s="12"/>
      <c r="AA4" s="12"/>
    </row>
    <row r="5" spans="1:28" ht="15.75">
      <c r="A5" s="178">
        <v>1</v>
      </c>
      <c r="B5" s="122" t="s">
        <v>190</v>
      </c>
      <c r="C5" s="122"/>
      <c r="D5" s="122"/>
      <c r="E5" s="12"/>
      <c r="F5" s="12"/>
      <c r="G5" s="12"/>
      <c r="H5" s="11"/>
      <c r="I5" s="11"/>
      <c r="J5" s="12"/>
      <c r="K5" s="12"/>
      <c r="L5" s="769"/>
      <c r="M5" s="12"/>
      <c r="N5" s="12"/>
      <c r="R5" s="12"/>
      <c r="S5" s="12"/>
      <c r="T5" s="12"/>
      <c r="U5" s="12"/>
      <c r="V5" s="12"/>
      <c r="W5" s="12"/>
      <c r="X5" s="12"/>
      <c r="Y5" s="12"/>
      <c r="Z5" s="12"/>
      <c r="AA5" s="12"/>
      <c r="AB5" s="12"/>
    </row>
    <row r="6" spans="1:28">
      <c r="B6" s="12"/>
      <c r="C6" s="12"/>
      <c r="D6" s="12"/>
      <c r="E6" s="12"/>
      <c r="F6" s="12"/>
      <c r="G6" s="12"/>
      <c r="H6" s="12"/>
      <c r="I6" s="12"/>
      <c r="J6" s="12"/>
      <c r="K6" s="12"/>
      <c r="L6" s="770"/>
      <c r="M6" s="12"/>
      <c r="N6" s="12"/>
      <c r="R6" s="323"/>
      <c r="S6" s="323"/>
      <c r="T6" s="323"/>
      <c r="U6" s="323"/>
      <c r="V6" s="323"/>
      <c r="W6" s="323"/>
      <c r="X6" s="323"/>
      <c r="Y6" s="12"/>
      <c r="Z6" s="12"/>
      <c r="AA6" s="12"/>
      <c r="AB6" s="12"/>
    </row>
    <row r="7" spans="1:28" ht="12" thickBot="1">
      <c r="B7" s="12"/>
      <c r="C7" s="12"/>
      <c r="D7" s="12"/>
      <c r="E7" s="12"/>
      <c r="F7" s="12"/>
      <c r="G7" s="12"/>
      <c r="H7" s="12"/>
      <c r="I7" s="12"/>
      <c r="J7" s="12"/>
      <c r="K7" s="12"/>
      <c r="M7" s="12"/>
      <c r="N7" s="12"/>
      <c r="R7" s="323"/>
      <c r="S7" s="323"/>
      <c r="T7" s="323"/>
      <c r="U7" s="323"/>
      <c r="V7" s="323"/>
      <c r="W7" s="323"/>
      <c r="X7" s="323"/>
      <c r="Y7" s="12"/>
      <c r="Z7" s="12"/>
      <c r="AA7" s="12"/>
      <c r="AB7" s="12"/>
    </row>
    <row r="8" spans="1:28" ht="11.25" customHeight="1">
      <c r="B8" s="771"/>
      <c r="C8" s="772"/>
      <c r="D8" s="772"/>
      <c r="E8" s="773"/>
      <c r="F8" s="771" t="s">
        <v>35</v>
      </c>
      <c r="G8" s="772"/>
      <c r="H8" s="772"/>
      <c r="I8" s="772"/>
      <c r="J8" s="772"/>
      <c r="K8" s="772"/>
      <c r="L8" s="772"/>
      <c r="M8" s="772"/>
      <c r="N8" s="772"/>
      <c r="O8" s="774"/>
      <c r="R8" s="12"/>
      <c r="S8" s="12"/>
      <c r="T8" s="12"/>
      <c r="U8" s="12"/>
      <c r="V8" s="12"/>
      <c r="W8" s="12"/>
      <c r="X8" s="12"/>
      <c r="Y8" s="12"/>
      <c r="Z8" s="12"/>
      <c r="AA8" s="12"/>
      <c r="AB8" s="12"/>
    </row>
    <row r="9" spans="1:28" ht="11.25" customHeight="1" thickBot="1">
      <c r="B9" s="775"/>
      <c r="C9" s="776"/>
      <c r="D9" s="777"/>
      <c r="E9" s="778" t="s">
        <v>466</v>
      </c>
      <c r="F9" s="779" t="s">
        <v>698</v>
      </c>
      <c r="G9" s="779" t="s">
        <v>699</v>
      </c>
      <c r="H9" s="779" t="s">
        <v>700</v>
      </c>
      <c r="I9" s="779" t="s">
        <v>701</v>
      </c>
      <c r="J9" s="780" t="s">
        <v>702</v>
      </c>
      <c r="K9" s="781" t="s">
        <v>703</v>
      </c>
      <c r="L9" s="781" t="s">
        <v>704</v>
      </c>
      <c r="M9" s="781" t="s">
        <v>705</v>
      </c>
      <c r="N9" s="782" t="s">
        <v>706</v>
      </c>
      <c r="O9" s="783"/>
      <c r="R9" s="12"/>
      <c r="S9" s="12"/>
      <c r="T9" s="12"/>
      <c r="U9" s="12"/>
      <c r="V9" s="12"/>
      <c r="W9" s="12"/>
      <c r="X9" s="12"/>
      <c r="Y9" s="12"/>
      <c r="Z9" s="12"/>
      <c r="AA9" s="12"/>
      <c r="AB9" s="12"/>
    </row>
    <row r="10" spans="1:28" ht="11.25" customHeight="1" thickTop="1">
      <c r="B10" s="1179" t="s">
        <v>113</v>
      </c>
      <c r="C10" s="1180"/>
      <c r="D10" s="784" t="s">
        <v>50</v>
      </c>
      <c r="E10" s="785">
        <f>SUM(F10:O10)</f>
        <v>741236.75</v>
      </c>
      <c r="F10" s="68">
        <v>49545.72</v>
      </c>
      <c r="G10" s="68">
        <v>52602.73</v>
      </c>
      <c r="H10" s="68">
        <v>49092.47</v>
      </c>
      <c r="I10" s="68">
        <v>62945.41</v>
      </c>
      <c r="J10" s="68">
        <v>68530.570000000007</v>
      </c>
      <c r="K10" s="68">
        <v>45816.45</v>
      </c>
      <c r="L10" s="68">
        <v>157778.49</v>
      </c>
      <c r="M10" s="68">
        <v>204678.78</v>
      </c>
      <c r="N10" s="68">
        <v>50246.13</v>
      </c>
      <c r="R10" s="323"/>
      <c r="S10" s="323"/>
      <c r="T10" s="323"/>
      <c r="U10" s="323"/>
      <c r="V10" s="323"/>
      <c r="W10" s="323"/>
      <c r="X10" s="323"/>
      <c r="Y10" s="12"/>
      <c r="Z10" s="12"/>
      <c r="AA10" s="12"/>
      <c r="AB10" s="12"/>
    </row>
    <row r="11" spans="1:28" ht="11.25" customHeight="1">
      <c r="B11" s="1179" t="s">
        <v>112</v>
      </c>
      <c r="C11" s="1180"/>
      <c r="D11" s="784" t="s">
        <v>50</v>
      </c>
      <c r="E11" s="785">
        <f>SUM(F11:O11)</f>
        <v>176022.47</v>
      </c>
      <c r="F11" s="68">
        <v>6998.33</v>
      </c>
      <c r="G11" s="68">
        <v>7084.98</v>
      </c>
      <c r="H11" s="68">
        <v>7003.86</v>
      </c>
      <c r="I11" s="68">
        <v>8980.2099999999991</v>
      </c>
      <c r="J11" s="68">
        <v>9900.16</v>
      </c>
      <c r="K11" s="68">
        <v>6666.58</v>
      </c>
      <c r="L11" s="68">
        <v>52286.38</v>
      </c>
      <c r="M11" s="68">
        <v>67864.3</v>
      </c>
      <c r="N11" s="68">
        <v>9237.67</v>
      </c>
      <c r="R11" s="12"/>
      <c r="S11" s="12"/>
      <c r="T11" s="12"/>
      <c r="U11" s="12"/>
      <c r="V11" s="12"/>
      <c r="W11" s="12"/>
      <c r="X11" s="12"/>
      <c r="Y11" s="12"/>
      <c r="Z11" s="12"/>
      <c r="AA11" s="12"/>
      <c r="AB11" s="12"/>
    </row>
    <row r="12" spans="1:28" ht="11.25" customHeight="1">
      <c r="B12" s="1179" t="s">
        <v>129</v>
      </c>
      <c r="C12" s="1180"/>
      <c r="D12" s="784" t="s">
        <v>50</v>
      </c>
      <c r="E12" s="786">
        <f>'36-Mo-Fin-Pr'!C71</f>
        <v>164197.57</v>
      </c>
      <c r="F12" s="68"/>
      <c r="G12" s="68"/>
      <c r="H12" s="12"/>
      <c r="I12" s="12"/>
      <c r="K12" s="12"/>
      <c r="L12" s="12"/>
      <c r="M12" s="68"/>
      <c r="N12" s="68"/>
      <c r="R12" s="12"/>
      <c r="S12" s="12"/>
      <c r="T12" s="12"/>
      <c r="U12" s="12"/>
      <c r="V12" s="12"/>
      <c r="W12" s="12"/>
      <c r="X12" s="12"/>
      <c r="Y12" s="12"/>
      <c r="Z12" s="12"/>
      <c r="AA12" s="12"/>
      <c r="AB12" s="12"/>
    </row>
    <row r="13" spans="1:28" ht="11.25" customHeight="1">
      <c r="B13" s="787"/>
      <c r="C13" s="788"/>
      <c r="D13" s="789"/>
      <c r="E13" s="790"/>
      <c r="F13" s="68"/>
      <c r="G13" s="68"/>
      <c r="H13" s="12"/>
      <c r="I13" s="12"/>
      <c r="K13" s="12"/>
      <c r="L13" s="12"/>
      <c r="M13" s="68"/>
      <c r="N13" s="68"/>
      <c r="R13" s="12"/>
      <c r="S13" s="12"/>
      <c r="T13" s="12"/>
      <c r="U13" s="12"/>
      <c r="V13" s="12"/>
      <c r="W13" s="12"/>
      <c r="X13" s="12"/>
      <c r="Y13" s="12"/>
      <c r="Z13" s="12"/>
      <c r="AA13" s="12"/>
      <c r="AB13" s="12"/>
    </row>
    <row r="14" spans="1:28" ht="11.25" customHeight="1">
      <c r="B14" s="1179" t="s">
        <v>179</v>
      </c>
      <c r="C14" s="1180"/>
      <c r="D14" s="784" t="s">
        <v>50</v>
      </c>
      <c r="E14" s="785">
        <f>SUM(F14:O14)</f>
        <v>565214.26</v>
      </c>
      <c r="F14" s="68">
        <v>42547.39</v>
      </c>
      <c r="G14" s="68">
        <v>45517.74</v>
      </c>
      <c r="H14" s="68">
        <v>42088.61</v>
      </c>
      <c r="I14" s="68">
        <v>53965.2</v>
      </c>
      <c r="J14" s="68">
        <v>58630.400000000001</v>
      </c>
      <c r="K14" s="95">
        <v>39149.870000000003</v>
      </c>
      <c r="L14" s="68">
        <v>105492.11</v>
      </c>
      <c r="M14" s="68">
        <v>136814.48000000001</v>
      </c>
      <c r="N14" s="68">
        <v>41008.46</v>
      </c>
      <c r="R14" s="12"/>
      <c r="S14" s="12"/>
      <c r="T14" s="12"/>
      <c r="U14" s="12"/>
      <c r="V14" s="12"/>
      <c r="W14" s="12"/>
      <c r="X14" s="12"/>
      <c r="Y14" s="12"/>
      <c r="Z14" s="12"/>
      <c r="AA14" s="12"/>
      <c r="AB14" s="12"/>
    </row>
    <row r="15" spans="1:28" ht="11.25" customHeight="1" thickBot="1">
      <c r="B15" s="1181" t="s">
        <v>188</v>
      </c>
      <c r="C15" s="1182"/>
      <c r="D15" s="791"/>
      <c r="E15" s="792">
        <f t="shared" ref="E15" si="0">(E10-E11)/E10*100</f>
        <v>76.252867926475588</v>
      </c>
      <c r="F15" s="793">
        <f>(F10-F11)/F10*100</f>
        <v>85.875005954096537</v>
      </c>
      <c r="G15" s="793">
        <f>(G10-G11)/G10*100</f>
        <v>86.531155322166725</v>
      </c>
      <c r="H15" s="793">
        <f>(H10-H11)/H10*100</f>
        <v>85.733331404999575</v>
      </c>
      <c r="I15" s="793">
        <f>(I10-I11)/I10*100</f>
        <v>85.733336235318831</v>
      </c>
      <c r="J15" s="793">
        <f>(J10-J11)/J10*100</f>
        <v>85.553658754042175</v>
      </c>
      <c r="K15" s="793">
        <f>(K10-K11)/K10*100</f>
        <v>85.44937462417974</v>
      </c>
      <c r="L15" s="793">
        <f>(L10-L11)/L10*100</f>
        <v>66.860894663144506</v>
      </c>
      <c r="M15" s="793">
        <f>(M10-M11)/M10*100</f>
        <v>66.843509620293801</v>
      </c>
      <c r="N15" s="793">
        <f>(N10-N11)/N10*100</f>
        <v>81.615161207440252</v>
      </c>
      <c r="O15" s="794"/>
      <c r="R15" s="12"/>
      <c r="S15" s="12"/>
      <c r="T15" s="12"/>
      <c r="U15" s="12"/>
      <c r="V15" s="12"/>
      <c r="W15" s="12"/>
      <c r="X15" s="12"/>
      <c r="Y15" s="12"/>
      <c r="Z15" s="12"/>
      <c r="AA15" s="12"/>
      <c r="AB15" s="12"/>
    </row>
    <row r="16" spans="1:28" ht="11.25" customHeight="1" thickBot="1">
      <c r="B16" s="12"/>
      <c r="C16" s="12"/>
      <c r="D16" s="12"/>
      <c r="E16" s="795"/>
      <c r="F16" s="12"/>
      <c r="G16" s="795"/>
      <c r="H16" s="12"/>
      <c r="I16" s="12"/>
      <c r="J16" s="12"/>
      <c r="K16" s="12"/>
      <c r="M16" s="12"/>
      <c r="N16" s="12"/>
      <c r="R16" s="12"/>
      <c r="S16" s="12"/>
      <c r="T16" s="12"/>
      <c r="U16" s="12"/>
      <c r="V16" s="12"/>
      <c r="W16" s="12"/>
      <c r="X16" s="12"/>
      <c r="Y16" s="12"/>
      <c r="Z16" s="12"/>
      <c r="AA16" s="12"/>
      <c r="AB16" s="12"/>
    </row>
    <row r="17" spans="2:29" ht="11.25" customHeight="1">
      <c r="C17" s="1187" t="s">
        <v>187</v>
      </c>
      <c r="D17" s="1188"/>
      <c r="E17" s="796" t="s">
        <v>174</v>
      </c>
      <c r="F17" s="797">
        <f>J17</f>
        <v>3.4860600296956417</v>
      </c>
      <c r="G17" s="12"/>
      <c r="H17" s="798" t="s">
        <v>187</v>
      </c>
      <c r="I17" s="798" t="s">
        <v>174</v>
      </c>
      <c r="J17" s="799">
        <f>E12/E14*12</f>
        <v>3.4860600296956417</v>
      </c>
      <c r="K17" s="800" t="s">
        <v>186</v>
      </c>
      <c r="L17" s="801"/>
      <c r="M17" s="802"/>
      <c r="N17" s="12"/>
      <c r="R17" s="12"/>
      <c r="S17" s="12"/>
      <c r="T17" s="12"/>
      <c r="U17" s="12"/>
      <c r="V17" s="12"/>
      <c r="W17" s="12"/>
      <c r="X17" s="12"/>
      <c r="Y17" s="12"/>
      <c r="Z17" s="12"/>
      <c r="AA17" s="12"/>
      <c r="AB17" s="12"/>
      <c r="AC17" s="12"/>
    </row>
    <row r="18" spans="2:29">
      <c r="C18" s="1189"/>
      <c r="D18" s="1190"/>
      <c r="E18" s="803" t="s">
        <v>172</v>
      </c>
      <c r="F18" s="804">
        <f>J18</f>
        <v>215332.97627352495</v>
      </c>
      <c r="G18" s="12"/>
      <c r="H18" s="805"/>
      <c r="I18" s="798" t="s">
        <v>172</v>
      </c>
      <c r="J18" s="806">
        <f>E12/E15*100</f>
        <v>215332.97627352495</v>
      </c>
      <c r="K18" s="800" t="s">
        <v>185</v>
      </c>
      <c r="L18" s="807"/>
      <c r="M18" s="802"/>
      <c r="N18" s="12"/>
      <c r="R18" s="12"/>
      <c r="S18" s="12"/>
      <c r="T18" s="12"/>
      <c r="U18" s="12"/>
      <c r="V18" s="12"/>
      <c r="W18" s="12"/>
      <c r="X18" s="12"/>
      <c r="Y18" s="12"/>
      <c r="Z18" s="12"/>
      <c r="AA18" s="12"/>
      <c r="AB18" s="12"/>
      <c r="AC18" s="12"/>
    </row>
    <row r="19" spans="2:29">
      <c r="C19" s="1191"/>
      <c r="D19" s="1192"/>
      <c r="E19" s="1192"/>
      <c r="F19" s="1193"/>
      <c r="G19" s="12"/>
      <c r="H19" s="12"/>
      <c r="I19" s="12"/>
      <c r="J19" s="12"/>
      <c r="K19" s="12"/>
      <c r="M19" s="56"/>
      <c r="N19" s="12"/>
      <c r="R19" s="12"/>
      <c r="S19" s="12"/>
      <c r="T19" s="12"/>
      <c r="U19" s="12"/>
      <c r="V19" s="12"/>
      <c r="W19" s="12"/>
      <c r="X19" s="12"/>
      <c r="Y19" s="12"/>
      <c r="Z19" s="12"/>
      <c r="AA19" s="12"/>
      <c r="AB19" s="12"/>
      <c r="AC19" s="12"/>
    </row>
    <row r="20" spans="2:29">
      <c r="C20" s="1185" t="s">
        <v>184</v>
      </c>
      <c r="D20" s="1186"/>
      <c r="E20" s="808">
        <v>0</v>
      </c>
      <c r="F20" s="809">
        <f>J17</f>
        <v>3.4860600296956417</v>
      </c>
      <c r="G20" s="12"/>
      <c r="H20" s="12"/>
      <c r="I20" s="12"/>
      <c r="J20" s="12"/>
      <c r="K20" s="12"/>
      <c r="L20" s="810"/>
      <c r="M20" s="795"/>
      <c r="N20" s="795"/>
      <c r="R20" s="12"/>
      <c r="S20" s="12"/>
      <c r="T20" s="12"/>
      <c r="U20" s="12"/>
      <c r="V20" s="12"/>
      <c r="W20" s="12"/>
      <c r="X20" s="12"/>
      <c r="Y20" s="12"/>
      <c r="Z20" s="12"/>
      <c r="AA20" s="12"/>
      <c r="AB20" s="12"/>
      <c r="AC20" s="12"/>
    </row>
    <row r="21" spans="2:29">
      <c r="C21" s="1185" t="s">
        <v>183</v>
      </c>
      <c r="D21" s="1186"/>
      <c r="E21" s="811">
        <f>E12</f>
        <v>164197.57</v>
      </c>
      <c r="F21" s="804">
        <f>E12</f>
        <v>164197.57</v>
      </c>
      <c r="G21" s="12"/>
      <c r="H21" s="12"/>
      <c r="I21" s="12"/>
      <c r="J21" s="12"/>
      <c r="K21" s="12"/>
      <c r="M21" s="12"/>
      <c r="N21" s="12"/>
      <c r="R21" s="12"/>
      <c r="S21" s="12"/>
      <c r="T21" s="12"/>
      <c r="U21" s="12"/>
      <c r="V21" s="12"/>
      <c r="W21" s="12"/>
      <c r="X21" s="12"/>
      <c r="Y21" s="12"/>
      <c r="Z21" s="12"/>
      <c r="AA21" s="12"/>
      <c r="AB21" s="12"/>
      <c r="AC21" s="12"/>
    </row>
    <row r="22" spans="2:29">
      <c r="C22" s="1185" t="s">
        <v>182</v>
      </c>
      <c r="D22" s="1186"/>
      <c r="E22" s="812">
        <v>0</v>
      </c>
      <c r="F22" s="813">
        <f>J18</f>
        <v>215332.97627352495</v>
      </c>
      <c r="G22" s="814"/>
      <c r="H22" s="815"/>
      <c r="I22" s="815"/>
      <c r="J22" s="815"/>
      <c r="K22" s="12"/>
      <c r="L22" s="816"/>
      <c r="M22" s="815"/>
      <c r="N22" s="815"/>
      <c r="O22" s="816"/>
      <c r="R22" s="12"/>
      <c r="S22" s="12"/>
      <c r="T22" s="12"/>
      <c r="U22" s="12"/>
      <c r="V22" s="12"/>
      <c r="W22" s="12"/>
      <c r="X22" s="12"/>
      <c r="Y22" s="12"/>
      <c r="Z22" s="12"/>
      <c r="AA22" s="12"/>
      <c r="AB22" s="12"/>
      <c r="AC22" s="12"/>
    </row>
    <row r="23" spans="2:29" ht="11.25" customHeight="1" thickBot="1">
      <c r="C23" s="1183" t="s">
        <v>181</v>
      </c>
      <c r="D23" s="1184"/>
      <c r="E23" s="817">
        <f>E21</f>
        <v>164197.57</v>
      </c>
      <c r="F23" s="818">
        <f>J18</f>
        <v>215332.97627352495</v>
      </c>
      <c r="G23" s="12"/>
      <c r="H23" s="12"/>
      <c r="I23" s="12"/>
      <c r="J23" s="12"/>
      <c r="K23" s="12"/>
      <c r="M23" s="12"/>
      <c r="N23" s="815"/>
      <c r="R23" s="12"/>
      <c r="S23" s="12"/>
      <c r="T23" s="12"/>
      <c r="U23" s="12"/>
      <c r="V23" s="12"/>
      <c r="W23" s="12"/>
      <c r="X23" s="12"/>
      <c r="Y23" s="12"/>
      <c r="Z23" s="12"/>
      <c r="AA23" s="12"/>
      <c r="AB23" s="12"/>
      <c r="AC23" s="12"/>
    </row>
    <row r="24" spans="2:29">
      <c r="C24" s="12"/>
      <c r="D24" s="12"/>
      <c r="E24" s="12"/>
      <c r="F24" s="12"/>
      <c r="G24" s="12"/>
      <c r="H24" s="12"/>
      <c r="I24" s="12"/>
      <c r="J24" s="12"/>
      <c r="K24" s="12"/>
      <c r="M24" s="12"/>
      <c r="N24" s="12"/>
      <c r="R24" s="12"/>
      <c r="S24" s="12"/>
      <c r="T24" s="12"/>
      <c r="U24" s="12"/>
      <c r="V24" s="12"/>
      <c r="W24" s="12"/>
      <c r="X24" s="12"/>
      <c r="Y24" s="12"/>
      <c r="Z24" s="12"/>
      <c r="AA24" s="12"/>
      <c r="AB24" s="12"/>
      <c r="AC24" s="12"/>
    </row>
    <row r="25" spans="2:29">
      <c r="B25" s="12"/>
      <c r="C25" s="12"/>
      <c r="D25" s="12"/>
      <c r="E25" s="12"/>
      <c r="F25" s="12"/>
      <c r="G25" s="12"/>
      <c r="H25" s="12"/>
      <c r="I25" s="12"/>
      <c r="J25" s="12"/>
      <c r="K25" s="12"/>
      <c r="M25" s="12"/>
      <c r="N25" s="12"/>
      <c r="R25" s="12"/>
      <c r="S25" s="12"/>
      <c r="T25" s="12"/>
      <c r="U25" s="12"/>
      <c r="V25" s="12"/>
      <c r="W25" s="12"/>
      <c r="X25" s="12"/>
      <c r="Y25" s="12"/>
      <c r="Z25" s="12"/>
      <c r="AA25" s="12"/>
      <c r="AB25" s="12"/>
    </row>
    <row r="26" spans="2:29">
      <c r="B26" s="12"/>
      <c r="C26" s="12"/>
      <c r="D26" s="12"/>
      <c r="E26" s="12"/>
      <c r="F26" s="12"/>
      <c r="G26" s="12"/>
      <c r="H26" s="12"/>
      <c r="I26" s="12"/>
      <c r="J26" s="12"/>
      <c r="K26" s="12"/>
      <c r="M26" s="12"/>
      <c r="N26" s="12"/>
      <c r="R26" s="12"/>
      <c r="S26" s="12"/>
      <c r="T26" s="12"/>
      <c r="U26" s="12"/>
      <c r="V26" s="12"/>
      <c r="W26" s="12"/>
      <c r="X26" s="12"/>
      <c r="Y26" s="12"/>
      <c r="Z26" s="12"/>
      <c r="AA26" s="12"/>
      <c r="AB26" s="12"/>
    </row>
    <row r="27" spans="2:29">
      <c r="B27" s="12"/>
      <c r="C27" s="12"/>
      <c r="D27" s="12"/>
      <c r="E27" s="12"/>
      <c r="F27" s="12"/>
      <c r="G27" s="12"/>
      <c r="H27" s="12"/>
      <c r="I27" s="12"/>
      <c r="J27" s="12"/>
      <c r="K27" s="12"/>
      <c r="M27" s="12"/>
      <c r="N27" s="12"/>
      <c r="R27" s="12"/>
      <c r="S27" s="12"/>
      <c r="T27" s="12"/>
      <c r="U27" s="12"/>
      <c r="V27" s="12"/>
      <c r="W27" s="12"/>
      <c r="X27" s="12"/>
      <c r="Y27" s="12"/>
      <c r="Z27" s="12"/>
      <c r="AA27" s="12"/>
      <c r="AB27" s="12"/>
    </row>
    <row r="28" spans="2:29">
      <c r="B28" s="12"/>
      <c r="C28" s="12"/>
      <c r="D28" s="12"/>
      <c r="E28" s="12"/>
      <c r="F28" s="12"/>
      <c r="G28" s="12"/>
      <c r="H28" s="12"/>
      <c r="I28" s="12"/>
      <c r="J28" s="12"/>
      <c r="K28" s="12"/>
      <c r="M28" s="12"/>
      <c r="N28" s="12"/>
      <c r="R28" s="12"/>
      <c r="S28" s="12"/>
      <c r="T28" s="12"/>
      <c r="U28" s="12"/>
      <c r="V28" s="12"/>
      <c r="W28" s="12"/>
      <c r="X28" s="12"/>
      <c r="Y28" s="12"/>
      <c r="Z28" s="12"/>
      <c r="AA28" s="12"/>
      <c r="AB28" s="12"/>
    </row>
    <row r="29" spans="2:29">
      <c r="B29" s="12"/>
      <c r="C29" s="12"/>
      <c r="D29" s="12"/>
      <c r="E29" s="12"/>
      <c r="F29" s="12"/>
      <c r="G29" s="12"/>
      <c r="H29" s="12"/>
      <c r="I29" s="12"/>
      <c r="J29" s="12"/>
      <c r="K29" s="12"/>
      <c r="M29" s="12"/>
      <c r="N29" s="12"/>
      <c r="R29" s="12"/>
      <c r="S29" s="12"/>
      <c r="T29" s="12"/>
      <c r="U29" s="12"/>
      <c r="V29" s="12"/>
      <c r="W29" s="12"/>
      <c r="X29" s="12"/>
      <c r="Y29" s="12"/>
      <c r="Z29" s="12"/>
      <c r="AA29" s="12"/>
      <c r="AB29" s="12"/>
    </row>
    <row r="30" spans="2:29">
      <c r="B30" s="12"/>
      <c r="C30" s="12"/>
      <c r="D30" s="12"/>
      <c r="E30" s="12"/>
      <c r="F30" s="12"/>
      <c r="G30" s="12"/>
      <c r="H30" s="12"/>
      <c r="I30" s="12"/>
      <c r="J30" s="12"/>
      <c r="K30" s="12"/>
      <c r="M30" s="12"/>
      <c r="N30" s="12"/>
      <c r="R30" s="12"/>
      <c r="S30" s="12"/>
      <c r="T30" s="12"/>
      <c r="U30" s="12"/>
      <c r="V30" s="12"/>
      <c r="W30" s="12"/>
      <c r="X30" s="12"/>
      <c r="Y30" s="12"/>
      <c r="Z30" s="12"/>
      <c r="AA30" s="12"/>
      <c r="AB30" s="12"/>
    </row>
    <row r="31" spans="2:29">
      <c r="B31" s="12"/>
      <c r="C31" s="12"/>
      <c r="D31" s="12"/>
      <c r="E31" s="12"/>
      <c r="F31" s="12"/>
      <c r="G31" s="12"/>
      <c r="H31" s="12"/>
      <c r="I31" s="12"/>
      <c r="J31" s="12"/>
      <c r="K31" s="12"/>
      <c r="M31" s="12"/>
      <c r="N31" s="12"/>
      <c r="R31" s="12"/>
      <c r="S31" s="12"/>
      <c r="T31" s="12"/>
      <c r="U31" s="12"/>
      <c r="V31" s="12"/>
      <c r="W31" s="12"/>
      <c r="X31" s="12"/>
      <c r="Y31" s="12"/>
      <c r="Z31" s="12"/>
      <c r="AA31" s="12"/>
      <c r="AB31" s="12"/>
    </row>
    <row r="32" spans="2:29">
      <c r="B32" s="12"/>
      <c r="C32" s="12"/>
      <c r="D32" s="12"/>
      <c r="E32" s="12"/>
      <c r="F32" s="12"/>
      <c r="G32" s="12"/>
      <c r="H32" s="12"/>
      <c r="I32" s="12"/>
      <c r="J32" s="12"/>
      <c r="K32" s="12"/>
      <c r="M32" s="12"/>
      <c r="N32" s="12"/>
      <c r="R32" s="12"/>
      <c r="S32" s="12"/>
      <c r="T32" s="12"/>
      <c r="U32" s="12"/>
      <c r="V32" s="12"/>
      <c r="W32" s="12"/>
      <c r="X32" s="12"/>
      <c r="Y32" s="12"/>
      <c r="Z32" s="12"/>
      <c r="AA32" s="12"/>
      <c r="AB32" s="12"/>
    </row>
    <row r="33" spans="2:28">
      <c r="B33" s="12"/>
      <c r="C33" s="12"/>
      <c r="D33" s="12"/>
      <c r="E33" s="12"/>
      <c r="F33" s="12"/>
      <c r="G33" s="12"/>
      <c r="H33" s="12"/>
      <c r="I33" s="12"/>
      <c r="J33" s="12"/>
      <c r="K33" s="12"/>
      <c r="M33" s="12"/>
      <c r="N33" s="12"/>
      <c r="R33" s="12"/>
      <c r="S33" s="12"/>
      <c r="T33" s="12"/>
      <c r="U33" s="12"/>
      <c r="V33" s="12"/>
      <c r="W33" s="12"/>
      <c r="X33" s="12"/>
      <c r="Y33" s="12"/>
      <c r="Z33" s="12"/>
      <c r="AA33" s="12"/>
      <c r="AB33" s="12"/>
    </row>
    <row r="34" spans="2:28">
      <c r="B34" s="12"/>
      <c r="C34" s="12"/>
      <c r="D34" s="12"/>
      <c r="E34" s="12"/>
      <c r="F34" s="12"/>
      <c r="G34" s="12"/>
      <c r="H34" s="12"/>
      <c r="I34" s="12"/>
      <c r="J34" s="12"/>
      <c r="K34" s="12"/>
      <c r="M34" s="12"/>
      <c r="N34" s="12"/>
      <c r="R34" s="12"/>
      <c r="S34" s="12"/>
      <c r="T34" s="12"/>
      <c r="U34" s="12"/>
      <c r="V34" s="12"/>
      <c r="W34" s="12"/>
      <c r="X34" s="12"/>
      <c r="Y34" s="12"/>
      <c r="Z34" s="12"/>
      <c r="AA34" s="12"/>
      <c r="AB34" s="12"/>
    </row>
    <row r="35" spans="2:28">
      <c r="B35" s="12"/>
      <c r="C35" s="12"/>
      <c r="D35" s="12"/>
      <c r="E35" s="12"/>
      <c r="F35" s="12"/>
      <c r="G35" s="12"/>
      <c r="H35" s="12"/>
      <c r="I35" s="12"/>
      <c r="J35" s="12"/>
      <c r="K35" s="12"/>
      <c r="M35" s="12"/>
      <c r="N35" s="12"/>
      <c r="R35" s="12"/>
      <c r="S35" s="12"/>
      <c r="T35" s="12"/>
      <c r="U35" s="12"/>
      <c r="V35" s="12"/>
      <c r="W35" s="12"/>
      <c r="X35" s="12"/>
      <c r="Y35" s="12"/>
      <c r="Z35" s="12"/>
      <c r="AA35" s="12"/>
      <c r="AB35" s="12"/>
    </row>
    <row r="36" spans="2:28">
      <c r="B36" s="12"/>
      <c r="C36" s="12"/>
      <c r="D36" s="12"/>
      <c r="E36" s="12"/>
      <c r="F36" s="12"/>
      <c r="G36" s="12"/>
      <c r="H36" s="12"/>
      <c r="I36" s="12"/>
      <c r="J36" s="12"/>
      <c r="K36" s="12"/>
      <c r="M36" s="12"/>
      <c r="N36" s="12"/>
      <c r="R36" s="12"/>
      <c r="S36" s="12"/>
      <c r="T36" s="12"/>
      <c r="U36" s="12"/>
      <c r="V36" s="12"/>
      <c r="W36" s="12"/>
      <c r="X36" s="12"/>
      <c r="Y36" s="12"/>
      <c r="Z36" s="12"/>
      <c r="AA36" s="12"/>
      <c r="AB36" s="12"/>
    </row>
    <row r="37" spans="2:28">
      <c r="B37" s="12"/>
      <c r="C37" s="12"/>
      <c r="D37" s="12"/>
      <c r="E37" s="12"/>
      <c r="F37" s="12"/>
      <c r="G37" s="12"/>
      <c r="H37" s="12"/>
      <c r="I37" s="12"/>
      <c r="J37" s="12"/>
      <c r="K37" s="12"/>
      <c r="M37" s="12"/>
      <c r="N37" s="12"/>
      <c r="R37" s="12"/>
      <c r="S37" s="12"/>
      <c r="T37" s="12"/>
      <c r="U37" s="12"/>
      <c r="V37" s="12"/>
      <c r="W37" s="12"/>
      <c r="X37" s="12"/>
      <c r="Y37" s="12"/>
      <c r="Z37" s="12"/>
      <c r="AA37" s="12"/>
      <c r="AB37" s="12"/>
    </row>
    <row r="38" spans="2:28">
      <c r="B38" s="12"/>
      <c r="C38" s="12"/>
      <c r="D38" s="12"/>
      <c r="E38" s="12"/>
      <c r="F38" s="12"/>
      <c r="G38" s="12"/>
      <c r="H38" s="12"/>
      <c r="I38" s="12"/>
      <c r="J38" s="12"/>
      <c r="K38" s="12"/>
      <c r="M38" s="12"/>
      <c r="N38" s="12"/>
      <c r="R38" s="12"/>
      <c r="S38" s="12"/>
      <c r="T38" s="12"/>
      <c r="U38" s="12"/>
      <c r="V38" s="12"/>
      <c r="W38" s="12"/>
      <c r="X38" s="12"/>
      <c r="Y38" s="12"/>
      <c r="Z38" s="12"/>
      <c r="AA38" s="12"/>
      <c r="AB38" s="12"/>
    </row>
    <row r="39" spans="2:28">
      <c r="B39" s="12"/>
      <c r="C39" s="12"/>
      <c r="D39" s="12"/>
      <c r="E39" s="12"/>
      <c r="F39" s="12"/>
      <c r="G39" s="12"/>
      <c r="H39" s="12"/>
      <c r="I39" s="12"/>
      <c r="J39" s="12"/>
      <c r="K39" s="12"/>
      <c r="M39" s="12"/>
      <c r="N39" s="12"/>
      <c r="R39" s="12"/>
      <c r="S39" s="12"/>
      <c r="T39" s="12"/>
      <c r="U39" s="12"/>
      <c r="V39" s="12"/>
      <c r="W39" s="12"/>
      <c r="X39" s="12"/>
      <c r="Y39" s="12"/>
      <c r="Z39" s="12"/>
      <c r="AA39" s="12"/>
      <c r="AB39" s="12"/>
    </row>
    <row r="40" spans="2:28">
      <c r="B40" s="12"/>
      <c r="C40" s="12"/>
      <c r="D40" s="12"/>
      <c r="E40" s="12"/>
      <c r="F40" s="12"/>
      <c r="G40" s="12"/>
      <c r="H40" s="12"/>
      <c r="I40" s="12"/>
      <c r="J40" s="12"/>
      <c r="K40" s="12"/>
      <c r="M40" s="12"/>
      <c r="N40" s="12"/>
      <c r="R40" s="12"/>
      <c r="S40" s="12"/>
      <c r="T40" s="12"/>
      <c r="U40" s="12"/>
      <c r="V40" s="12"/>
      <c r="W40" s="12"/>
      <c r="X40" s="12"/>
      <c r="Y40" s="12"/>
      <c r="Z40" s="12"/>
      <c r="AA40" s="12"/>
      <c r="AB40" s="12"/>
    </row>
    <row r="41" spans="2:28">
      <c r="B41" s="12"/>
      <c r="C41" s="12"/>
      <c r="D41" s="12"/>
      <c r="E41" s="12"/>
      <c r="F41" s="12"/>
      <c r="G41" s="12"/>
      <c r="H41" s="12"/>
      <c r="I41" s="12"/>
      <c r="J41" s="12"/>
      <c r="K41" s="12"/>
      <c r="M41" s="12"/>
      <c r="N41" s="12"/>
      <c r="R41" s="12"/>
      <c r="S41" s="12"/>
      <c r="T41" s="12"/>
      <c r="U41" s="12"/>
      <c r="V41" s="12"/>
      <c r="W41" s="12"/>
      <c r="X41" s="12"/>
      <c r="Y41" s="12"/>
      <c r="Z41" s="12"/>
      <c r="AA41" s="12"/>
      <c r="AB41" s="12"/>
    </row>
    <row r="42" spans="2:28">
      <c r="B42" s="12"/>
      <c r="C42" s="12"/>
      <c r="D42" s="12"/>
      <c r="E42" s="12"/>
      <c r="F42" s="12"/>
      <c r="G42" s="12"/>
      <c r="H42" s="12"/>
      <c r="I42" s="12"/>
      <c r="J42" s="12"/>
      <c r="K42" s="12"/>
      <c r="M42" s="12"/>
      <c r="N42" s="12"/>
      <c r="R42" s="12"/>
      <c r="S42" s="12"/>
      <c r="T42" s="12"/>
      <c r="U42" s="12"/>
      <c r="V42" s="12"/>
      <c r="W42" s="12"/>
      <c r="X42" s="12"/>
      <c r="Y42" s="12"/>
      <c r="Z42" s="12"/>
      <c r="AA42" s="12"/>
      <c r="AB42" s="12"/>
    </row>
    <row r="43" spans="2:28">
      <c r="B43" s="12"/>
      <c r="C43" s="12"/>
      <c r="D43" s="12"/>
      <c r="E43" s="12"/>
      <c r="F43" s="12"/>
      <c r="G43" s="12"/>
      <c r="H43" s="12"/>
      <c r="I43" s="12"/>
      <c r="J43" s="12"/>
      <c r="K43" s="12"/>
      <c r="M43" s="12"/>
      <c r="N43" s="12"/>
      <c r="R43" s="12"/>
      <c r="S43" s="12"/>
      <c r="T43" s="12"/>
      <c r="U43" s="12"/>
      <c r="V43" s="12"/>
      <c r="W43" s="12"/>
      <c r="X43" s="12"/>
      <c r="Y43" s="12"/>
      <c r="Z43" s="12"/>
      <c r="AA43" s="12"/>
      <c r="AB43" s="12"/>
    </row>
    <row r="44" spans="2:28">
      <c r="B44" s="12"/>
      <c r="C44" s="12"/>
      <c r="D44" s="12"/>
      <c r="E44" s="12"/>
      <c r="F44" s="12"/>
      <c r="G44" s="12"/>
      <c r="H44" s="12"/>
      <c r="I44" s="12"/>
      <c r="J44" s="12"/>
      <c r="K44" s="12"/>
      <c r="M44" s="12"/>
      <c r="N44" s="12"/>
      <c r="R44" s="12"/>
      <c r="S44" s="12"/>
      <c r="T44" s="12"/>
      <c r="U44" s="12"/>
      <c r="V44" s="12"/>
      <c r="W44" s="12"/>
      <c r="X44" s="12"/>
      <c r="Y44" s="12"/>
      <c r="Z44" s="12"/>
      <c r="AA44" s="12"/>
      <c r="AB44" s="12"/>
    </row>
    <row r="45" spans="2:28">
      <c r="B45" s="12"/>
      <c r="C45" s="12"/>
      <c r="D45" s="12"/>
      <c r="E45" s="12"/>
      <c r="F45" s="12"/>
      <c r="G45" s="12"/>
      <c r="H45" s="12"/>
      <c r="I45" s="12"/>
      <c r="J45" s="12"/>
      <c r="K45" s="12"/>
      <c r="M45" s="12"/>
      <c r="N45" s="12"/>
      <c r="R45" s="12"/>
      <c r="S45" s="12"/>
      <c r="T45" s="12"/>
      <c r="U45" s="12"/>
      <c r="V45" s="12"/>
      <c r="W45" s="12"/>
      <c r="X45" s="12"/>
      <c r="Y45" s="12"/>
      <c r="Z45" s="12"/>
      <c r="AA45" s="12"/>
      <c r="AB45" s="12"/>
    </row>
    <row r="46" spans="2:28">
      <c r="B46" s="12"/>
      <c r="C46" s="12"/>
      <c r="D46" s="12"/>
      <c r="E46" s="12"/>
      <c r="F46" s="12"/>
      <c r="G46" s="12"/>
      <c r="H46" s="12"/>
      <c r="I46" s="12"/>
      <c r="J46" s="12"/>
      <c r="K46" s="12"/>
      <c r="M46" s="12"/>
      <c r="N46" s="12"/>
      <c r="R46" s="12"/>
      <c r="S46" s="12"/>
      <c r="T46" s="12"/>
      <c r="U46" s="12"/>
      <c r="V46" s="12"/>
      <c r="W46" s="12"/>
      <c r="X46" s="12"/>
      <c r="Y46" s="12"/>
      <c r="Z46" s="12"/>
      <c r="AA46" s="12"/>
      <c r="AB46" s="12"/>
    </row>
    <row r="47" spans="2:28">
      <c r="B47" s="12"/>
      <c r="C47" s="12"/>
      <c r="D47" s="12"/>
      <c r="E47" s="12"/>
      <c r="F47" s="12"/>
      <c r="G47" s="12"/>
      <c r="H47" s="12"/>
      <c r="I47" s="12"/>
      <c r="J47" s="12"/>
      <c r="K47" s="12"/>
      <c r="M47" s="12"/>
      <c r="N47" s="12"/>
      <c r="R47" s="12"/>
      <c r="S47" s="12"/>
      <c r="T47" s="12"/>
      <c r="U47" s="12"/>
      <c r="V47" s="12"/>
      <c r="W47" s="12"/>
      <c r="X47" s="12"/>
      <c r="Y47" s="12"/>
      <c r="Z47" s="12"/>
      <c r="AA47" s="12"/>
      <c r="AB47" s="12"/>
    </row>
    <row r="48" spans="2:28">
      <c r="B48" s="12"/>
      <c r="C48" s="12"/>
      <c r="D48" s="12"/>
      <c r="E48" s="12"/>
      <c r="F48" s="12"/>
      <c r="G48" s="12"/>
      <c r="H48" s="12"/>
      <c r="I48" s="12"/>
      <c r="J48" s="12"/>
      <c r="K48" s="12"/>
      <c r="M48" s="12"/>
      <c r="N48" s="12"/>
      <c r="R48" s="12"/>
      <c r="S48" s="12"/>
      <c r="T48" s="12"/>
      <c r="U48" s="12"/>
      <c r="V48" s="12"/>
      <c r="W48" s="12"/>
      <c r="X48" s="12"/>
      <c r="Y48" s="12"/>
      <c r="Z48" s="12"/>
      <c r="AA48" s="12"/>
      <c r="AB48" s="12"/>
    </row>
    <row r="49" spans="1:28">
      <c r="B49" s="12"/>
      <c r="C49" s="12"/>
      <c r="D49" s="12"/>
      <c r="E49" s="12"/>
      <c r="F49" s="12"/>
      <c r="G49" s="12"/>
      <c r="H49" s="12"/>
      <c r="I49" s="12"/>
      <c r="J49" s="12"/>
      <c r="K49" s="12"/>
      <c r="M49" s="12"/>
      <c r="N49" s="12"/>
      <c r="R49" s="12"/>
      <c r="S49" s="12"/>
      <c r="T49" s="12"/>
      <c r="U49" s="12"/>
      <c r="V49" s="12"/>
      <c r="W49" s="12"/>
      <c r="X49" s="12"/>
      <c r="Y49" s="12"/>
      <c r="Z49" s="12"/>
      <c r="AA49" s="12"/>
      <c r="AB49" s="12"/>
    </row>
    <row r="50" spans="1:28">
      <c r="B50" s="12"/>
      <c r="C50" s="12"/>
      <c r="D50" s="12"/>
      <c r="E50" s="12"/>
      <c r="F50" s="12"/>
      <c r="G50" s="12"/>
      <c r="H50" s="12"/>
      <c r="I50" s="12"/>
      <c r="J50" s="12"/>
      <c r="K50" s="12"/>
      <c r="M50" s="12"/>
      <c r="N50" s="12"/>
      <c r="R50" s="12"/>
      <c r="S50" s="12"/>
      <c r="T50" s="12"/>
      <c r="U50" s="12"/>
      <c r="V50" s="12"/>
      <c r="W50" s="12"/>
      <c r="X50" s="12"/>
      <c r="Y50" s="12"/>
      <c r="Z50" s="12"/>
      <c r="AA50" s="12"/>
      <c r="AB50" s="12"/>
    </row>
    <row r="51" spans="1:28">
      <c r="B51" s="12"/>
      <c r="C51" s="12"/>
      <c r="D51" s="12"/>
      <c r="E51" s="12"/>
      <c r="F51" s="12"/>
      <c r="G51" s="12"/>
      <c r="H51" s="12"/>
      <c r="I51" s="12"/>
      <c r="J51" s="12"/>
      <c r="K51" s="12"/>
      <c r="M51" s="12"/>
      <c r="N51" s="12"/>
      <c r="R51" s="12"/>
      <c r="S51" s="12"/>
      <c r="T51" s="12"/>
      <c r="U51" s="12"/>
      <c r="V51" s="12"/>
      <c r="W51" s="12"/>
      <c r="X51" s="12"/>
      <c r="Y51" s="12"/>
      <c r="Z51" s="12"/>
      <c r="AA51" s="12"/>
      <c r="AB51" s="12"/>
    </row>
    <row r="52" spans="1:28">
      <c r="B52" s="12"/>
      <c r="C52" s="12"/>
      <c r="D52" s="12"/>
      <c r="E52" s="12"/>
      <c r="F52" s="12"/>
      <c r="G52" s="12"/>
      <c r="H52" s="12"/>
      <c r="I52" s="12"/>
      <c r="J52" s="12"/>
      <c r="K52" s="12"/>
      <c r="M52" s="12"/>
      <c r="N52" s="12"/>
      <c r="R52" s="12"/>
      <c r="S52" s="12"/>
      <c r="T52" s="12"/>
      <c r="U52" s="12"/>
      <c r="V52" s="12"/>
      <c r="W52" s="12"/>
      <c r="X52" s="12"/>
      <c r="Y52" s="12"/>
      <c r="Z52" s="12"/>
      <c r="AA52" s="12"/>
      <c r="AB52" s="12"/>
    </row>
    <row r="53" spans="1:28">
      <c r="B53" s="12"/>
      <c r="C53" s="12"/>
      <c r="D53" s="12"/>
      <c r="E53" s="12"/>
      <c r="F53" s="12"/>
      <c r="G53" s="12"/>
      <c r="H53" s="12"/>
      <c r="I53" s="12"/>
      <c r="J53" s="12"/>
      <c r="K53" s="12"/>
      <c r="M53" s="12"/>
      <c r="N53" s="12"/>
      <c r="R53" s="12"/>
      <c r="S53" s="12"/>
      <c r="T53" s="12"/>
      <c r="U53" s="12"/>
      <c r="V53" s="12"/>
      <c r="W53" s="12"/>
      <c r="X53" s="12"/>
      <c r="Y53" s="12"/>
      <c r="Z53" s="12"/>
      <c r="AA53" s="12"/>
      <c r="AB53" s="12"/>
    </row>
    <row r="54" spans="1:28">
      <c r="B54" s="12"/>
      <c r="C54" s="12"/>
      <c r="D54" s="12"/>
      <c r="E54" s="12"/>
      <c r="F54" s="12"/>
      <c r="G54" s="12"/>
      <c r="H54" s="12"/>
      <c r="I54" s="12"/>
      <c r="J54" s="12"/>
      <c r="K54" s="12"/>
      <c r="M54" s="12"/>
      <c r="N54" s="12"/>
      <c r="R54" s="12"/>
      <c r="S54" s="12"/>
      <c r="T54" s="12"/>
      <c r="U54" s="12"/>
      <c r="V54" s="12"/>
      <c r="W54" s="12"/>
      <c r="X54" s="12"/>
      <c r="Y54" s="12"/>
      <c r="Z54" s="12"/>
      <c r="AA54" s="12"/>
      <c r="AB54" s="12"/>
    </row>
    <row r="55" spans="1:28">
      <c r="B55" s="12"/>
      <c r="C55" s="12"/>
      <c r="D55" s="12"/>
      <c r="E55" s="12"/>
      <c r="F55" s="12"/>
      <c r="G55" s="12"/>
      <c r="H55" s="12"/>
      <c r="I55" s="12"/>
      <c r="J55" s="12"/>
      <c r="K55" s="12"/>
      <c r="M55" s="12"/>
      <c r="N55" s="12"/>
      <c r="R55" s="12"/>
      <c r="S55" s="12"/>
      <c r="T55" s="12"/>
      <c r="U55" s="12"/>
      <c r="V55" s="12"/>
      <c r="W55" s="12"/>
      <c r="X55" s="12"/>
      <c r="Y55" s="12"/>
      <c r="Z55" s="12"/>
      <c r="AA55" s="12"/>
      <c r="AB55" s="12"/>
    </row>
    <row r="56" spans="1:28">
      <c r="B56" s="12"/>
      <c r="C56" s="12"/>
      <c r="D56" s="12"/>
      <c r="E56" s="12"/>
      <c r="F56" s="12"/>
      <c r="G56" s="12"/>
      <c r="H56" s="16"/>
      <c r="I56" s="16"/>
      <c r="J56" s="16"/>
      <c r="K56" s="16"/>
      <c r="L56" s="96"/>
      <c r="R56" s="12"/>
      <c r="S56" s="12"/>
      <c r="T56" s="12"/>
      <c r="U56" s="12"/>
      <c r="V56" s="12"/>
      <c r="W56" s="12"/>
      <c r="X56" s="12"/>
      <c r="Y56" s="12"/>
      <c r="Z56" s="12"/>
      <c r="AA56" s="12"/>
    </row>
    <row r="57" spans="1:28">
      <c r="A57" s="766"/>
      <c r="B57" s="12"/>
      <c r="C57" s="766"/>
      <c r="D57" s="12"/>
      <c r="E57" s="1178"/>
      <c r="F57" s="1178"/>
      <c r="G57" s="16"/>
      <c r="H57" s="819"/>
      <c r="I57" s="819"/>
      <c r="J57" s="68"/>
      <c r="K57" s="68"/>
      <c r="L57" s="68"/>
      <c r="M57" s="68"/>
      <c r="N57" s="68"/>
      <c r="R57" s="12"/>
      <c r="S57" s="12"/>
      <c r="T57" s="12"/>
      <c r="U57" s="12"/>
      <c r="V57" s="12"/>
      <c r="W57" s="12"/>
      <c r="X57" s="12"/>
      <c r="Y57" s="12"/>
      <c r="Z57" s="12"/>
      <c r="AA57" s="12"/>
    </row>
    <row r="58" spans="1:28">
      <c r="B58" s="12"/>
      <c r="C58" s="12"/>
      <c r="D58" s="12"/>
      <c r="E58" s="1178"/>
      <c r="F58" s="1178"/>
      <c r="G58" s="16"/>
      <c r="H58" s="819"/>
      <c r="I58" s="819"/>
      <c r="J58" s="68"/>
      <c r="K58" s="68"/>
      <c r="L58" s="68"/>
      <c r="M58" s="68"/>
      <c r="N58" s="68"/>
      <c r="R58" s="12"/>
      <c r="S58" s="12"/>
      <c r="T58" s="12"/>
      <c r="U58" s="12"/>
      <c r="V58" s="12"/>
      <c r="W58" s="12"/>
      <c r="X58" s="12"/>
      <c r="Y58" s="12"/>
      <c r="Z58" s="12"/>
      <c r="AA58" s="12"/>
    </row>
    <row r="59" spans="1:28" ht="15.75">
      <c r="A59" s="178">
        <v>2</v>
      </c>
      <c r="B59" s="122" t="s">
        <v>180</v>
      </c>
      <c r="C59" s="122"/>
      <c r="D59" s="178"/>
      <c r="E59" s="12"/>
      <c r="F59" s="12"/>
      <c r="G59" s="12"/>
      <c r="H59" s="819"/>
      <c r="I59" s="819"/>
      <c r="J59" s="68"/>
      <c r="K59" s="68"/>
      <c r="L59" s="68"/>
      <c r="M59" s="95"/>
      <c r="N59" s="68"/>
      <c r="R59" s="12"/>
      <c r="S59" s="12"/>
      <c r="T59" s="12"/>
      <c r="U59" s="12"/>
      <c r="V59" s="12"/>
      <c r="W59" s="12"/>
      <c r="X59" s="12"/>
      <c r="Y59" s="12"/>
      <c r="Z59" s="12"/>
      <c r="AA59" s="12"/>
      <c r="AB59" s="12"/>
    </row>
    <row r="60" spans="1:28">
      <c r="B60" s="12"/>
      <c r="C60" s="12"/>
      <c r="D60" s="12"/>
      <c r="E60" s="12"/>
      <c r="F60" s="12"/>
      <c r="G60" s="12"/>
      <c r="H60" s="12"/>
      <c r="I60" s="12"/>
      <c r="J60" s="12"/>
      <c r="K60" s="12"/>
      <c r="M60" s="12"/>
      <c r="N60" s="12"/>
      <c r="R60" s="12"/>
      <c r="S60" s="12"/>
      <c r="T60" s="12"/>
      <c r="U60" s="12"/>
      <c r="V60" s="12"/>
      <c r="W60" s="12"/>
      <c r="X60" s="12"/>
      <c r="Y60" s="12"/>
      <c r="Z60" s="12"/>
      <c r="AA60" s="12"/>
      <c r="AB60" s="12"/>
    </row>
    <row r="61" spans="1:28" ht="18.75">
      <c r="B61" s="179">
        <v>2.1</v>
      </c>
      <c r="C61" s="820" t="s">
        <v>467</v>
      </c>
      <c r="D61" s="821"/>
      <c r="E61" s="821"/>
      <c r="F61" s="821"/>
      <c r="G61" s="821"/>
      <c r="H61" s="821"/>
      <c r="I61" s="821"/>
      <c r="J61" s="12"/>
      <c r="K61" s="12"/>
      <c r="L61" s="822"/>
      <c r="M61" s="12"/>
      <c r="N61" s="12"/>
      <c r="R61" s="12"/>
      <c r="S61" s="12"/>
      <c r="T61" s="12"/>
      <c r="U61" s="12"/>
      <c r="V61" s="12"/>
      <c r="W61" s="12"/>
      <c r="X61" s="12"/>
      <c r="Y61" s="12"/>
      <c r="Z61" s="12"/>
      <c r="AA61" s="12"/>
      <c r="AB61" s="12"/>
    </row>
    <row r="62" spans="1:28" ht="12" thickBot="1">
      <c r="B62" s="12"/>
      <c r="C62" s="35"/>
      <c r="D62" s="12"/>
      <c r="E62" s="12"/>
      <c r="F62" s="12"/>
      <c r="G62" s="12"/>
      <c r="H62" s="12"/>
      <c r="I62" s="12"/>
      <c r="J62" s="12"/>
      <c r="K62" s="12"/>
      <c r="M62" s="12"/>
      <c r="N62" s="12"/>
      <c r="R62" s="12"/>
      <c r="S62" s="12"/>
      <c r="T62" s="12"/>
      <c r="U62" s="12"/>
      <c r="V62" s="12"/>
      <c r="W62" s="12"/>
      <c r="X62" s="12"/>
      <c r="Y62" s="12"/>
      <c r="Z62" s="12"/>
      <c r="AA62" s="12"/>
      <c r="AB62" s="12"/>
    </row>
    <row r="63" spans="1:28" ht="15" customHeight="1">
      <c r="B63" s="771"/>
      <c r="C63" s="772"/>
      <c r="D63" s="773"/>
      <c r="E63" s="771" t="s">
        <v>35</v>
      </c>
      <c r="F63" s="772"/>
      <c r="G63" s="772"/>
      <c r="H63" s="772"/>
      <c r="I63" s="772"/>
      <c r="J63" s="772"/>
      <c r="K63" s="772"/>
      <c r="L63" s="772"/>
      <c r="M63" s="772"/>
      <c r="N63" s="772"/>
      <c r="R63" s="12"/>
      <c r="S63" s="12"/>
      <c r="T63" s="12"/>
      <c r="U63" s="12"/>
      <c r="V63" s="12"/>
      <c r="W63" s="12"/>
      <c r="X63" s="12"/>
      <c r="Y63" s="12"/>
      <c r="Z63" s="12"/>
      <c r="AA63" s="12"/>
      <c r="AB63" s="12"/>
    </row>
    <row r="64" spans="1:28" ht="12" thickBot="1">
      <c r="B64" s="823" t="s">
        <v>168</v>
      </c>
      <c r="C64" s="777"/>
      <c r="D64" s="778" t="str">
        <f>$E$9</f>
        <v>TOTAL BRAND 01</v>
      </c>
      <c r="E64" s="779" t="s">
        <v>698</v>
      </c>
      <c r="F64" s="779" t="s">
        <v>699</v>
      </c>
      <c r="G64" s="779" t="s">
        <v>700</v>
      </c>
      <c r="H64" s="779" t="s">
        <v>701</v>
      </c>
      <c r="I64" s="780" t="s">
        <v>702</v>
      </c>
      <c r="J64" s="781" t="s">
        <v>703</v>
      </c>
      <c r="K64" s="781" t="s">
        <v>704</v>
      </c>
      <c r="L64" s="781" t="s">
        <v>705</v>
      </c>
      <c r="M64" s="782" t="s">
        <v>706</v>
      </c>
      <c r="N64" s="782"/>
      <c r="R64" s="12"/>
      <c r="S64" s="12"/>
      <c r="T64" s="12"/>
      <c r="U64" s="12"/>
      <c r="V64" s="12"/>
      <c r="W64" s="12"/>
      <c r="X64" s="12"/>
      <c r="Y64" s="12"/>
      <c r="Z64" s="12"/>
      <c r="AA64" s="12"/>
      <c r="AB64" s="12"/>
    </row>
    <row r="65" spans="1:28" ht="12" thickTop="1">
      <c r="B65" s="824" t="s">
        <v>129</v>
      </c>
      <c r="C65" s="784" t="s">
        <v>50</v>
      </c>
      <c r="D65" s="825">
        <f>$E$12</f>
        <v>164197.57</v>
      </c>
      <c r="E65" s="12"/>
      <c r="F65" s="12"/>
      <c r="G65" s="12"/>
      <c r="H65" s="12"/>
      <c r="L65" s="7"/>
      <c r="R65" s="323"/>
      <c r="S65" s="323"/>
      <c r="T65" s="323"/>
      <c r="U65" s="323"/>
      <c r="V65" s="323"/>
      <c r="W65" s="323"/>
      <c r="X65" s="323"/>
      <c r="Y65" s="12"/>
      <c r="Z65" s="12"/>
      <c r="AA65" s="12"/>
      <c r="AB65" s="12"/>
    </row>
    <row r="66" spans="1:28">
      <c r="B66" s="787" t="s">
        <v>167</v>
      </c>
      <c r="C66" s="784" t="s">
        <v>50</v>
      </c>
      <c r="D66" s="790"/>
      <c r="E66" s="826">
        <v>8</v>
      </c>
      <c r="F66" s="826">
        <v>8</v>
      </c>
      <c r="G66" s="826">
        <v>7.5</v>
      </c>
      <c r="H66" s="826">
        <v>7.5</v>
      </c>
      <c r="I66" s="826">
        <v>7.5</v>
      </c>
      <c r="J66" s="826">
        <v>7.5</v>
      </c>
      <c r="K66" s="826">
        <v>3.3</v>
      </c>
      <c r="L66" s="826">
        <v>3.3</v>
      </c>
      <c r="M66" s="826">
        <v>6</v>
      </c>
      <c r="N66" s="826"/>
      <c r="R66" s="323"/>
      <c r="S66" s="323"/>
      <c r="T66" s="323"/>
      <c r="U66" s="323"/>
      <c r="V66" s="323"/>
      <c r="W66" s="323"/>
      <c r="X66" s="323"/>
      <c r="Y66" s="12"/>
      <c r="Z66" s="12"/>
      <c r="AA66" s="12"/>
      <c r="AB66" s="12"/>
    </row>
    <row r="67" spans="1:28">
      <c r="B67" s="787" t="s">
        <v>165</v>
      </c>
      <c r="C67" s="784" t="s">
        <v>50</v>
      </c>
      <c r="D67" s="790"/>
      <c r="E67" s="826">
        <v>1.1299999999999999</v>
      </c>
      <c r="F67" s="826">
        <v>1.07</v>
      </c>
      <c r="G67" s="826">
        <v>1.07</v>
      </c>
      <c r="H67" s="826">
        <v>1.07</v>
      </c>
      <c r="I67" s="826">
        <v>1.07</v>
      </c>
      <c r="J67" s="826">
        <v>1.07</v>
      </c>
      <c r="K67" s="826">
        <v>1.0900000000000001</v>
      </c>
      <c r="L67" s="826">
        <v>1.0900000000000001</v>
      </c>
      <c r="M67" s="826">
        <v>1.1000000000000001</v>
      </c>
      <c r="N67" s="826"/>
      <c r="Q67" s="323"/>
      <c r="R67" s="323"/>
      <c r="S67" s="323"/>
      <c r="T67" s="323"/>
      <c r="U67" s="323"/>
      <c r="V67" s="323"/>
      <c r="W67" s="323"/>
      <c r="X67" s="323"/>
      <c r="Y67" s="12"/>
      <c r="Z67" s="12"/>
      <c r="AA67" s="12"/>
      <c r="AB67" s="12"/>
    </row>
    <row r="68" spans="1:28">
      <c r="B68" s="787" t="s">
        <v>164</v>
      </c>
      <c r="C68" s="784" t="s">
        <v>50</v>
      </c>
      <c r="D68" s="790"/>
      <c r="E68" s="826">
        <f>E66-E67</f>
        <v>6.87</v>
      </c>
      <c r="F68" s="826">
        <f>F66-F67</f>
        <v>6.93</v>
      </c>
      <c r="G68" s="826">
        <f>G66-G67</f>
        <v>6.43</v>
      </c>
      <c r="H68" s="826">
        <f>H66-H67</f>
        <v>6.43</v>
      </c>
      <c r="I68" s="826">
        <f>I66-I67</f>
        <v>6.43</v>
      </c>
      <c r="J68" s="826">
        <f>J66-J67</f>
        <v>6.43</v>
      </c>
      <c r="K68" s="826">
        <f>K66-K67</f>
        <v>2.21</v>
      </c>
      <c r="L68" s="826">
        <f>L66-L67</f>
        <v>2.21</v>
      </c>
      <c r="M68" s="826">
        <f>M66-M67</f>
        <v>4.9000000000000004</v>
      </c>
      <c r="N68" s="826"/>
      <c r="Q68" s="827"/>
      <c r="R68" s="828"/>
      <c r="S68" s="828"/>
      <c r="T68" s="828"/>
      <c r="U68" s="828"/>
      <c r="V68" s="828"/>
      <c r="W68" s="828"/>
      <c r="X68" s="828"/>
      <c r="Y68" s="828"/>
      <c r="Z68" s="828"/>
      <c r="AA68" s="12"/>
      <c r="AB68" s="12"/>
    </row>
    <row r="69" spans="1:28">
      <c r="B69" s="787" t="s">
        <v>163</v>
      </c>
      <c r="C69" s="784" t="s">
        <v>49</v>
      </c>
      <c r="D69" s="829">
        <f>(D71-D73)/D71</f>
        <v>0.76355185704280881</v>
      </c>
      <c r="E69" s="830">
        <f>E68/E66</f>
        <v>0.85875000000000001</v>
      </c>
      <c r="F69" s="830">
        <f>F68/F66</f>
        <v>0.86624999999999996</v>
      </c>
      <c r="G69" s="830">
        <f>G68/G66</f>
        <v>0.85733333333333328</v>
      </c>
      <c r="H69" s="830">
        <f>H68/H66</f>
        <v>0.85733333333333328</v>
      </c>
      <c r="I69" s="830">
        <f>I68/I66</f>
        <v>0.85733333333333328</v>
      </c>
      <c r="J69" s="830">
        <f>J68/J66</f>
        <v>0.85733333333333328</v>
      </c>
      <c r="K69" s="830">
        <f>K68/K66</f>
        <v>0.66969696969696968</v>
      </c>
      <c r="L69" s="830">
        <f>L68/L66</f>
        <v>0.66969696969696968</v>
      </c>
      <c r="M69" s="830">
        <f>M68/M66</f>
        <v>0.81666666666666676</v>
      </c>
      <c r="N69" s="830"/>
      <c r="Q69" s="827"/>
      <c r="R69" s="828"/>
      <c r="S69" s="828"/>
      <c r="T69" s="828"/>
      <c r="U69" s="828"/>
      <c r="V69" s="828"/>
      <c r="W69" s="828"/>
      <c r="X69" s="828"/>
      <c r="Y69" s="828"/>
      <c r="Z69" s="828"/>
      <c r="AA69" s="12"/>
      <c r="AB69" s="12"/>
    </row>
    <row r="70" spans="1:28">
      <c r="B70" s="787" t="s">
        <v>162</v>
      </c>
      <c r="C70" s="784" t="s">
        <v>161</v>
      </c>
      <c r="D70" s="790"/>
      <c r="E70" s="831">
        <v>6193.2149131439101</v>
      </c>
      <c r="F70" s="831">
        <v>6575.340803869617</v>
      </c>
      <c r="G70" s="831">
        <v>6545.6621445599994</v>
      </c>
      <c r="H70" s="831">
        <v>8392.7214053600001</v>
      </c>
      <c r="I70" s="831">
        <v>9137.4088787199998</v>
      </c>
      <c r="J70" s="831">
        <v>6108.8602380800003</v>
      </c>
      <c r="K70" s="831">
        <v>47811.663235976092</v>
      </c>
      <c r="L70" s="831">
        <v>62023.871901330385</v>
      </c>
      <c r="M70" s="831">
        <v>8374.3543195199982</v>
      </c>
      <c r="N70" s="831"/>
      <c r="R70" s="12"/>
      <c r="S70" s="12"/>
      <c r="T70" s="12"/>
      <c r="U70" s="12"/>
      <c r="V70" s="12"/>
      <c r="W70" s="12"/>
      <c r="X70" s="12"/>
      <c r="Y70" s="12"/>
      <c r="Z70" s="12"/>
      <c r="AA70" s="12"/>
      <c r="AB70" s="12"/>
    </row>
    <row r="71" spans="1:28">
      <c r="B71" s="787" t="s">
        <v>113</v>
      </c>
      <c r="C71" s="784" t="s">
        <v>50</v>
      </c>
      <c r="D71" s="786">
        <f>SUM(E71:XN71)</f>
        <v>741236.7326067395</v>
      </c>
      <c r="E71" s="68">
        <f>E66*E70</f>
        <v>49545.71930515128</v>
      </c>
      <c r="F71" s="68">
        <f>F66*F70</f>
        <v>52602.726430956936</v>
      </c>
      <c r="G71" s="68">
        <f>G66*G70</f>
        <v>49092.466084199994</v>
      </c>
      <c r="H71" s="68">
        <f>H66*H70</f>
        <v>62945.410540199999</v>
      </c>
      <c r="I71" s="68">
        <f>I66*I70</f>
        <v>68530.566590400005</v>
      </c>
      <c r="J71" s="68">
        <f>J66*J70</f>
        <v>45816.451785600002</v>
      </c>
      <c r="K71" s="68">
        <f>K66*K70</f>
        <v>157778.4886787211</v>
      </c>
      <c r="L71" s="68">
        <f>L66*L70</f>
        <v>204678.77727439025</v>
      </c>
      <c r="M71" s="68">
        <f>M66*M70</f>
        <v>50246.125917119993</v>
      </c>
      <c r="N71" s="68"/>
      <c r="R71" s="12"/>
      <c r="S71" s="12"/>
      <c r="T71" s="12"/>
      <c r="U71" s="12"/>
      <c r="V71" s="12"/>
      <c r="W71" s="12"/>
      <c r="X71" s="12"/>
      <c r="Y71" s="12"/>
      <c r="Z71" s="12"/>
      <c r="AA71" s="12"/>
      <c r="AB71" s="12"/>
    </row>
    <row r="72" spans="1:28">
      <c r="B72" s="787" t="s">
        <v>176</v>
      </c>
      <c r="C72" s="784" t="s">
        <v>49</v>
      </c>
      <c r="D72" s="832"/>
      <c r="E72" s="830">
        <f>E71/$D71</f>
        <v>6.6841964416565938E-2</v>
      </c>
      <c r="F72" s="830">
        <f>F71/$D71</f>
        <v>7.0966162518641837E-2</v>
      </c>
      <c r="G72" s="830">
        <f>G71/$D71</f>
        <v>6.6230482010186387E-2</v>
      </c>
      <c r="H72" s="830">
        <f>H71/$D71</f>
        <v>8.4919443102660516E-2</v>
      </c>
      <c r="I72" s="830">
        <f>I71/$D71</f>
        <v>9.245435847383815E-2</v>
      </c>
      <c r="J72" s="830">
        <f>J71/$D71</f>
        <v>6.1810822062845279E-2</v>
      </c>
      <c r="K72" s="830">
        <f>K71/$D71</f>
        <v>0.21285843204755195</v>
      </c>
      <c r="L72" s="830">
        <f>L71/$D71</f>
        <v>0.27613145473051165</v>
      </c>
      <c r="M72" s="830">
        <f>M71/$D71</f>
        <v>6.7786880637198399E-2</v>
      </c>
      <c r="N72" s="830"/>
      <c r="R72" s="12"/>
      <c r="S72" s="12"/>
      <c r="T72" s="12"/>
      <c r="U72" s="12"/>
      <c r="V72" s="12"/>
      <c r="W72" s="12"/>
      <c r="X72" s="12"/>
      <c r="Y72" s="12"/>
      <c r="Z72" s="12"/>
      <c r="AA72" s="12"/>
      <c r="AB72" s="12"/>
    </row>
    <row r="73" spans="1:28">
      <c r="B73" s="787" t="s">
        <v>468</v>
      </c>
      <c r="C73" s="784" t="s">
        <v>50</v>
      </c>
      <c r="D73" s="786">
        <f>SUM(E73:XN73)</f>
        <v>175264.04891651956</v>
      </c>
      <c r="E73" s="68">
        <f>E67*E70</f>
        <v>6998.3328518526178</v>
      </c>
      <c r="F73" s="68">
        <f>F67*F70</f>
        <v>7035.6146601404907</v>
      </c>
      <c r="G73" s="68">
        <f>G67*G70</f>
        <v>7003.8584946791998</v>
      </c>
      <c r="H73" s="68">
        <f>H67*H70</f>
        <v>8980.2119037352004</v>
      </c>
      <c r="I73" s="68">
        <f>I67*I70</f>
        <v>9777.0275002304006</v>
      </c>
      <c r="J73" s="68">
        <f>J67*J70</f>
        <v>6536.4804547456006</v>
      </c>
      <c r="K73" s="68">
        <f>K67*K70</f>
        <v>52114.712927213943</v>
      </c>
      <c r="L73" s="68">
        <f>L67*L70</f>
        <v>67606.020372450119</v>
      </c>
      <c r="M73" s="68">
        <f>M67*M70</f>
        <v>9211.7897514719989</v>
      </c>
      <c r="N73" s="68"/>
      <c r="R73" s="12"/>
      <c r="S73" s="12"/>
      <c r="T73" s="12"/>
      <c r="U73" s="12"/>
      <c r="V73" s="12"/>
      <c r="W73" s="12"/>
      <c r="X73" s="12"/>
      <c r="Y73" s="12"/>
      <c r="Z73" s="12"/>
      <c r="AA73" s="12"/>
      <c r="AB73" s="12"/>
    </row>
    <row r="74" spans="1:28">
      <c r="B74" s="787" t="s">
        <v>111</v>
      </c>
      <c r="C74" s="784" t="s">
        <v>50</v>
      </c>
      <c r="D74" s="786">
        <f>SUM(E74:XN74)</f>
        <v>565972.68369021988</v>
      </c>
      <c r="E74" s="68">
        <f>E71-E73</f>
        <v>42547.386453298663</v>
      </c>
      <c r="F74" s="68">
        <f>F71-F73</f>
        <v>45567.111770816446</v>
      </c>
      <c r="G74" s="68">
        <f>G71-G73</f>
        <v>42088.60758952079</v>
      </c>
      <c r="H74" s="68">
        <f>H71-H73</f>
        <v>53965.198636464796</v>
      </c>
      <c r="I74" s="68">
        <f>I71-I73</f>
        <v>58753.539090169608</v>
      </c>
      <c r="J74" s="68">
        <f>J71-J73</f>
        <v>39279.971330854401</v>
      </c>
      <c r="K74" s="68">
        <f>K71-K73</f>
        <v>105663.77575150716</v>
      </c>
      <c r="L74" s="68">
        <f>L71-L73</f>
        <v>137072.75690194013</v>
      </c>
      <c r="M74" s="68">
        <f>M71-M73</f>
        <v>41034.336165647997</v>
      </c>
      <c r="N74" s="68"/>
      <c r="R74" s="12"/>
      <c r="S74" s="12"/>
      <c r="T74" s="12"/>
      <c r="U74" s="12"/>
      <c r="V74" s="12"/>
      <c r="W74" s="12"/>
      <c r="X74" s="12"/>
      <c r="Y74" s="12"/>
      <c r="Z74" s="12"/>
      <c r="AA74" s="12"/>
      <c r="AB74" s="12"/>
    </row>
    <row r="75" spans="1:28" ht="12" thickBot="1">
      <c r="B75" s="833"/>
      <c r="C75" s="834" t="s">
        <v>49</v>
      </c>
      <c r="D75" s="835"/>
      <c r="E75" s="836">
        <f>E74/$D74</f>
        <v>7.5175689003016619E-2</v>
      </c>
      <c r="F75" s="836">
        <f>F74/$D74</f>
        <v>8.0511150244412147E-2</v>
      </c>
      <c r="G75" s="836">
        <f>G74/$D74</f>
        <v>7.4365086518128884E-2</v>
      </c>
      <c r="H75" s="836">
        <f>H74/$D74</f>
        <v>9.5349475675405859E-2</v>
      </c>
      <c r="I75" s="836">
        <f>I74/$D74</f>
        <v>0.10380984945614059</v>
      </c>
      <c r="J75" s="836">
        <f>J74/$D74</f>
        <v>6.9402592144100619E-2</v>
      </c>
      <c r="K75" s="836">
        <f>K74/$D74</f>
        <v>0.18669412640653393</v>
      </c>
      <c r="L75" s="836">
        <f>L74/$D74</f>
        <v>0.24218970429492614</v>
      </c>
      <c r="M75" s="836">
        <f>M74/$D74</f>
        <v>7.2502326257335381E-2</v>
      </c>
      <c r="N75" s="836"/>
      <c r="R75" s="12"/>
      <c r="S75" s="12"/>
      <c r="T75" s="12"/>
      <c r="U75" s="12"/>
      <c r="V75" s="12"/>
      <c r="W75" s="12"/>
      <c r="X75" s="12"/>
      <c r="Y75" s="12"/>
      <c r="Z75" s="12"/>
      <c r="AA75" s="12"/>
      <c r="AB75" s="12"/>
    </row>
    <row r="76" spans="1:28" ht="12" thickBot="1">
      <c r="B76" s="12"/>
      <c r="C76" s="12"/>
      <c r="D76" s="12"/>
      <c r="E76" s="12"/>
      <c r="F76" s="12"/>
      <c r="G76" s="12"/>
      <c r="H76" s="12"/>
      <c r="L76" s="7"/>
      <c r="R76" s="12"/>
      <c r="S76" s="12"/>
      <c r="T76" s="12"/>
      <c r="U76" s="12"/>
      <c r="V76" s="12"/>
      <c r="W76" s="12"/>
      <c r="X76" s="12"/>
      <c r="Y76" s="12"/>
      <c r="Z76" s="12"/>
      <c r="AA76" s="12"/>
      <c r="AB76" s="12"/>
    </row>
    <row r="77" spans="1:28">
      <c r="A77" s="837" t="s">
        <v>178</v>
      </c>
      <c r="B77" s="838" t="s">
        <v>129</v>
      </c>
      <c r="C77" s="839" t="s">
        <v>50</v>
      </c>
      <c r="D77" s="726">
        <f>D65+6327.6</f>
        <v>170525.17</v>
      </c>
      <c r="E77" s="840"/>
      <c r="F77" s="840"/>
      <c r="G77" s="840"/>
      <c r="H77" s="840"/>
      <c r="I77" s="841"/>
      <c r="J77" s="841"/>
      <c r="K77" s="841"/>
      <c r="L77" s="841"/>
      <c r="M77" s="841"/>
      <c r="N77" s="841"/>
      <c r="R77" s="12"/>
      <c r="S77" s="12"/>
      <c r="T77" s="12"/>
      <c r="U77" s="12"/>
      <c r="V77" s="12"/>
      <c r="W77" s="12"/>
      <c r="X77" s="12"/>
      <c r="Y77" s="12"/>
      <c r="Z77" s="12"/>
      <c r="AA77" s="12"/>
      <c r="AB77" s="12"/>
    </row>
    <row r="78" spans="1:28">
      <c r="A78" s="12"/>
      <c r="B78" s="842" t="s">
        <v>167</v>
      </c>
      <c r="C78" s="16" t="s">
        <v>50</v>
      </c>
      <c r="D78" s="843"/>
      <c r="E78" s="826">
        <f>E66</f>
        <v>8</v>
      </c>
      <c r="F78" s="826">
        <f>F66</f>
        <v>8</v>
      </c>
      <c r="G78" s="826">
        <f>G66</f>
        <v>7.5</v>
      </c>
      <c r="H78" s="826">
        <f>H66</f>
        <v>7.5</v>
      </c>
      <c r="I78" s="826">
        <f>I66</f>
        <v>7.5</v>
      </c>
      <c r="J78" s="826">
        <f>J66</f>
        <v>7.5</v>
      </c>
      <c r="K78" s="826">
        <f>K66</f>
        <v>3.3</v>
      </c>
      <c r="L78" s="826">
        <f>L66</f>
        <v>3.3</v>
      </c>
      <c r="M78" s="826">
        <f>M66</f>
        <v>6</v>
      </c>
      <c r="N78" s="826"/>
      <c r="R78" s="12"/>
      <c r="S78" s="12"/>
      <c r="T78" s="12"/>
      <c r="U78" s="12"/>
      <c r="V78" s="12"/>
      <c r="W78" s="12"/>
      <c r="X78" s="12"/>
      <c r="Y78" s="12"/>
      <c r="Z78" s="12"/>
      <c r="AA78" s="12"/>
      <c r="AB78" s="12"/>
    </row>
    <row r="79" spans="1:28">
      <c r="A79" s="12"/>
      <c r="B79" s="842" t="s">
        <v>165</v>
      </c>
      <c r="C79" s="16" t="s">
        <v>50</v>
      </c>
      <c r="D79" s="843"/>
      <c r="E79" s="826">
        <f>E67</f>
        <v>1.1299999999999999</v>
      </c>
      <c r="F79" s="826">
        <f>F67</f>
        <v>1.07</v>
      </c>
      <c r="G79" s="826">
        <f>G67</f>
        <v>1.07</v>
      </c>
      <c r="H79" s="826">
        <f>H67</f>
        <v>1.07</v>
      </c>
      <c r="I79" s="826">
        <f>I67</f>
        <v>1.07</v>
      </c>
      <c r="J79" s="826">
        <f>J67</f>
        <v>1.07</v>
      </c>
      <c r="K79" s="826">
        <f>K67</f>
        <v>1.0900000000000001</v>
      </c>
      <c r="L79" s="826">
        <f>L67</f>
        <v>1.0900000000000001</v>
      </c>
      <c r="M79" s="826">
        <f>M67</f>
        <v>1.1000000000000001</v>
      </c>
      <c r="N79" s="826"/>
      <c r="R79" s="12"/>
      <c r="S79" s="12"/>
      <c r="T79" s="12"/>
      <c r="U79" s="12"/>
      <c r="V79" s="12"/>
      <c r="W79" s="12"/>
      <c r="X79" s="12"/>
      <c r="Y79" s="12"/>
      <c r="Z79" s="12"/>
      <c r="AA79" s="12"/>
      <c r="AB79" s="12"/>
    </row>
    <row r="80" spans="1:28">
      <c r="A80" s="12"/>
      <c r="B80" s="842" t="s">
        <v>164</v>
      </c>
      <c r="C80" s="16" t="s">
        <v>50</v>
      </c>
      <c r="D80" s="843"/>
      <c r="E80" s="826">
        <f>E78-E79</f>
        <v>6.87</v>
      </c>
      <c r="F80" s="826">
        <f>F78-F79</f>
        <v>6.93</v>
      </c>
      <c r="G80" s="826">
        <f>G78-G79</f>
        <v>6.43</v>
      </c>
      <c r="H80" s="826">
        <f>H78-H79</f>
        <v>6.43</v>
      </c>
      <c r="I80" s="826">
        <f>I78-I79</f>
        <v>6.43</v>
      </c>
      <c r="J80" s="826">
        <f>J78-J79</f>
        <v>6.43</v>
      </c>
      <c r="K80" s="826">
        <f>K78-K79</f>
        <v>2.21</v>
      </c>
      <c r="L80" s="826">
        <f>L78-L79</f>
        <v>2.21</v>
      </c>
      <c r="M80" s="826">
        <f>M78-M79</f>
        <v>4.9000000000000004</v>
      </c>
      <c r="N80" s="826"/>
      <c r="R80" s="12"/>
      <c r="S80" s="12"/>
      <c r="T80" s="12"/>
      <c r="U80" s="12"/>
      <c r="V80" s="12"/>
      <c r="W80" s="12"/>
      <c r="X80" s="12"/>
      <c r="Y80" s="12"/>
      <c r="Z80" s="12"/>
      <c r="AA80" s="12"/>
      <c r="AB80" s="12"/>
    </row>
    <row r="81" spans="1:28">
      <c r="A81" s="12"/>
      <c r="B81" s="842" t="s">
        <v>163</v>
      </c>
      <c r="C81" s="16" t="s">
        <v>49</v>
      </c>
      <c r="D81" s="844">
        <f>(D83-D85)/D83</f>
        <v>0.76355185704280881</v>
      </c>
      <c r="E81" s="830">
        <f>E80/E78</f>
        <v>0.85875000000000001</v>
      </c>
      <c r="F81" s="830">
        <f>F80/F78</f>
        <v>0.86624999999999996</v>
      </c>
      <c r="G81" s="830">
        <f>G80/G78</f>
        <v>0.85733333333333328</v>
      </c>
      <c r="H81" s="830">
        <f>H80/H78</f>
        <v>0.85733333333333328</v>
      </c>
      <c r="I81" s="830">
        <f>I80/I78</f>
        <v>0.85733333333333328</v>
      </c>
      <c r="J81" s="830">
        <f>J80/J78</f>
        <v>0.85733333333333328</v>
      </c>
      <c r="K81" s="830">
        <f>K80/K78</f>
        <v>0.66969696969696968</v>
      </c>
      <c r="L81" s="830">
        <f>L80/L78</f>
        <v>0.66969696969696968</v>
      </c>
      <c r="M81" s="830">
        <f>M80/M78</f>
        <v>0.81666666666666676</v>
      </c>
      <c r="N81" s="830"/>
      <c r="R81" s="12"/>
      <c r="S81" s="12"/>
      <c r="T81" s="12"/>
      <c r="U81" s="12"/>
      <c r="V81" s="12"/>
      <c r="W81" s="12"/>
      <c r="X81" s="12"/>
      <c r="Y81" s="12"/>
      <c r="Z81" s="12"/>
      <c r="AA81" s="12"/>
      <c r="AB81" s="12"/>
    </row>
    <row r="82" spans="1:28">
      <c r="A82" s="12"/>
      <c r="B82" s="842" t="s">
        <v>162</v>
      </c>
      <c r="C82" s="16" t="s">
        <v>161</v>
      </c>
      <c r="D82" s="843"/>
      <c r="E82" s="831">
        <f>70:70</f>
        <v>6193.2149131439101</v>
      </c>
      <c r="F82" s="831">
        <f>70:70</f>
        <v>6575.340803869617</v>
      </c>
      <c r="G82" s="831">
        <f>70:70</f>
        <v>6545.6621445599994</v>
      </c>
      <c r="H82" s="831">
        <f>70:70</f>
        <v>8392.7214053600001</v>
      </c>
      <c r="I82" s="831">
        <f>70:70</f>
        <v>9137.4088787199998</v>
      </c>
      <c r="J82" s="831">
        <f>70:70</f>
        <v>6108.8602380800003</v>
      </c>
      <c r="K82" s="831">
        <f>70:70</f>
        <v>47811.663235976092</v>
      </c>
      <c r="L82" s="831">
        <f>70:70</f>
        <v>62023.871901330385</v>
      </c>
      <c r="M82" s="831">
        <f>70:70</f>
        <v>8374.3543195199982</v>
      </c>
      <c r="N82" s="831"/>
      <c r="R82" s="12"/>
      <c r="S82" s="12"/>
      <c r="T82" s="12"/>
      <c r="U82" s="12"/>
      <c r="V82" s="12"/>
      <c r="W82" s="12"/>
      <c r="X82" s="12"/>
      <c r="Y82" s="12"/>
      <c r="Z82" s="12"/>
      <c r="AA82" s="12"/>
      <c r="AB82" s="12"/>
    </row>
    <row r="83" spans="1:28">
      <c r="A83" s="12"/>
      <c r="B83" s="842" t="s">
        <v>113</v>
      </c>
      <c r="C83" s="16" t="s">
        <v>50</v>
      </c>
      <c r="D83" s="845">
        <f>SUM(E83:XN83)</f>
        <v>741236.7326067395</v>
      </c>
      <c r="E83" s="68">
        <f>E78*E82</f>
        <v>49545.71930515128</v>
      </c>
      <c r="F83" s="68">
        <f>F78*F82</f>
        <v>52602.726430956936</v>
      </c>
      <c r="G83" s="68">
        <f>G78*G82</f>
        <v>49092.466084199994</v>
      </c>
      <c r="H83" s="68">
        <f>H78*H82</f>
        <v>62945.410540199999</v>
      </c>
      <c r="I83" s="68">
        <f>I78*I82</f>
        <v>68530.566590400005</v>
      </c>
      <c r="J83" s="68">
        <f>J78*J82</f>
        <v>45816.451785600002</v>
      </c>
      <c r="K83" s="68">
        <f>K78*K82</f>
        <v>157778.4886787211</v>
      </c>
      <c r="L83" s="68">
        <f>L78*L82</f>
        <v>204678.77727439025</v>
      </c>
      <c r="M83" s="68">
        <f>M78*M82</f>
        <v>50246.125917119993</v>
      </c>
      <c r="N83" s="68"/>
      <c r="R83" s="12"/>
      <c r="S83" s="12"/>
      <c r="T83" s="12"/>
      <c r="U83" s="12"/>
      <c r="V83" s="12"/>
      <c r="W83" s="12"/>
      <c r="X83" s="12"/>
      <c r="Y83" s="12"/>
      <c r="Z83" s="12"/>
      <c r="AA83" s="12"/>
      <c r="AB83" s="12"/>
    </row>
    <row r="84" spans="1:28">
      <c r="A84" s="12"/>
      <c r="B84" s="842" t="s">
        <v>176</v>
      </c>
      <c r="C84" s="16" t="s">
        <v>49</v>
      </c>
      <c r="D84" s="846"/>
      <c r="E84" s="830">
        <f>E83/$D83</f>
        <v>6.6841964416565938E-2</v>
      </c>
      <c r="F84" s="830">
        <f>F83/$D83</f>
        <v>7.0966162518641837E-2</v>
      </c>
      <c r="G84" s="830">
        <f>G83/$D83</f>
        <v>6.6230482010186387E-2</v>
      </c>
      <c r="H84" s="830">
        <f>H83/$D83</f>
        <v>8.4919443102660516E-2</v>
      </c>
      <c r="I84" s="830">
        <f>I83/$D83</f>
        <v>9.245435847383815E-2</v>
      </c>
      <c r="J84" s="830">
        <f>J83/$D83</f>
        <v>6.1810822062845279E-2</v>
      </c>
      <c r="K84" s="830">
        <f>K83/$D83</f>
        <v>0.21285843204755195</v>
      </c>
      <c r="L84" s="830">
        <f>L83/$D83</f>
        <v>0.27613145473051165</v>
      </c>
      <c r="M84" s="830">
        <f>M83/$D83</f>
        <v>6.7786880637198399E-2</v>
      </c>
      <c r="N84" s="830"/>
      <c r="R84" s="12"/>
      <c r="S84" s="12"/>
      <c r="T84" s="12"/>
      <c r="U84" s="12"/>
      <c r="V84" s="12"/>
      <c r="W84" s="12"/>
      <c r="X84" s="12"/>
      <c r="Y84" s="12"/>
      <c r="Z84" s="12"/>
      <c r="AA84" s="12"/>
      <c r="AB84" s="12"/>
    </row>
    <row r="85" spans="1:28">
      <c r="A85" s="12"/>
      <c r="B85" s="842" t="s">
        <v>468</v>
      </c>
      <c r="C85" s="16" t="s">
        <v>50</v>
      </c>
      <c r="D85" s="845">
        <f>SUM(E85:XN85)</f>
        <v>175264.04891651956</v>
      </c>
      <c r="E85" s="68">
        <f>E79*E82</f>
        <v>6998.3328518526178</v>
      </c>
      <c r="F85" s="68">
        <f>F79*F82</f>
        <v>7035.6146601404907</v>
      </c>
      <c r="G85" s="68">
        <f>G79*G82</f>
        <v>7003.8584946791998</v>
      </c>
      <c r="H85" s="68">
        <f>H79*H82</f>
        <v>8980.2119037352004</v>
      </c>
      <c r="I85" s="68">
        <f>I79*I82</f>
        <v>9777.0275002304006</v>
      </c>
      <c r="J85" s="68">
        <f>J79*J82</f>
        <v>6536.4804547456006</v>
      </c>
      <c r="K85" s="68">
        <f>K79*K82</f>
        <v>52114.712927213943</v>
      </c>
      <c r="L85" s="68">
        <f>L79*L82</f>
        <v>67606.020372450119</v>
      </c>
      <c r="M85" s="68">
        <f>M79*M82</f>
        <v>9211.7897514719989</v>
      </c>
      <c r="N85" s="68"/>
      <c r="R85" s="12"/>
      <c r="S85" s="12"/>
      <c r="T85" s="12"/>
      <c r="U85" s="12"/>
      <c r="V85" s="12"/>
      <c r="W85" s="12"/>
      <c r="X85" s="12"/>
      <c r="Y85" s="12"/>
      <c r="Z85" s="12"/>
      <c r="AA85" s="12"/>
      <c r="AB85" s="12"/>
    </row>
    <row r="86" spans="1:28">
      <c r="A86" s="12"/>
      <c r="B86" s="842" t="s">
        <v>111</v>
      </c>
      <c r="C86" s="16" t="s">
        <v>50</v>
      </c>
      <c r="D86" s="845">
        <f>SUM(E86:XN86)</f>
        <v>565972.68369021988</v>
      </c>
      <c r="E86" s="68">
        <f>E83-E85</f>
        <v>42547.386453298663</v>
      </c>
      <c r="F86" s="68">
        <f>F83-F85</f>
        <v>45567.111770816446</v>
      </c>
      <c r="G86" s="68">
        <f>G83-G85</f>
        <v>42088.60758952079</v>
      </c>
      <c r="H86" s="68">
        <f>H83-H85</f>
        <v>53965.198636464796</v>
      </c>
      <c r="I86" s="68">
        <f>I83-I85</f>
        <v>58753.539090169608</v>
      </c>
      <c r="J86" s="68">
        <f>J83-J85</f>
        <v>39279.971330854401</v>
      </c>
      <c r="K86" s="68">
        <f>K83-K85</f>
        <v>105663.77575150716</v>
      </c>
      <c r="L86" s="68">
        <f>L83-L85</f>
        <v>137072.75690194013</v>
      </c>
      <c r="M86" s="68">
        <f>M83-M85</f>
        <v>41034.336165647997</v>
      </c>
      <c r="N86" s="68"/>
      <c r="R86" s="12"/>
      <c r="S86" s="12"/>
      <c r="T86" s="12"/>
      <c r="U86" s="12"/>
      <c r="V86" s="12"/>
      <c r="W86" s="12"/>
      <c r="X86" s="12"/>
      <c r="Y86" s="12"/>
      <c r="Z86" s="12"/>
      <c r="AA86" s="12"/>
      <c r="AB86" s="12"/>
    </row>
    <row r="87" spans="1:28">
      <c r="A87" s="12"/>
      <c r="B87" s="842"/>
      <c r="C87" s="16" t="s">
        <v>49</v>
      </c>
      <c r="D87" s="843"/>
      <c r="E87" s="830">
        <f>E86/$D86</f>
        <v>7.5175689003016619E-2</v>
      </c>
      <c r="F87" s="830">
        <f>F86/$D86</f>
        <v>8.0511150244412147E-2</v>
      </c>
      <c r="G87" s="830">
        <f>G86/$D86</f>
        <v>7.4365086518128884E-2</v>
      </c>
      <c r="H87" s="830">
        <f>H86/$D86</f>
        <v>9.5349475675405859E-2</v>
      </c>
      <c r="I87" s="830">
        <f>I86/$D86</f>
        <v>0.10380984945614059</v>
      </c>
      <c r="J87" s="830">
        <f>J86/$D86</f>
        <v>6.9402592144100619E-2</v>
      </c>
      <c r="K87" s="830">
        <f>K86/$D86</f>
        <v>0.18669412640653393</v>
      </c>
      <c r="L87" s="830">
        <f>L86/$D86</f>
        <v>0.24218970429492614</v>
      </c>
      <c r="M87" s="830">
        <f>M86/$D86</f>
        <v>7.2502326257335381E-2</v>
      </c>
      <c r="N87" s="830"/>
      <c r="R87" s="12"/>
      <c r="S87" s="12"/>
      <c r="T87" s="12"/>
      <c r="U87" s="12"/>
      <c r="V87" s="12"/>
      <c r="W87" s="12"/>
      <c r="X87" s="12"/>
      <c r="Y87" s="12"/>
      <c r="Z87" s="12"/>
      <c r="AA87" s="12"/>
      <c r="AB87" s="12"/>
    </row>
    <row r="88" spans="1:28">
      <c r="A88" s="12"/>
      <c r="B88" s="847" t="s">
        <v>175</v>
      </c>
      <c r="C88" s="798" t="s">
        <v>174</v>
      </c>
      <c r="D88" s="848">
        <f>D77/D86*12</f>
        <v>3.6155491227206031</v>
      </c>
      <c r="F88" s="12"/>
      <c r="G88" s="12"/>
      <c r="H88" s="12"/>
      <c r="J88" s="12"/>
      <c r="L88" s="7"/>
      <c r="M88" s="768"/>
      <c r="R88" s="12"/>
      <c r="S88" s="12"/>
      <c r="T88" s="12"/>
      <c r="U88" s="12"/>
      <c r="V88" s="12"/>
      <c r="W88" s="12"/>
      <c r="X88" s="12"/>
      <c r="Y88" s="12"/>
      <c r="Z88" s="12"/>
      <c r="AA88" s="12"/>
      <c r="AB88" s="12"/>
    </row>
    <row r="89" spans="1:28" ht="12" thickBot="1">
      <c r="A89" s="12"/>
      <c r="B89" s="849" t="s">
        <v>173</v>
      </c>
      <c r="C89" s="850" t="s">
        <v>113</v>
      </c>
      <c r="D89" s="851">
        <f>D77/D81</f>
        <v>223331.4848587153</v>
      </c>
      <c r="E89" s="852"/>
      <c r="F89" s="853"/>
      <c r="G89" s="853"/>
      <c r="H89" s="853"/>
      <c r="I89" s="852"/>
      <c r="J89" s="853"/>
      <c r="K89" s="852"/>
      <c r="L89" s="852"/>
      <c r="M89" s="854"/>
      <c r="N89" s="852"/>
      <c r="R89" s="12"/>
      <c r="S89" s="12"/>
      <c r="T89" s="12"/>
      <c r="U89" s="12"/>
      <c r="V89" s="12"/>
      <c r="W89" s="12"/>
      <c r="X89" s="12"/>
      <c r="Y89" s="12"/>
      <c r="Z89" s="12"/>
      <c r="AA89" s="12"/>
      <c r="AB89" s="12"/>
    </row>
    <row r="90" spans="1:28" ht="12" thickBot="1">
      <c r="A90" s="12"/>
      <c r="B90" s="805"/>
      <c r="C90" s="798"/>
      <c r="D90" s="855"/>
      <c r="F90" s="12"/>
      <c r="G90" s="12"/>
      <c r="H90" s="12"/>
      <c r="J90" s="12"/>
      <c r="L90" s="7"/>
      <c r="M90" s="768"/>
      <c r="R90" s="12"/>
      <c r="S90" s="12"/>
      <c r="T90" s="12"/>
      <c r="U90" s="12"/>
      <c r="V90" s="12"/>
      <c r="W90" s="12"/>
      <c r="X90" s="12"/>
      <c r="Y90" s="12"/>
      <c r="Z90" s="12"/>
      <c r="AA90" s="12"/>
      <c r="AB90" s="12"/>
    </row>
    <row r="91" spans="1:28">
      <c r="A91" s="837" t="s">
        <v>177</v>
      </c>
      <c r="B91" s="838" t="s">
        <v>129</v>
      </c>
      <c r="C91" s="839" t="s">
        <v>50</v>
      </c>
      <c r="D91" s="726">
        <v>230000</v>
      </c>
      <c r="E91" s="840"/>
      <c r="F91" s="840"/>
      <c r="G91" s="840"/>
      <c r="H91" s="840"/>
      <c r="I91" s="841"/>
      <c r="J91" s="841"/>
      <c r="K91" s="841"/>
      <c r="L91" s="841"/>
      <c r="M91" s="841"/>
      <c r="N91" s="841"/>
      <c r="R91" s="12"/>
      <c r="S91" s="12"/>
      <c r="T91" s="12"/>
      <c r="U91" s="12"/>
      <c r="V91" s="12"/>
      <c r="W91" s="12"/>
      <c r="X91" s="12"/>
      <c r="Y91" s="12"/>
      <c r="Z91" s="12"/>
      <c r="AA91" s="12"/>
      <c r="AB91" s="12"/>
    </row>
    <row r="92" spans="1:28">
      <c r="A92" s="12"/>
      <c r="B92" s="842" t="s">
        <v>167</v>
      </c>
      <c r="C92" s="16" t="s">
        <v>50</v>
      </c>
      <c r="D92" s="843"/>
      <c r="E92" s="826">
        <f>E78</f>
        <v>8</v>
      </c>
      <c r="F92" s="826">
        <f>F78</f>
        <v>8</v>
      </c>
      <c r="G92" s="826">
        <f>G78</f>
        <v>7.5</v>
      </c>
      <c r="H92" s="826">
        <f>H78</f>
        <v>7.5</v>
      </c>
      <c r="I92" s="826">
        <f>I78</f>
        <v>7.5</v>
      </c>
      <c r="J92" s="826">
        <f>J78</f>
        <v>7.5</v>
      </c>
      <c r="K92" s="826">
        <f>K78</f>
        <v>3.3</v>
      </c>
      <c r="L92" s="826">
        <f>L78</f>
        <v>3.3</v>
      </c>
      <c r="M92" s="826">
        <f>M78</f>
        <v>6</v>
      </c>
      <c r="N92" s="826"/>
      <c r="R92" s="12"/>
      <c r="S92" s="12"/>
      <c r="T92" s="12"/>
      <c r="U92" s="12"/>
      <c r="V92" s="12"/>
      <c r="W92" s="12"/>
      <c r="X92" s="12"/>
      <c r="Y92" s="12"/>
      <c r="Z92" s="12"/>
      <c r="AA92" s="12"/>
      <c r="AB92" s="12"/>
    </row>
    <row r="93" spans="1:28">
      <c r="A93" s="12"/>
      <c r="B93" s="842" t="s">
        <v>165</v>
      </c>
      <c r="C93" s="16" t="s">
        <v>50</v>
      </c>
      <c r="D93" s="843"/>
      <c r="E93" s="826">
        <f>E79</f>
        <v>1.1299999999999999</v>
      </c>
      <c r="F93" s="826">
        <f>F79</f>
        <v>1.07</v>
      </c>
      <c r="G93" s="826">
        <f>G79</f>
        <v>1.07</v>
      </c>
      <c r="H93" s="826">
        <f>H79</f>
        <v>1.07</v>
      </c>
      <c r="I93" s="826">
        <f>I79</f>
        <v>1.07</v>
      </c>
      <c r="J93" s="826">
        <f>J79</f>
        <v>1.07</v>
      </c>
      <c r="K93" s="826">
        <f>K79</f>
        <v>1.0900000000000001</v>
      </c>
      <c r="L93" s="826">
        <f>L79</f>
        <v>1.0900000000000001</v>
      </c>
      <c r="M93" s="826">
        <f>M79</f>
        <v>1.1000000000000001</v>
      </c>
      <c r="N93" s="826"/>
      <c r="R93" s="12"/>
      <c r="S93" s="12"/>
      <c r="T93" s="12"/>
      <c r="U93" s="12"/>
      <c r="V93" s="12"/>
      <c r="W93" s="12"/>
      <c r="X93" s="12"/>
      <c r="Y93" s="12"/>
      <c r="Z93" s="12"/>
      <c r="AA93" s="12"/>
      <c r="AB93" s="12"/>
    </row>
    <row r="94" spans="1:28">
      <c r="A94" s="12"/>
      <c r="B94" s="842" t="s">
        <v>164</v>
      </c>
      <c r="C94" s="16" t="s">
        <v>50</v>
      </c>
      <c r="D94" s="843"/>
      <c r="E94" s="826">
        <f>E92-E93</f>
        <v>6.87</v>
      </c>
      <c r="F94" s="826">
        <f>F92-F93</f>
        <v>6.93</v>
      </c>
      <c r="G94" s="826">
        <f>G92-G93</f>
        <v>6.43</v>
      </c>
      <c r="H94" s="826">
        <f>H92-H93</f>
        <v>6.43</v>
      </c>
      <c r="I94" s="826">
        <f>I92-I93</f>
        <v>6.43</v>
      </c>
      <c r="J94" s="826">
        <f>J92-J93</f>
        <v>6.43</v>
      </c>
      <c r="K94" s="826">
        <f>K92-K93</f>
        <v>2.21</v>
      </c>
      <c r="L94" s="826">
        <f>L92-L93</f>
        <v>2.21</v>
      </c>
      <c r="M94" s="826">
        <f>M92-M93</f>
        <v>4.9000000000000004</v>
      </c>
      <c r="N94" s="826"/>
      <c r="R94" s="12"/>
      <c r="S94" s="12"/>
      <c r="T94" s="12"/>
      <c r="U94" s="12"/>
      <c r="V94" s="12"/>
      <c r="W94" s="12"/>
      <c r="X94" s="12"/>
      <c r="Y94" s="12"/>
      <c r="Z94" s="12"/>
      <c r="AA94" s="12"/>
      <c r="AB94" s="12"/>
    </row>
    <row r="95" spans="1:28">
      <c r="A95" s="12"/>
      <c r="B95" s="842" t="s">
        <v>163</v>
      </c>
      <c r="C95" s="16" t="s">
        <v>49</v>
      </c>
      <c r="D95" s="856">
        <f>(D97-D99)/D97</f>
        <v>0.76355185704280881</v>
      </c>
      <c r="E95" s="830">
        <f>E94/E92</f>
        <v>0.85875000000000001</v>
      </c>
      <c r="F95" s="830">
        <f>F94/F92</f>
        <v>0.86624999999999996</v>
      </c>
      <c r="G95" s="830">
        <f>G94/G92</f>
        <v>0.85733333333333328</v>
      </c>
      <c r="H95" s="830">
        <f>H94/H92</f>
        <v>0.85733333333333328</v>
      </c>
      <c r="I95" s="830">
        <f>I94/I92</f>
        <v>0.85733333333333328</v>
      </c>
      <c r="J95" s="830">
        <f>J94/J92</f>
        <v>0.85733333333333328</v>
      </c>
      <c r="K95" s="830">
        <f>K94/K92</f>
        <v>0.66969696969696968</v>
      </c>
      <c r="L95" s="830">
        <f>L94/L92</f>
        <v>0.66969696969696968</v>
      </c>
      <c r="M95" s="830">
        <f>M94/M92</f>
        <v>0.81666666666666676</v>
      </c>
      <c r="N95" s="830"/>
      <c r="R95" s="12"/>
      <c r="S95" s="12"/>
      <c r="T95" s="12"/>
      <c r="U95" s="12"/>
      <c r="V95" s="12"/>
      <c r="W95" s="12"/>
      <c r="X95" s="12"/>
      <c r="Y95" s="12"/>
      <c r="Z95" s="12"/>
      <c r="AA95" s="12"/>
      <c r="AB95" s="12"/>
    </row>
    <row r="96" spans="1:28">
      <c r="A96" s="12"/>
      <c r="B96" s="842" t="s">
        <v>162</v>
      </c>
      <c r="C96" s="16" t="s">
        <v>161</v>
      </c>
      <c r="D96" s="843"/>
      <c r="E96" s="831">
        <f>E70</f>
        <v>6193.2149131439101</v>
      </c>
      <c r="F96" s="831">
        <f>F70</f>
        <v>6575.340803869617</v>
      </c>
      <c r="G96" s="831">
        <f>G70</f>
        <v>6545.6621445599994</v>
      </c>
      <c r="H96" s="831">
        <f>H70</f>
        <v>8392.7214053600001</v>
      </c>
      <c r="I96" s="831">
        <f>I70</f>
        <v>9137.4088787199998</v>
      </c>
      <c r="J96" s="831">
        <f>J70</f>
        <v>6108.8602380800003</v>
      </c>
      <c r="K96" s="831">
        <f>K70</f>
        <v>47811.663235976092</v>
      </c>
      <c r="L96" s="831">
        <f>L70</f>
        <v>62023.871901330385</v>
      </c>
      <c r="M96" s="831">
        <f>M70</f>
        <v>8374.3543195199982</v>
      </c>
      <c r="N96" s="831"/>
      <c r="R96" s="12"/>
      <c r="S96" s="12"/>
      <c r="T96" s="12"/>
      <c r="U96" s="12"/>
      <c r="V96" s="12"/>
      <c r="W96" s="12"/>
      <c r="X96" s="12"/>
      <c r="Y96" s="12"/>
      <c r="Z96" s="12"/>
      <c r="AA96" s="12"/>
      <c r="AB96" s="12"/>
    </row>
    <row r="97" spans="1:28">
      <c r="A97" s="12"/>
      <c r="B97" s="842" t="s">
        <v>113</v>
      </c>
      <c r="C97" s="16" t="s">
        <v>50</v>
      </c>
      <c r="D97" s="845">
        <f>SUM(E97:XN97)</f>
        <v>741236.7326067395</v>
      </c>
      <c r="E97" s="68">
        <f>E92*E96</f>
        <v>49545.71930515128</v>
      </c>
      <c r="F97" s="68">
        <f>F92*F96</f>
        <v>52602.726430956936</v>
      </c>
      <c r="G97" s="68">
        <f>G92*G96</f>
        <v>49092.466084199994</v>
      </c>
      <c r="H97" s="68">
        <f>H92*H96</f>
        <v>62945.410540199999</v>
      </c>
      <c r="I97" s="68">
        <f>I92*I96</f>
        <v>68530.566590400005</v>
      </c>
      <c r="J97" s="68">
        <f>J92*J96</f>
        <v>45816.451785600002</v>
      </c>
      <c r="K97" s="68">
        <f>K92*K96</f>
        <v>157778.4886787211</v>
      </c>
      <c r="L97" s="68">
        <f>L92*L96</f>
        <v>204678.77727439025</v>
      </c>
      <c r="M97" s="68">
        <f>M92*M96</f>
        <v>50246.125917119993</v>
      </c>
      <c r="N97" s="68"/>
      <c r="R97" s="12"/>
      <c r="S97" s="12"/>
      <c r="T97" s="12"/>
      <c r="U97" s="12"/>
      <c r="V97" s="12"/>
      <c r="W97" s="12"/>
      <c r="X97" s="12"/>
      <c r="Y97" s="12"/>
      <c r="Z97" s="12"/>
      <c r="AA97" s="12"/>
      <c r="AB97" s="12"/>
    </row>
    <row r="98" spans="1:28">
      <c r="A98" s="12"/>
      <c r="B98" s="842" t="s">
        <v>176</v>
      </c>
      <c r="C98" s="16" t="s">
        <v>49</v>
      </c>
      <c r="D98" s="857"/>
      <c r="E98" s="830">
        <f>E97/$D97</f>
        <v>6.6841964416565938E-2</v>
      </c>
      <c r="F98" s="830">
        <f>F97/$D97</f>
        <v>7.0966162518641837E-2</v>
      </c>
      <c r="G98" s="830">
        <f>G97/$D97</f>
        <v>6.6230482010186387E-2</v>
      </c>
      <c r="H98" s="830">
        <f>H97/$D97</f>
        <v>8.4919443102660516E-2</v>
      </c>
      <c r="I98" s="830">
        <f>I97/$D97</f>
        <v>9.245435847383815E-2</v>
      </c>
      <c r="J98" s="830">
        <f>J97/$D97</f>
        <v>6.1810822062845279E-2</v>
      </c>
      <c r="K98" s="830">
        <f>K97/$D97</f>
        <v>0.21285843204755195</v>
      </c>
      <c r="L98" s="830">
        <f>L97/$D97</f>
        <v>0.27613145473051165</v>
      </c>
      <c r="M98" s="830">
        <f>M97/$D97</f>
        <v>6.7786880637198399E-2</v>
      </c>
      <c r="N98" s="830"/>
      <c r="R98" s="12"/>
      <c r="S98" s="12"/>
      <c r="T98" s="12"/>
      <c r="U98" s="12"/>
      <c r="V98" s="12"/>
      <c r="W98" s="12"/>
      <c r="X98" s="12"/>
      <c r="Y98" s="12"/>
      <c r="Z98" s="12"/>
      <c r="AA98" s="12"/>
      <c r="AB98" s="12"/>
    </row>
    <row r="99" spans="1:28">
      <c r="A99" s="12"/>
      <c r="B99" s="842" t="s">
        <v>468</v>
      </c>
      <c r="C99" s="16" t="s">
        <v>50</v>
      </c>
      <c r="D99" s="845">
        <f>SUM(E99:XN99)</f>
        <v>175264.04891651956</v>
      </c>
      <c r="E99" s="68">
        <f>E93*E96</f>
        <v>6998.3328518526178</v>
      </c>
      <c r="F99" s="68">
        <f>F93*F96</f>
        <v>7035.6146601404907</v>
      </c>
      <c r="G99" s="68">
        <f>G93*G96</f>
        <v>7003.8584946791998</v>
      </c>
      <c r="H99" s="68">
        <f>H93*H96</f>
        <v>8980.2119037352004</v>
      </c>
      <c r="I99" s="68">
        <f>I93*I96</f>
        <v>9777.0275002304006</v>
      </c>
      <c r="J99" s="68">
        <f>J93*J96</f>
        <v>6536.4804547456006</v>
      </c>
      <c r="K99" s="68">
        <f>K93*K96</f>
        <v>52114.712927213943</v>
      </c>
      <c r="L99" s="68">
        <f>L93*L96</f>
        <v>67606.020372450119</v>
      </c>
      <c r="M99" s="68">
        <f>M93*M96</f>
        <v>9211.7897514719989</v>
      </c>
      <c r="N99" s="68"/>
      <c r="R99" s="12"/>
      <c r="S99" s="12"/>
      <c r="T99" s="12"/>
      <c r="U99" s="12"/>
      <c r="V99" s="12"/>
      <c r="W99" s="12"/>
      <c r="X99" s="12"/>
      <c r="Y99" s="12"/>
      <c r="Z99" s="12"/>
      <c r="AA99" s="12"/>
      <c r="AB99" s="12"/>
    </row>
    <row r="100" spans="1:28">
      <c r="A100" s="12"/>
      <c r="B100" s="842" t="s">
        <v>111</v>
      </c>
      <c r="C100" s="16" t="s">
        <v>50</v>
      </c>
      <c r="D100" s="845">
        <f>SUM(E100:XN100)</f>
        <v>565972.68369021988</v>
      </c>
      <c r="E100" s="68">
        <f>E97-E99</f>
        <v>42547.386453298663</v>
      </c>
      <c r="F100" s="68">
        <f>F97-F99</f>
        <v>45567.111770816446</v>
      </c>
      <c r="G100" s="68">
        <f>G97-G99</f>
        <v>42088.60758952079</v>
      </c>
      <c r="H100" s="68">
        <f>H97-H99</f>
        <v>53965.198636464796</v>
      </c>
      <c r="I100" s="68">
        <f>I97-I99</f>
        <v>58753.539090169608</v>
      </c>
      <c r="J100" s="68">
        <f>J97-J99</f>
        <v>39279.971330854401</v>
      </c>
      <c r="K100" s="68">
        <f>K97-K99</f>
        <v>105663.77575150716</v>
      </c>
      <c r="L100" s="68">
        <f>L97-L99</f>
        <v>137072.75690194013</v>
      </c>
      <c r="M100" s="68">
        <f>M97-M99</f>
        <v>41034.336165647997</v>
      </c>
      <c r="N100" s="68"/>
      <c r="R100" s="12"/>
      <c r="S100" s="12"/>
      <c r="T100" s="12"/>
      <c r="U100" s="12"/>
      <c r="V100" s="12"/>
      <c r="W100" s="12"/>
      <c r="X100" s="12"/>
      <c r="Y100" s="12"/>
      <c r="Z100" s="12"/>
      <c r="AA100" s="12"/>
      <c r="AB100" s="12"/>
    </row>
    <row r="101" spans="1:28">
      <c r="A101" s="12"/>
      <c r="B101" s="842"/>
      <c r="C101" s="16" t="s">
        <v>49</v>
      </c>
      <c r="D101" s="843"/>
      <c r="E101" s="830">
        <f>E100/$D100</f>
        <v>7.5175689003016619E-2</v>
      </c>
      <c r="F101" s="830">
        <f>F100/$D100</f>
        <v>8.0511150244412147E-2</v>
      </c>
      <c r="G101" s="830">
        <f>G100/$D100</f>
        <v>7.4365086518128884E-2</v>
      </c>
      <c r="H101" s="830">
        <f>H100/$D100</f>
        <v>9.5349475675405859E-2</v>
      </c>
      <c r="I101" s="830">
        <f>I100/$D100</f>
        <v>0.10380984945614059</v>
      </c>
      <c r="J101" s="830">
        <f>J100/$D100</f>
        <v>6.9402592144100619E-2</v>
      </c>
      <c r="K101" s="830">
        <f>K100/$D100</f>
        <v>0.18669412640653393</v>
      </c>
      <c r="L101" s="830">
        <f>L100/$D100</f>
        <v>0.24218970429492614</v>
      </c>
      <c r="M101" s="830">
        <f>M100/$D100</f>
        <v>7.2502326257335381E-2</v>
      </c>
      <c r="N101" s="830"/>
      <c r="R101" s="12"/>
      <c r="S101" s="12"/>
      <c r="T101" s="12"/>
      <c r="U101" s="12"/>
      <c r="V101" s="12"/>
      <c r="W101" s="12"/>
      <c r="X101" s="12"/>
      <c r="Y101" s="12"/>
      <c r="Z101" s="12"/>
      <c r="AA101" s="12"/>
      <c r="AB101" s="12"/>
    </row>
    <row r="102" spans="1:28">
      <c r="A102" s="12"/>
      <c r="B102" s="847" t="s">
        <v>175</v>
      </c>
      <c r="C102" s="798" t="s">
        <v>174</v>
      </c>
      <c r="D102" s="848">
        <f>D91/D100*12</f>
        <v>4.876560441052419</v>
      </c>
      <c r="F102" s="12"/>
      <c r="G102" s="12"/>
      <c r="H102" s="12"/>
      <c r="J102" s="12"/>
      <c r="L102" s="798"/>
      <c r="M102" s="858"/>
      <c r="N102" s="47"/>
      <c r="R102" s="12"/>
      <c r="S102" s="12"/>
      <c r="T102" s="12"/>
      <c r="U102" s="12"/>
      <c r="V102" s="12"/>
      <c r="W102" s="12"/>
      <c r="X102" s="12"/>
      <c r="Y102" s="12"/>
      <c r="Z102" s="12"/>
      <c r="AA102" s="12"/>
      <c r="AB102" s="12"/>
    </row>
    <row r="103" spans="1:28" ht="12" thickBot="1">
      <c r="A103" s="12"/>
      <c r="B103" s="849" t="s">
        <v>173</v>
      </c>
      <c r="C103" s="850" t="s">
        <v>113</v>
      </c>
      <c r="D103" s="851">
        <f>D91/D95</f>
        <v>301223.81064041465</v>
      </c>
      <c r="E103" s="852"/>
      <c r="F103" s="859"/>
      <c r="G103" s="859"/>
      <c r="H103" s="853"/>
      <c r="I103" s="852"/>
      <c r="J103" s="853"/>
      <c r="K103" s="852"/>
      <c r="L103" s="850"/>
      <c r="M103" s="860"/>
      <c r="N103" s="859"/>
      <c r="R103" s="12"/>
      <c r="S103" s="12"/>
      <c r="T103" s="12"/>
      <c r="U103" s="12"/>
      <c r="V103" s="12"/>
      <c r="W103" s="12"/>
      <c r="X103" s="12"/>
      <c r="Y103" s="12"/>
      <c r="Z103" s="12"/>
      <c r="AA103" s="12"/>
      <c r="AB103" s="12"/>
    </row>
    <row r="104" spans="1:28">
      <c r="A104" s="12"/>
      <c r="B104" s="805"/>
      <c r="C104" s="798"/>
      <c r="D104" s="855"/>
      <c r="E104" s="47"/>
      <c r="F104" s="47"/>
      <c r="G104" s="12"/>
      <c r="I104" s="12"/>
      <c r="K104" s="798"/>
      <c r="L104" s="858"/>
      <c r="M104" s="47"/>
      <c r="N104" s="12"/>
      <c r="R104" s="12"/>
      <c r="S104" s="12"/>
      <c r="T104" s="12"/>
      <c r="U104" s="12"/>
      <c r="V104" s="12"/>
      <c r="W104" s="12"/>
      <c r="X104" s="12"/>
      <c r="Y104" s="12"/>
      <c r="Z104" s="12"/>
      <c r="AA104" s="12"/>
      <c r="AB104" s="12"/>
    </row>
    <row r="105" spans="1:28">
      <c r="B105" s="12"/>
      <c r="C105" s="12"/>
      <c r="D105" s="47"/>
      <c r="E105" s="47"/>
      <c r="F105" s="12"/>
      <c r="G105" s="12"/>
      <c r="H105" s="12"/>
      <c r="I105" s="12"/>
      <c r="J105" s="12"/>
      <c r="K105" s="12"/>
      <c r="M105" s="47"/>
      <c r="N105" s="47"/>
      <c r="R105" s="12"/>
      <c r="S105" s="12"/>
      <c r="T105" s="12"/>
      <c r="U105" s="12"/>
      <c r="V105" s="12"/>
      <c r="W105" s="12"/>
      <c r="X105" s="12"/>
      <c r="Y105" s="12"/>
      <c r="Z105" s="12"/>
      <c r="AA105" s="12"/>
      <c r="AB105" s="12"/>
    </row>
    <row r="106" spans="1:28" ht="15.75">
      <c r="B106" s="179">
        <v>2.2000000000000002</v>
      </c>
      <c r="C106" s="861" t="s">
        <v>469</v>
      </c>
      <c r="D106" s="861"/>
      <c r="E106" s="861"/>
      <c r="F106" s="861"/>
      <c r="G106" s="861"/>
      <c r="H106" s="861"/>
      <c r="I106" s="861"/>
      <c r="J106" s="12"/>
      <c r="K106" s="12"/>
      <c r="M106" s="47"/>
      <c r="N106" s="47"/>
      <c r="R106" s="12"/>
      <c r="S106" s="12"/>
      <c r="T106" s="12"/>
      <c r="U106" s="12"/>
      <c r="V106" s="12"/>
      <c r="W106" s="12"/>
      <c r="X106" s="12"/>
      <c r="Y106" s="12"/>
      <c r="Z106" s="12"/>
      <c r="AA106" s="12"/>
      <c r="AB106" s="12"/>
    </row>
    <row r="107" spans="1:28" ht="12" thickBot="1">
      <c r="B107" s="12"/>
      <c r="C107" s="12"/>
      <c r="D107" s="12"/>
      <c r="E107" s="12"/>
      <c r="F107" s="12"/>
      <c r="G107" s="12"/>
      <c r="H107" s="12"/>
      <c r="R107" s="12"/>
      <c r="S107" s="12"/>
      <c r="T107" s="12"/>
      <c r="U107" s="12"/>
      <c r="V107" s="12"/>
      <c r="W107" s="12"/>
      <c r="X107" s="12"/>
      <c r="Y107" s="12"/>
      <c r="Z107" s="12"/>
      <c r="AA107" s="12"/>
      <c r="AB107" s="12"/>
    </row>
    <row r="108" spans="1:28" ht="15" customHeight="1">
      <c r="B108" s="771"/>
      <c r="C108" s="772"/>
      <c r="D108" s="773"/>
      <c r="E108" s="771" t="s">
        <v>35</v>
      </c>
      <c r="F108" s="772"/>
      <c r="G108" s="772"/>
      <c r="H108" s="772"/>
      <c r="I108" s="772"/>
      <c r="J108" s="772"/>
      <c r="K108" s="772"/>
      <c r="L108" s="772"/>
      <c r="M108" s="772"/>
      <c r="N108" s="772"/>
      <c r="R108" s="12"/>
      <c r="S108" s="12"/>
      <c r="T108" s="12"/>
      <c r="U108" s="12"/>
      <c r="V108" s="12"/>
      <c r="W108" s="12"/>
      <c r="X108" s="12"/>
      <c r="Y108" s="12"/>
      <c r="Z108" s="12"/>
      <c r="AA108" s="12"/>
      <c r="AB108" s="12"/>
    </row>
    <row r="109" spans="1:28" ht="12" thickBot="1">
      <c r="B109" s="823" t="s">
        <v>168</v>
      </c>
      <c r="C109" s="777"/>
      <c r="D109" s="778" t="str">
        <f>$D$64</f>
        <v>TOTAL BRAND 01</v>
      </c>
      <c r="E109" s="779" t="s">
        <v>698</v>
      </c>
      <c r="F109" s="779" t="s">
        <v>699</v>
      </c>
      <c r="G109" s="779" t="s">
        <v>700</v>
      </c>
      <c r="H109" s="779" t="s">
        <v>701</v>
      </c>
      <c r="I109" s="779" t="s">
        <v>702</v>
      </c>
      <c r="J109" s="779" t="s">
        <v>703</v>
      </c>
      <c r="K109" s="779" t="s">
        <v>704</v>
      </c>
      <c r="L109" s="779" t="s">
        <v>705</v>
      </c>
      <c r="M109" s="779" t="s">
        <v>706</v>
      </c>
      <c r="N109" s="779"/>
      <c r="R109" s="12"/>
      <c r="S109" s="12"/>
      <c r="T109" s="12"/>
      <c r="U109" s="12"/>
      <c r="V109" s="12"/>
      <c r="W109" s="12"/>
      <c r="X109" s="12"/>
      <c r="Y109" s="12"/>
      <c r="Z109" s="12"/>
      <c r="AA109" s="12"/>
      <c r="AB109" s="12"/>
    </row>
    <row r="110" spans="1:28" ht="12" thickTop="1">
      <c r="B110" s="787" t="s">
        <v>129</v>
      </c>
      <c r="C110" s="784" t="s">
        <v>50</v>
      </c>
      <c r="D110" s="786">
        <f>$E$12</f>
        <v>164197.57</v>
      </c>
      <c r="E110" s="12"/>
      <c r="F110" s="12"/>
      <c r="G110" s="12"/>
      <c r="H110" s="12"/>
      <c r="L110" s="7"/>
      <c r="R110" s="12"/>
      <c r="S110" s="12"/>
      <c r="T110" s="12"/>
      <c r="U110" s="12"/>
      <c r="V110" s="12"/>
      <c r="W110" s="12"/>
      <c r="X110" s="12"/>
      <c r="Y110" s="12"/>
      <c r="Z110" s="12"/>
      <c r="AA110" s="12"/>
      <c r="AB110" s="12"/>
    </row>
    <row r="111" spans="1:28">
      <c r="B111" s="824" t="s">
        <v>167</v>
      </c>
      <c r="C111" s="784" t="s">
        <v>50</v>
      </c>
      <c r="D111" s="790"/>
      <c r="E111" s="862">
        <v>8</v>
      </c>
      <c r="F111" s="862">
        <v>8</v>
      </c>
      <c r="G111" s="862">
        <v>7.5</v>
      </c>
      <c r="H111" s="862">
        <v>7.5</v>
      </c>
      <c r="I111" s="862">
        <v>7.5</v>
      </c>
      <c r="J111" s="862">
        <v>7.5</v>
      </c>
      <c r="K111" s="862">
        <v>3.3</v>
      </c>
      <c r="L111" s="862">
        <v>3.3</v>
      </c>
      <c r="M111" s="862">
        <v>6</v>
      </c>
      <c r="N111" s="862"/>
      <c r="R111" s="12"/>
      <c r="S111" s="12"/>
      <c r="T111" s="12"/>
      <c r="U111" s="12"/>
      <c r="V111" s="12"/>
      <c r="W111" s="12"/>
      <c r="X111" s="12"/>
      <c r="Y111" s="12"/>
      <c r="Z111" s="12"/>
      <c r="AA111" s="12"/>
      <c r="AB111" s="12"/>
    </row>
    <row r="112" spans="1:28">
      <c r="B112" s="787" t="s">
        <v>165</v>
      </c>
      <c r="C112" s="784" t="s">
        <v>50</v>
      </c>
      <c r="D112" s="790"/>
      <c r="E112" s="826">
        <v>1.1299999999999999</v>
      </c>
      <c r="F112" s="826">
        <v>1.07</v>
      </c>
      <c r="G112" s="826">
        <v>1.07</v>
      </c>
      <c r="H112" s="826">
        <v>1.07</v>
      </c>
      <c r="I112" s="826">
        <v>1.07</v>
      </c>
      <c r="J112" s="826">
        <v>1.07</v>
      </c>
      <c r="K112" s="826">
        <v>1.0900000000000001</v>
      </c>
      <c r="L112" s="826">
        <v>1.0900000000000001</v>
      </c>
      <c r="M112" s="826">
        <v>1.1000000000000001</v>
      </c>
      <c r="N112" s="826"/>
      <c r="R112" s="12"/>
      <c r="S112" s="12"/>
      <c r="T112" s="12"/>
      <c r="U112" s="12"/>
      <c r="V112" s="12"/>
      <c r="W112" s="12"/>
      <c r="X112" s="12"/>
      <c r="Y112" s="12"/>
      <c r="Z112" s="12"/>
      <c r="AA112" s="12"/>
      <c r="AB112" s="12"/>
    </row>
    <row r="113" spans="1:28">
      <c r="B113" s="787" t="s">
        <v>164</v>
      </c>
      <c r="C113" s="784" t="s">
        <v>50</v>
      </c>
      <c r="D113" s="790"/>
      <c r="E113" s="826">
        <f>E111-E112</f>
        <v>6.87</v>
      </c>
      <c r="F113" s="826">
        <f>F111-F112</f>
        <v>6.93</v>
      </c>
      <c r="G113" s="826">
        <f>G111-G112</f>
        <v>6.43</v>
      </c>
      <c r="H113" s="826">
        <f>H111-H112</f>
        <v>6.43</v>
      </c>
      <c r="I113" s="826">
        <f>I111-I112</f>
        <v>6.43</v>
      </c>
      <c r="J113" s="826">
        <f>J111-J112</f>
        <v>6.43</v>
      </c>
      <c r="K113" s="826">
        <f>K111-K112</f>
        <v>2.21</v>
      </c>
      <c r="L113" s="826">
        <f>L111-L112</f>
        <v>2.21</v>
      </c>
      <c r="M113" s="826">
        <f>M111-M112</f>
        <v>4.9000000000000004</v>
      </c>
      <c r="N113" s="826"/>
      <c r="R113" s="12"/>
      <c r="S113" s="12"/>
      <c r="T113" s="12"/>
      <c r="U113" s="12"/>
      <c r="V113" s="12"/>
      <c r="W113" s="12"/>
      <c r="X113" s="12"/>
      <c r="Y113" s="12"/>
      <c r="Z113" s="12"/>
      <c r="AA113" s="12"/>
      <c r="AB113" s="12"/>
    </row>
    <row r="114" spans="1:28">
      <c r="B114" s="787" t="s">
        <v>163</v>
      </c>
      <c r="C114" s="784" t="s">
        <v>49</v>
      </c>
      <c r="D114" s="829">
        <f>(D116-D118)/D116</f>
        <v>0.76355185704280881</v>
      </c>
      <c r="E114" s="830">
        <f>E113/E111</f>
        <v>0.85875000000000001</v>
      </c>
      <c r="F114" s="830">
        <f>F113/F111</f>
        <v>0.86624999999999996</v>
      </c>
      <c r="G114" s="830">
        <f>G113/G111</f>
        <v>0.85733333333333328</v>
      </c>
      <c r="H114" s="830">
        <f>H113/H111</f>
        <v>0.85733333333333328</v>
      </c>
      <c r="I114" s="830">
        <f>I113/I111</f>
        <v>0.85733333333333328</v>
      </c>
      <c r="J114" s="830">
        <f>J113/J111</f>
        <v>0.85733333333333328</v>
      </c>
      <c r="K114" s="830">
        <f>K113/K111</f>
        <v>0.66969696969696968</v>
      </c>
      <c r="L114" s="830">
        <f>L113/L111</f>
        <v>0.66969696969696968</v>
      </c>
      <c r="M114" s="830">
        <f>M113/M111</f>
        <v>0.81666666666666676</v>
      </c>
      <c r="N114" s="830"/>
      <c r="R114" s="12"/>
      <c r="S114" s="12"/>
      <c r="T114" s="12"/>
      <c r="U114" s="12"/>
      <c r="V114" s="12"/>
      <c r="W114" s="12"/>
      <c r="X114" s="12"/>
      <c r="Y114" s="12"/>
      <c r="Z114" s="12"/>
      <c r="AA114" s="12"/>
      <c r="AB114" s="12"/>
    </row>
    <row r="115" spans="1:28">
      <c r="B115" s="787" t="s">
        <v>162</v>
      </c>
      <c r="C115" s="784" t="s">
        <v>161</v>
      </c>
      <c r="D115" s="790"/>
      <c r="E115" s="831">
        <v>6193.2149131439101</v>
      </c>
      <c r="F115" s="831">
        <v>6575.340803869617</v>
      </c>
      <c r="G115" s="831">
        <v>6545.6621445599994</v>
      </c>
      <c r="H115" s="831">
        <v>8392.7214053600001</v>
      </c>
      <c r="I115" s="831">
        <v>9137.4088787199998</v>
      </c>
      <c r="J115" s="831">
        <v>6108.8602380800003</v>
      </c>
      <c r="K115" s="831">
        <v>47811.663235976092</v>
      </c>
      <c r="L115" s="831">
        <v>62023.871901330385</v>
      </c>
      <c r="M115" s="831">
        <v>8374.3543195199982</v>
      </c>
      <c r="N115" s="831"/>
      <c r="R115" s="12"/>
      <c r="S115" s="12"/>
      <c r="T115" s="12"/>
      <c r="U115" s="12"/>
      <c r="V115" s="12"/>
      <c r="W115" s="12"/>
      <c r="X115" s="12"/>
      <c r="Y115" s="12"/>
      <c r="Z115" s="12"/>
      <c r="AA115" s="12"/>
      <c r="AB115" s="12"/>
    </row>
    <row r="116" spans="1:28">
      <c r="B116" s="787" t="s">
        <v>113</v>
      </c>
      <c r="C116" s="784" t="s">
        <v>50</v>
      </c>
      <c r="D116" s="786">
        <f>SUM(E116:XN116)</f>
        <v>741236.7326067395</v>
      </c>
      <c r="E116" s="68">
        <f>E111*E115</f>
        <v>49545.71930515128</v>
      </c>
      <c r="F116" s="68">
        <f>F111*F115</f>
        <v>52602.726430956936</v>
      </c>
      <c r="G116" s="68">
        <f>G111*G115</f>
        <v>49092.466084199994</v>
      </c>
      <c r="H116" s="68">
        <f>H111*H115</f>
        <v>62945.410540199999</v>
      </c>
      <c r="I116" s="68">
        <f>I111*I115</f>
        <v>68530.566590400005</v>
      </c>
      <c r="J116" s="68">
        <f>J111*J115</f>
        <v>45816.451785600002</v>
      </c>
      <c r="K116" s="68">
        <f>K111*K115</f>
        <v>157778.4886787211</v>
      </c>
      <c r="L116" s="68">
        <f>L111*L115</f>
        <v>204678.77727439025</v>
      </c>
      <c r="M116" s="68">
        <f>M111*M115</f>
        <v>50246.125917119993</v>
      </c>
      <c r="N116" s="68"/>
      <c r="R116" s="12"/>
      <c r="S116" s="12"/>
      <c r="T116" s="12"/>
      <c r="U116" s="12"/>
      <c r="V116" s="12"/>
      <c r="W116" s="12"/>
      <c r="X116" s="12"/>
      <c r="Y116" s="12"/>
      <c r="Z116" s="12"/>
      <c r="AA116" s="12"/>
      <c r="AB116" s="12"/>
    </row>
    <row r="117" spans="1:28">
      <c r="B117" s="787" t="s">
        <v>176</v>
      </c>
      <c r="C117" s="784" t="s">
        <v>49</v>
      </c>
      <c r="D117" s="832"/>
      <c r="E117" s="830">
        <f>E116/$D116</f>
        <v>6.6841964416565938E-2</v>
      </c>
      <c r="F117" s="830">
        <f>F116/$D116</f>
        <v>7.0966162518641837E-2</v>
      </c>
      <c r="G117" s="830">
        <f>G116/$D116</f>
        <v>6.6230482010186387E-2</v>
      </c>
      <c r="H117" s="830">
        <f>H116/$D116</f>
        <v>8.4919443102660516E-2</v>
      </c>
      <c r="I117" s="830">
        <f>I116/$D116</f>
        <v>9.245435847383815E-2</v>
      </c>
      <c r="J117" s="830">
        <f>J116/$D116</f>
        <v>6.1810822062845279E-2</v>
      </c>
      <c r="K117" s="830">
        <f>K116/$D116</f>
        <v>0.21285843204755195</v>
      </c>
      <c r="L117" s="830">
        <f>L116/$D116</f>
        <v>0.27613145473051165</v>
      </c>
      <c r="M117" s="830">
        <f>M116/$D116</f>
        <v>6.7786880637198399E-2</v>
      </c>
      <c r="N117" s="830"/>
      <c r="R117" s="12"/>
      <c r="S117" s="12"/>
      <c r="T117" s="12"/>
      <c r="U117" s="12"/>
      <c r="V117" s="12"/>
      <c r="W117" s="12"/>
      <c r="X117" s="12"/>
      <c r="Y117" s="12"/>
      <c r="Z117" s="12"/>
      <c r="AA117" s="12"/>
      <c r="AB117" s="12"/>
    </row>
    <row r="118" spans="1:28">
      <c r="B118" s="787" t="s">
        <v>468</v>
      </c>
      <c r="C118" s="784" t="s">
        <v>50</v>
      </c>
      <c r="D118" s="786">
        <f>SUM(E118:XN118)</f>
        <v>175264.04891651956</v>
      </c>
      <c r="E118" s="68">
        <f>E112*E115</f>
        <v>6998.3328518526178</v>
      </c>
      <c r="F118" s="68">
        <f>F112*F115</f>
        <v>7035.6146601404907</v>
      </c>
      <c r="G118" s="68">
        <f>G112*G115</f>
        <v>7003.8584946791998</v>
      </c>
      <c r="H118" s="68">
        <f>H112*H115</f>
        <v>8980.2119037352004</v>
      </c>
      <c r="I118" s="68">
        <f>I112*I115</f>
        <v>9777.0275002304006</v>
      </c>
      <c r="J118" s="68">
        <f>J112*J115</f>
        <v>6536.4804547456006</v>
      </c>
      <c r="K118" s="68">
        <f>K112*K115</f>
        <v>52114.712927213943</v>
      </c>
      <c r="L118" s="68">
        <f>L112*L115</f>
        <v>67606.020372450119</v>
      </c>
      <c r="M118" s="68">
        <f>M112*M115</f>
        <v>9211.7897514719989</v>
      </c>
      <c r="N118" s="68"/>
      <c r="R118" s="12"/>
      <c r="S118" s="12"/>
      <c r="T118" s="12"/>
      <c r="U118" s="12"/>
      <c r="V118" s="12"/>
      <c r="W118" s="12"/>
      <c r="X118" s="12"/>
      <c r="Y118" s="12"/>
      <c r="Z118" s="12"/>
      <c r="AA118" s="12"/>
      <c r="AB118" s="12"/>
    </row>
    <row r="119" spans="1:28">
      <c r="B119" s="787" t="s">
        <v>111</v>
      </c>
      <c r="C119" s="784" t="s">
        <v>50</v>
      </c>
      <c r="D119" s="786">
        <f>SUM(E119:XN119)</f>
        <v>565972.68369021988</v>
      </c>
      <c r="E119" s="68">
        <f>E116-E118</f>
        <v>42547.386453298663</v>
      </c>
      <c r="F119" s="68">
        <f>F116-F118</f>
        <v>45567.111770816446</v>
      </c>
      <c r="G119" s="68">
        <f>G116-G118</f>
        <v>42088.60758952079</v>
      </c>
      <c r="H119" s="68">
        <f>H116-H118</f>
        <v>53965.198636464796</v>
      </c>
      <c r="I119" s="68">
        <f>I116-I118</f>
        <v>58753.539090169608</v>
      </c>
      <c r="J119" s="68">
        <f>J116-J118</f>
        <v>39279.971330854401</v>
      </c>
      <c r="K119" s="68">
        <f>K116-K118</f>
        <v>105663.77575150716</v>
      </c>
      <c r="L119" s="68">
        <f>L116-L118</f>
        <v>137072.75690194013</v>
      </c>
      <c r="M119" s="68">
        <f>M116-M118</f>
        <v>41034.336165647997</v>
      </c>
      <c r="N119" s="68"/>
      <c r="R119" s="12"/>
      <c r="S119" s="12"/>
      <c r="T119" s="12"/>
      <c r="U119" s="12"/>
      <c r="V119" s="12"/>
      <c r="W119" s="12"/>
      <c r="X119" s="12"/>
      <c r="Y119" s="12"/>
      <c r="Z119" s="12"/>
      <c r="AA119" s="12"/>
      <c r="AB119" s="12"/>
    </row>
    <row r="120" spans="1:28" ht="12" thickBot="1">
      <c r="B120" s="833"/>
      <c r="C120" s="834" t="s">
        <v>49</v>
      </c>
      <c r="D120" s="835"/>
      <c r="E120" s="830">
        <f>E119/$D119</f>
        <v>7.5175689003016619E-2</v>
      </c>
      <c r="F120" s="830">
        <f>F119/$D119</f>
        <v>8.0511150244412147E-2</v>
      </c>
      <c r="G120" s="830">
        <f>G119/$D119</f>
        <v>7.4365086518128884E-2</v>
      </c>
      <c r="H120" s="830">
        <f>H119/$D119</f>
        <v>9.5349475675405859E-2</v>
      </c>
      <c r="I120" s="830">
        <f>I119/$D119</f>
        <v>0.10380984945614059</v>
      </c>
      <c r="J120" s="830">
        <f>J119/$D119</f>
        <v>6.9402592144100619E-2</v>
      </c>
      <c r="K120" s="830">
        <f>K119/$D119</f>
        <v>0.18669412640653393</v>
      </c>
      <c r="L120" s="830">
        <f>L119/$D119</f>
        <v>0.24218970429492614</v>
      </c>
      <c r="M120" s="830">
        <f>M119/$D119</f>
        <v>7.2502326257335381E-2</v>
      </c>
      <c r="N120" s="830"/>
      <c r="R120" s="12"/>
      <c r="S120" s="12"/>
      <c r="T120" s="12"/>
      <c r="U120" s="12"/>
      <c r="V120" s="12"/>
      <c r="W120" s="12"/>
      <c r="X120" s="12"/>
      <c r="Y120" s="12"/>
      <c r="Z120" s="12"/>
      <c r="AA120" s="12"/>
      <c r="AB120" s="12"/>
    </row>
    <row r="121" spans="1:28" ht="12" thickBot="1">
      <c r="B121" s="12"/>
      <c r="C121" s="12"/>
      <c r="E121" s="12"/>
      <c r="F121" s="12"/>
      <c r="G121" s="12"/>
      <c r="H121" s="12"/>
      <c r="I121" s="12"/>
      <c r="L121" s="7"/>
      <c r="M121" s="768"/>
      <c r="R121" s="12"/>
      <c r="S121" s="12"/>
      <c r="T121" s="12"/>
      <c r="U121" s="12"/>
      <c r="V121" s="12"/>
      <c r="W121" s="12"/>
      <c r="X121" s="12"/>
      <c r="Y121" s="12"/>
      <c r="Z121" s="12"/>
      <c r="AA121" s="12"/>
      <c r="AB121" s="12"/>
    </row>
    <row r="122" spans="1:28">
      <c r="B122" s="863" t="s">
        <v>129</v>
      </c>
      <c r="C122" s="839" t="s">
        <v>50</v>
      </c>
      <c r="D122" s="864">
        <f>$E$12</f>
        <v>164197.57</v>
      </c>
      <c r="E122" s="840"/>
      <c r="F122" s="840"/>
      <c r="G122" s="840"/>
      <c r="H122" s="840"/>
      <c r="I122" s="841"/>
      <c r="J122" s="841"/>
      <c r="K122" s="841"/>
      <c r="L122" s="841"/>
      <c r="M122" s="841"/>
      <c r="N122" s="841"/>
      <c r="R122" s="12"/>
      <c r="S122" s="12"/>
      <c r="T122" s="12"/>
      <c r="U122" s="12"/>
      <c r="V122" s="12"/>
      <c r="W122" s="12"/>
      <c r="X122" s="12"/>
      <c r="Y122" s="12"/>
      <c r="Z122" s="12"/>
      <c r="AA122" s="12"/>
      <c r="AB122" s="12"/>
    </row>
    <row r="123" spans="1:28">
      <c r="A123" s="837" t="s">
        <v>178</v>
      </c>
      <c r="B123" s="865" t="s">
        <v>167</v>
      </c>
      <c r="C123" s="16" t="s">
        <v>50</v>
      </c>
      <c r="D123" s="843"/>
      <c r="E123" s="727">
        <f>E111</f>
        <v>8</v>
      </c>
      <c r="F123" s="727">
        <f>F111</f>
        <v>8</v>
      </c>
      <c r="G123" s="727">
        <f>G111</f>
        <v>7.5</v>
      </c>
      <c r="H123" s="727">
        <f>H111</f>
        <v>7.5</v>
      </c>
      <c r="I123" s="727">
        <f>I111</f>
        <v>7.5</v>
      </c>
      <c r="J123" s="727">
        <f>J111</f>
        <v>7.5</v>
      </c>
      <c r="K123" s="727">
        <f>K111</f>
        <v>3.3</v>
      </c>
      <c r="L123" s="727">
        <f>L111</f>
        <v>3.3</v>
      </c>
      <c r="M123" s="727">
        <f>M111</f>
        <v>6</v>
      </c>
      <c r="N123" s="913"/>
      <c r="O123" s="914"/>
      <c r="P123" s="914"/>
      <c r="R123" s="12"/>
      <c r="S123" s="12"/>
      <c r="T123" s="12"/>
      <c r="U123" s="12"/>
      <c r="V123" s="12"/>
      <c r="W123" s="12"/>
      <c r="X123" s="12"/>
      <c r="Y123" s="12"/>
      <c r="Z123" s="12"/>
      <c r="AA123" s="12"/>
      <c r="AB123" s="12"/>
    </row>
    <row r="124" spans="1:28">
      <c r="A124" s="12"/>
      <c r="B124" s="842" t="s">
        <v>165</v>
      </c>
      <c r="C124" s="16" t="s">
        <v>50</v>
      </c>
      <c r="D124" s="843"/>
      <c r="E124" s="826">
        <f>E112</f>
        <v>1.1299999999999999</v>
      </c>
      <c r="F124" s="826">
        <f>F112</f>
        <v>1.07</v>
      </c>
      <c r="G124" s="826">
        <f>G112</f>
        <v>1.07</v>
      </c>
      <c r="H124" s="826">
        <f>H112</f>
        <v>1.07</v>
      </c>
      <c r="I124" s="826">
        <f>I112</f>
        <v>1.07</v>
      </c>
      <c r="J124" s="826">
        <f>J112</f>
        <v>1.07</v>
      </c>
      <c r="K124" s="826">
        <f>K112</f>
        <v>1.0900000000000001</v>
      </c>
      <c r="L124" s="826">
        <f>L112</f>
        <v>1.0900000000000001</v>
      </c>
      <c r="M124" s="826">
        <f>M112</f>
        <v>1.1000000000000001</v>
      </c>
      <c r="N124" s="826"/>
      <c r="R124" s="12"/>
      <c r="S124" s="12"/>
      <c r="T124" s="12"/>
      <c r="U124" s="12"/>
      <c r="V124" s="12"/>
      <c r="W124" s="12"/>
      <c r="X124" s="12"/>
      <c r="Y124" s="12"/>
      <c r="Z124" s="12"/>
      <c r="AA124" s="12"/>
      <c r="AB124" s="12"/>
    </row>
    <row r="125" spans="1:28">
      <c r="A125" s="12"/>
      <c r="B125" s="842" t="s">
        <v>164</v>
      </c>
      <c r="C125" s="16" t="s">
        <v>50</v>
      </c>
      <c r="D125" s="843"/>
      <c r="E125" s="826">
        <f>E123-E124</f>
        <v>6.87</v>
      </c>
      <c r="F125" s="826">
        <f>F123-F124</f>
        <v>6.93</v>
      </c>
      <c r="G125" s="826">
        <f>G123-G124</f>
        <v>6.43</v>
      </c>
      <c r="H125" s="826">
        <f>H123-H124</f>
        <v>6.43</v>
      </c>
      <c r="I125" s="826">
        <f>I123-I124</f>
        <v>6.43</v>
      </c>
      <c r="J125" s="826">
        <f>J123-J124</f>
        <v>6.43</v>
      </c>
      <c r="K125" s="826">
        <f>K123-K124</f>
        <v>2.21</v>
      </c>
      <c r="L125" s="826">
        <f>L123-L124</f>
        <v>2.21</v>
      </c>
      <c r="M125" s="826">
        <f>M123-M124</f>
        <v>4.9000000000000004</v>
      </c>
      <c r="N125" s="826"/>
      <c r="R125" s="12"/>
      <c r="S125" s="12"/>
      <c r="T125" s="12"/>
      <c r="U125" s="12"/>
      <c r="V125" s="12"/>
      <c r="W125" s="12"/>
      <c r="X125" s="12"/>
      <c r="Y125" s="12"/>
      <c r="Z125" s="12"/>
      <c r="AA125" s="12"/>
      <c r="AB125" s="12"/>
    </row>
    <row r="126" spans="1:28">
      <c r="A126" s="12"/>
      <c r="B126" s="842" t="s">
        <v>163</v>
      </c>
      <c r="C126" s="16" t="s">
        <v>49</v>
      </c>
      <c r="D126" s="856">
        <f>(D128-D130)/D128</f>
        <v>0.76355185704280881</v>
      </c>
      <c r="E126" s="652">
        <f>E125/E123</f>
        <v>0.85875000000000001</v>
      </c>
      <c r="F126" s="652">
        <f>F125/F123</f>
        <v>0.86624999999999996</v>
      </c>
      <c r="G126" s="652">
        <f>G125/G123</f>
        <v>0.85733333333333328</v>
      </c>
      <c r="H126" s="652">
        <f>H125/H123</f>
        <v>0.85733333333333328</v>
      </c>
      <c r="I126" s="652">
        <f>I125/I123</f>
        <v>0.85733333333333328</v>
      </c>
      <c r="J126" s="652">
        <f>J125/J123</f>
        <v>0.85733333333333328</v>
      </c>
      <c r="K126" s="652">
        <f>K125/K123</f>
        <v>0.66969696969696968</v>
      </c>
      <c r="L126" s="652">
        <f>L125/L123</f>
        <v>0.66969696969696968</v>
      </c>
      <c r="M126" s="652">
        <f>M125/M123</f>
        <v>0.81666666666666676</v>
      </c>
      <c r="N126" s="652"/>
      <c r="R126" s="12"/>
      <c r="S126" s="12"/>
      <c r="T126" s="12"/>
      <c r="U126" s="12"/>
      <c r="V126" s="12"/>
      <c r="W126" s="12"/>
      <c r="X126" s="12"/>
      <c r="Y126" s="12"/>
      <c r="Z126" s="12"/>
      <c r="AA126" s="12"/>
      <c r="AB126" s="12"/>
    </row>
    <row r="127" spans="1:28">
      <c r="A127" s="12"/>
      <c r="B127" s="842" t="s">
        <v>162</v>
      </c>
      <c r="C127" s="16" t="s">
        <v>161</v>
      </c>
      <c r="D127" s="843"/>
      <c r="E127" s="831">
        <f>115:115</f>
        <v>6193.2149131439101</v>
      </c>
      <c r="F127" s="831">
        <f>115:115</f>
        <v>6575.340803869617</v>
      </c>
      <c r="G127" s="831">
        <f>115:115</f>
        <v>6545.6621445599994</v>
      </c>
      <c r="H127" s="831">
        <f>115:115</f>
        <v>8392.7214053600001</v>
      </c>
      <c r="I127" s="831">
        <f>115:115</f>
        <v>9137.4088787199998</v>
      </c>
      <c r="J127" s="831">
        <f>115:115</f>
        <v>6108.8602380800003</v>
      </c>
      <c r="K127" s="831">
        <f>115:115</f>
        <v>47811.663235976092</v>
      </c>
      <c r="L127" s="831">
        <f>115:115</f>
        <v>62023.871901330385</v>
      </c>
      <c r="M127" s="831">
        <f>115:115</f>
        <v>8374.3543195199982</v>
      </c>
      <c r="N127" s="831"/>
      <c r="O127" s="866"/>
      <c r="R127" s="12"/>
      <c r="S127" s="12"/>
      <c r="T127" s="12"/>
      <c r="U127" s="12"/>
      <c r="V127" s="12"/>
      <c r="W127" s="12"/>
      <c r="X127" s="12"/>
      <c r="Y127" s="12"/>
      <c r="Z127" s="12"/>
      <c r="AA127" s="12"/>
      <c r="AB127" s="12"/>
    </row>
    <row r="128" spans="1:28">
      <c r="A128" s="12"/>
      <c r="B128" s="842" t="s">
        <v>113</v>
      </c>
      <c r="C128" s="16" t="s">
        <v>50</v>
      </c>
      <c r="D128" s="845">
        <f>SUM(E128:XN128)</f>
        <v>741236.7326067395</v>
      </c>
      <c r="E128" s="826">
        <f>E123*E127</f>
        <v>49545.71930515128</v>
      </c>
      <c r="F128" s="826">
        <f>F123*F127</f>
        <v>52602.726430956936</v>
      </c>
      <c r="G128" s="826">
        <f>G123*G127</f>
        <v>49092.466084199994</v>
      </c>
      <c r="H128" s="826">
        <f>H123*H127</f>
        <v>62945.410540199999</v>
      </c>
      <c r="I128" s="826">
        <f>I123*I127</f>
        <v>68530.566590400005</v>
      </c>
      <c r="J128" s="826">
        <f>J123*J127</f>
        <v>45816.451785600002</v>
      </c>
      <c r="K128" s="826">
        <f>K123*K127</f>
        <v>157778.4886787211</v>
      </c>
      <c r="L128" s="826">
        <f>L123*L127</f>
        <v>204678.77727439025</v>
      </c>
      <c r="M128" s="826">
        <f>M123*M127</f>
        <v>50246.125917119993</v>
      </c>
      <c r="N128" s="826"/>
      <c r="R128" s="12"/>
      <c r="S128" s="12"/>
      <c r="T128" s="12"/>
      <c r="U128" s="12"/>
      <c r="V128" s="12"/>
      <c r="W128" s="12"/>
      <c r="X128" s="12"/>
      <c r="Y128" s="12"/>
      <c r="Z128" s="12"/>
      <c r="AA128" s="12"/>
      <c r="AB128" s="12"/>
    </row>
    <row r="129" spans="1:28">
      <c r="A129" s="12"/>
      <c r="B129" s="842" t="s">
        <v>176</v>
      </c>
      <c r="C129" s="16" t="s">
        <v>49</v>
      </c>
      <c r="D129" s="857"/>
      <c r="E129" s="652">
        <f>E128/$D128</f>
        <v>6.6841964416565938E-2</v>
      </c>
      <c r="F129" s="652">
        <f>F128/$D128</f>
        <v>7.0966162518641837E-2</v>
      </c>
      <c r="G129" s="652">
        <f>G128/$D128</f>
        <v>6.6230482010186387E-2</v>
      </c>
      <c r="H129" s="652">
        <f>H128/$D128</f>
        <v>8.4919443102660516E-2</v>
      </c>
      <c r="I129" s="652">
        <f>I128/$D128</f>
        <v>9.245435847383815E-2</v>
      </c>
      <c r="J129" s="652">
        <f>J128/$D128</f>
        <v>6.1810822062845279E-2</v>
      </c>
      <c r="K129" s="652">
        <f>K128/$D128</f>
        <v>0.21285843204755195</v>
      </c>
      <c r="L129" s="652">
        <f>L128/$D128</f>
        <v>0.27613145473051165</v>
      </c>
      <c r="M129" s="652">
        <f>M128/$D128</f>
        <v>6.7786880637198399E-2</v>
      </c>
      <c r="N129" s="652"/>
      <c r="R129" s="12"/>
      <c r="S129" s="12"/>
      <c r="T129" s="12"/>
      <c r="U129" s="12"/>
      <c r="V129" s="12"/>
      <c r="W129" s="12"/>
      <c r="X129" s="12"/>
      <c r="Y129" s="12"/>
      <c r="Z129" s="12"/>
      <c r="AA129" s="12"/>
      <c r="AB129" s="12"/>
    </row>
    <row r="130" spans="1:28">
      <c r="A130" s="12"/>
      <c r="B130" s="842" t="s">
        <v>468</v>
      </c>
      <c r="C130" s="16" t="s">
        <v>50</v>
      </c>
      <c r="D130" s="845">
        <f>SUM(E130:XN130)</f>
        <v>175264.04891651956</v>
      </c>
      <c r="E130" s="826">
        <f>E124*E127</f>
        <v>6998.3328518526178</v>
      </c>
      <c r="F130" s="826">
        <f>F124*F127</f>
        <v>7035.6146601404907</v>
      </c>
      <c r="G130" s="826">
        <f>G124*G127</f>
        <v>7003.8584946791998</v>
      </c>
      <c r="H130" s="826">
        <f>H124*H127</f>
        <v>8980.2119037352004</v>
      </c>
      <c r="I130" s="826">
        <f>I124*I127</f>
        <v>9777.0275002304006</v>
      </c>
      <c r="J130" s="826">
        <f>J124*J127</f>
        <v>6536.4804547456006</v>
      </c>
      <c r="K130" s="826">
        <f>K124*K127</f>
        <v>52114.712927213943</v>
      </c>
      <c r="L130" s="826">
        <f>L124*L127</f>
        <v>67606.020372450119</v>
      </c>
      <c r="M130" s="826">
        <f>M124*M127</f>
        <v>9211.7897514719989</v>
      </c>
      <c r="N130" s="826"/>
      <c r="R130" s="12"/>
      <c r="S130" s="12"/>
      <c r="T130" s="12"/>
      <c r="U130" s="12"/>
      <c r="V130" s="12"/>
      <c r="W130" s="12"/>
      <c r="X130" s="12"/>
      <c r="Y130" s="12"/>
      <c r="Z130" s="12"/>
      <c r="AA130" s="12"/>
      <c r="AB130" s="12"/>
    </row>
    <row r="131" spans="1:28">
      <c r="A131" s="12"/>
      <c r="B131" s="842" t="s">
        <v>111</v>
      </c>
      <c r="C131" s="16" t="s">
        <v>50</v>
      </c>
      <c r="D131" s="845">
        <f>SUM(E131:XN131)</f>
        <v>565972.68369021988</v>
      </c>
      <c r="E131" s="826">
        <f>E128-E130</f>
        <v>42547.386453298663</v>
      </c>
      <c r="F131" s="826">
        <f>F128-F130</f>
        <v>45567.111770816446</v>
      </c>
      <c r="G131" s="826">
        <f>G128-G130</f>
        <v>42088.60758952079</v>
      </c>
      <c r="H131" s="826">
        <f>H128-H130</f>
        <v>53965.198636464796</v>
      </c>
      <c r="I131" s="826">
        <f>I128-I130</f>
        <v>58753.539090169608</v>
      </c>
      <c r="J131" s="826">
        <f>J128-J130</f>
        <v>39279.971330854401</v>
      </c>
      <c r="K131" s="826">
        <f>K128-K130</f>
        <v>105663.77575150716</v>
      </c>
      <c r="L131" s="826">
        <f>L128-L130</f>
        <v>137072.75690194013</v>
      </c>
      <c r="M131" s="826">
        <f>M128-M130</f>
        <v>41034.336165647997</v>
      </c>
      <c r="N131" s="826"/>
      <c r="R131" s="12"/>
      <c r="S131" s="12"/>
      <c r="T131" s="12"/>
      <c r="U131" s="12"/>
      <c r="V131" s="12"/>
      <c r="W131" s="12"/>
      <c r="X131" s="12"/>
      <c r="Y131" s="12"/>
      <c r="Z131" s="12"/>
      <c r="AA131" s="12"/>
      <c r="AB131" s="12"/>
    </row>
    <row r="132" spans="1:28">
      <c r="A132" s="12"/>
      <c r="B132" s="842"/>
      <c r="C132" s="16" t="s">
        <v>49</v>
      </c>
      <c r="D132" s="843"/>
      <c r="E132" s="652">
        <f>E131/$D131</f>
        <v>7.5175689003016619E-2</v>
      </c>
      <c r="F132" s="652">
        <f>F131/$D131</f>
        <v>8.0511150244412147E-2</v>
      </c>
      <c r="G132" s="652">
        <f>G131/$D131</f>
        <v>7.4365086518128884E-2</v>
      </c>
      <c r="H132" s="652">
        <f>H131/$D131</f>
        <v>9.5349475675405859E-2</v>
      </c>
      <c r="I132" s="652">
        <f>I131/$D131</f>
        <v>0.10380984945614059</v>
      </c>
      <c r="J132" s="652">
        <f>J131/$D131</f>
        <v>6.9402592144100619E-2</v>
      </c>
      <c r="K132" s="652">
        <f>K131/$D131</f>
        <v>0.18669412640653393</v>
      </c>
      <c r="L132" s="652">
        <f>L131/$D131</f>
        <v>0.24218970429492614</v>
      </c>
      <c r="M132" s="652">
        <f>M131/$D131</f>
        <v>7.2502326257335381E-2</v>
      </c>
      <c r="N132" s="652"/>
      <c r="R132" s="12"/>
      <c r="S132" s="12"/>
      <c r="T132" s="12"/>
      <c r="U132" s="12"/>
      <c r="V132" s="12"/>
      <c r="W132" s="12"/>
      <c r="X132" s="12"/>
      <c r="Y132" s="12"/>
      <c r="Z132" s="12"/>
      <c r="AA132" s="12"/>
      <c r="AB132" s="12"/>
    </row>
    <row r="133" spans="1:28">
      <c r="A133" s="12"/>
      <c r="B133" s="847" t="s">
        <v>175</v>
      </c>
      <c r="C133" s="798" t="s">
        <v>174</v>
      </c>
      <c r="D133" s="848">
        <f>D122/D131*12</f>
        <v>3.4813885842562415</v>
      </c>
      <c r="F133" s="12"/>
      <c r="G133" s="12"/>
      <c r="H133" s="12"/>
      <c r="J133" s="12"/>
      <c r="L133" s="7"/>
      <c r="M133" s="768"/>
      <c r="R133" s="12"/>
      <c r="S133" s="12"/>
      <c r="T133" s="12"/>
      <c r="U133" s="12"/>
      <c r="V133" s="12"/>
      <c r="W133" s="12"/>
      <c r="X133" s="12"/>
      <c r="Y133" s="12"/>
      <c r="Z133" s="12"/>
      <c r="AA133" s="12"/>
      <c r="AB133" s="12"/>
    </row>
    <row r="134" spans="1:28" ht="14.1" customHeight="1" thickBot="1">
      <c r="A134" s="12"/>
      <c r="B134" s="849" t="s">
        <v>173</v>
      </c>
      <c r="C134" s="850" t="s">
        <v>113</v>
      </c>
      <c r="D134" s="851">
        <f>D122/D126</f>
        <v>215044.42492737493</v>
      </c>
      <c r="E134" s="852"/>
      <c r="F134" s="853"/>
      <c r="G134" s="853"/>
      <c r="H134" s="853"/>
      <c r="I134" s="852"/>
      <c r="J134" s="853"/>
      <c r="K134" s="852"/>
      <c r="L134" s="852"/>
      <c r="M134" s="854"/>
      <c r="N134" s="852"/>
      <c r="R134" s="12"/>
      <c r="S134" s="12"/>
      <c r="T134" s="12"/>
      <c r="U134" s="12"/>
      <c r="V134" s="12"/>
      <c r="W134" s="12"/>
      <c r="X134" s="12"/>
      <c r="Y134" s="12"/>
      <c r="Z134" s="12"/>
      <c r="AA134" s="12"/>
      <c r="AB134" s="12"/>
    </row>
    <row r="135" spans="1:28" ht="14.1" customHeight="1" thickBot="1">
      <c r="A135" s="12"/>
      <c r="B135" s="12"/>
      <c r="C135" s="12"/>
      <c r="D135" s="12"/>
      <c r="E135" s="12"/>
      <c r="F135" s="12"/>
      <c r="G135" s="12"/>
      <c r="H135" s="12"/>
      <c r="J135" s="12"/>
      <c r="L135" s="7"/>
      <c r="M135" s="768"/>
      <c r="R135" s="12"/>
      <c r="S135" s="12"/>
      <c r="T135" s="12"/>
      <c r="U135" s="12"/>
      <c r="V135" s="12"/>
      <c r="W135" s="12"/>
      <c r="X135" s="12"/>
      <c r="Y135" s="12"/>
      <c r="Z135" s="12"/>
      <c r="AA135" s="12"/>
      <c r="AB135" s="12"/>
    </row>
    <row r="136" spans="1:28" ht="14.1" customHeight="1">
      <c r="B136" s="863" t="s">
        <v>129</v>
      </c>
      <c r="C136" s="839" t="s">
        <v>50</v>
      </c>
      <c r="D136" s="864">
        <f>$E$12</f>
        <v>164197.57</v>
      </c>
      <c r="E136" s="840"/>
      <c r="F136" s="840"/>
      <c r="G136" s="840"/>
      <c r="H136" s="840"/>
      <c r="I136" s="841"/>
      <c r="J136" s="841"/>
      <c r="K136" s="841"/>
      <c r="L136" s="841"/>
      <c r="M136" s="841"/>
      <c r="N136" s="841"/>
      <c r="R136" s="12"/>
      <c r="S136" s="12"/>
      <c r="T136" s="12"/>
      <c r="U136" s="12"/>
      <c r="V136" s="12"/>
      <c r="W136" s="12"/>
      <c r="X136" s="12"/>
      <c r="Y136" s="12"/>
      <c r="Z136" s="12"/>
      <c r="AA136" s="12"/>
      <c r="AB136" s="12"/>
    </row>
    <row r="137" spans="1:28" ht="14.1" customHeight="1">
      <c r="A137" s="837" t="s">
        <v>177</v>
      </c>
      <c r="B137" s="865" t="s">
        <v>167</v>
      </c>
      <c r="C137" s="16" t="s">
        <v>50</v>
      </c>
      <c r="D137" s="843"/>
      <c r="E137" s="727">
        <f>E123</f>
        <v>8</v>
      </c>
      <c r="F137" s="727">
        <f>F123</f>
        <v>8</v>
      </c>
      <c r="G137" s="727">
        <f>G123</f>
        <v>7.5</v>
      </c>
      <c r="H137" s="727">
        <f>H123</f>
        <v>7.5</v>
      </c>
      <c r="I137" s="727">
        <f>I123</f>
        <v>7.5</v>
      </c>
      <c r="J137" s="727">
        <f>J123</f>
        <v>7.5</v>
      </c>
      <c r="K137" s="727">
        <f>K123</f>
        <v>3.3</v>
      </c>
      <c r="L137" s="727">
        <f>L123</f>
        <v>3.3</v>
      </c>
      <c r="M137" s="727">
        <f>M123</f>
        <v>6</v>
      </c>
      <c r="N137" s="913"/>
      <c r="O137" s="914"/>
      <c r="P137" s="914"/>
      <c r="R137" s="12"/>
      <c r="S137" s="12"/>
      <c r="T137" s="12"/>
      <c r="U137" s="12"/>
      <c r="V137" s="12"/>
      <c r="W137" s="12"/>
      <c r="X137" s="12"/>
      <c r="Y137" s="12"/>
      <c r="Z137" s="12"/>
      <c r="AA137" s="12"/>
      <c r="AB137" s="12"/>
    </row>
    <row r="138" spans="1:28" ht="14.1" customHeight="1">
      <c r="A138" s="12"/>
      <c r="B138" s="842" t="s">
        <v>165</v>
      </c>
      <c r="C138" s="16" t="s">
        <v>50</v>
      </c>
      <c r="D138" s="843"/>
      <c r="E138" s="826">
        <f>E124</f>
        <v>1.1299999999999999</v>
      </c>
      <c r="F138" s="826">
        <f>F124</f>
        <v>1.07</v>
      </c>
      <c r="G138" s="826">
        <f>G124</f>
        <v>1.07</v>
      </c>
      <c r="H138" s="826">
        <f>H124</f>
        <v>1.07</v>
      </c>
      <c r="I138" s="826">
        <f>I124</f>
        <v>1.07</v>
      </c>
      <c r="J138" s="826">
        <f>J124</f>
        <v>1.07</v>
      </c>
      <c r="K138" s="826">
        <f>K124</f>
        <v>1.0900000000000001</v>
      </c>
      <c r="L138" s="826">
        <f>L124</f>
        <v>1.0900000000000001</v>
      </c>
      <c r="M138" s="826">
        <f>M124</f>
        <v>1.1000000000000001</v>
      </c>
      <c r="N138" s="826"/>
      <c r="R138" s="12"/>
      <c r="S138" s="12"/>
      <c r="T138" s="12"/>
      <c r="U138" s="12"/>
      <c r="V138" s="12"/>
      <c r="W138" s="12"/>
      <c r="X138" s="12"/>
      <c r="Y138" s="12"/>
      <c r="Z138" s="12"/>
      <c r="AA138" s="12"/>
      <c r="AB138" s="12"/>
    </row>
    <row r="139" spans="1:28" ht="14.1" customHeight="1">
      <c r="A139" s="12"/>
      <c r="B139" s="842" t="s">
        <v>164</v>
      </c>
      <c r="C139" s="16" t="s">
        <v>50</v>
      </c>
      <c r="D139" s="843"/>
      <c r="E139" s="826">
        <f>E137-E138</f>
        <v>6.87</v>
      </c>
      <c r="F139" s="826">
        <f>F137-F138</f>
        <v>6.93</v>
      </c>
      <c r="G139" s="826">
        <f>G137-G138</f>
        <v>6.43</v>
      </c>
      <c r="H139" s="826">
        <f>H137-H138</f>
        <v>6.43</v>
      </c>
      <c r="I139" s="826">
        <f>I137-I138</f>
        <v>6.43</v>
      </c>
      <c r="J139" s="826">
        <f>J137-J138</f>
        <v>6.43</v>
      </c>
      <c r="K139" s="826">
        <f>K137-K138</f>
        <v>2.21</v>
      </c>
      <c r="L139" s="826">
        <f>L137-L138</f>
        <v>2.21</v>
      </c>
      <c r="M139" s="826">
        <f>M137-M138</f>
        <v>4.9000000000000004</v>
      </c>
      <c r="N139" s="826"/>
      <c r="R139" s="12"/>
      <c r="S139" s="12"/>
      <c r="T139" s="12"/>
      <c r="U139" s="12"/>
      <c r="V139" s="12"/>
      <c r="W139" s="12"/>
      <c r="X139" s="12"/>
      <c r="Y139" s="12"/>
      <c r="Z139" s="12"/>
      <c r="AA139" s="12"/>
      <c r="AB139" s="12"/>
    </row>
    <row r="140" spans="1:28" ht="14.1" customHeight="1">
      <c r="A140" s="12"/>
      <c r="B140" s="842" t="s">
        <v>163</v>
      </c>
      <c r="C140" s="16" t="s">
        <v>49</v>
      </c>
      <c r="D140" s="856">
        <f>(D142-D144)/D142</f>
        <v>0.76355185704280881</v>
      </c>
      <c r="E140" s="826">
        <f>E139/E137</f>
        <v>0.85875000000000001</v>
      </c>
      <c r="F140" s="826">
        <f>F139/F137</f>
        <v>0.86624999999999996</v>
      </c>
      <c r="G140" s="826">
        <f>G139/G137</f>
        <v>0.85733333333333328</v>
      </c>
      <c r="H140" s="826">
        <f>H139/H137</f>
        <v>0.85733333333333328</v>
      </c>
      <c r="I140" s="826">
        <f>I139/I137</f>
        <v>0.85733333333333328</v>
      </c>
      <c r="J140" s="826">
        <f>J139/J137</f>
        <v>0.85733333333333328</v>
      </c>
      <c r="K140" s="826">
        <f>K139/K137</f>
        <v>0.66969696969696968</v>
      </c>
      <c r="L140" s="826">
        <f>L139/L137</f>
        <v>0.66969696969696968</v>
      </c>
      <c r="M140" s="826">
        <f>M139/M137</f>
        <v>0.81666666666666676</v>
      </c>
      <c r="N140" s="826"/>
      <c r="R140" s="12"/>
      <c r="S140" s="12"/>
      <c r="T140" s="12"/>
      <c r="U140" s="12"/>
      <c r="V140" s="12"/>
      <c r="W140" s="12"/>
      <c r="X140" s="12"/>
      <c r="Y140" s="12"/>
      <c r="Z140" s="12"/>
      <c r="AA140" s="12"/>
      <c r="AB140" s="12"/>
    </row>
    <row r="141" spans="1:28" ht="14.1" customHeight="1">
      <c r="A141" s="12"/>
      <c r="B141" s="842" t="s">
        <v>162</v>
      </c>
      <c r="C141" s="16" t="s">
        <v>161</v>
      </c>
      <c r="D141" s="843"/>
      <c r="E141" s="826">
        <f>E115</f>
        <v>6193.2149131439101</v>
      </c>
      <c r="F141" s="826">
        <f>F115</f>
        <v>6575.340803869617</v>
      </c>
      <c r="G141" s="826">
        <f>G115</f>
        <v>6545.6621445599994</v>
      </c>
      <c r="H141" s="826">
        <f>H115</f>
        <v>8392.7214053600001</v>
      </c>
      <c r="I141" s="826">
        <f>I115</f>
        <v>9137.4088787199998</v>
      </c>
      <c r="J141" s="826">
        <f>J115</f>
        <v>6108.8602380800003</v>
      </c>
      <c r="K141" s="826">
        <f>K115</f>
        <v>47811.663235976092</v>
      </c>
      <c r="L141" s="826">
        <f>L115</f>
        <v>62023.871901330385</v>
      </c>
      <c r="M141" s="826">
        <f>M115</f>
        <v>8374.3543195199982</v>
      </c>
      <c r="N141" s="826"/>
      <c r="R141" s="12"/>
      <c r="S141" s="12"/>
      <c r="T141" s="12"/>
      <c r="U141" s="12"/>
      <c r="V141" s="12"/>
      <c r="W141" s="12"/>
      <c r="X141" s="12"/>
      <c r="Y141" s="12"/>
      <c r="Z141" s="12"/>
      <c r="AA141" s="12"/>
      <c r="AB141" s="12"/>
    </row>
    <row r="142" spans="1:28" ht="14.1" customHeight="1">
      <c r="A142" s="12"/>
      <c r="B142" s="842" t="s">
        <v>113</v>
      </c>
      <c r="C142" s="16" t="s">
        <v>50</v>
      </c>
      <c r="D142" s="845">
        <f>SUM(E142:XN142)</f>
        <v>741236.7326067395</v>
      </c>
      <c r="E142" s="826">
        <f>E137*E141</f>
        <v>49545.71930515128</v>
      </c>
      <c r="F142" s="826">
        <f>F137*F141</f>
        <v>52602.726430956936</v>
      </c>
      <c r="G142" s="826">
        <f>G137*G141</f>
        <v>49092.466084199994</v>
      </c>
      <c r="H142" s="826">
        <f>H137*H141</f>
        <v>62945.410540199999</v>
      </c>
      <c r="I142" s="826">
        <f>I137*I141</f>
        <v>68530.566590400005</v>
      </c>
      <c r="J142" s="826">
        <f>J137*J141</f>
        <v>45816.451785600002</v>
      </c>
      <c r="K142" s="826">
        <f>K137*K141</f>
        <v>157778.4886787211</v>
      </c>
      <c r="L142" s="826">
        <f>L137*L141</f>
        <v>204678.77727439025</v>
      </c>
      <c r="M142" s="826">
        <f>M137*M141</f>
        <v>50246.125917119993</v>
      </c>
      <c r="N142" s="826"/>
      <c r="R142" s="12"/>
      <c r="S142" s="12"/>
      <c r="T142" s="12"/>
      <c r="U142" s="12"/>
      <c r="V142" s="12"/>
      <c r="W142" s="12"/>
      <c r="X142" s="12"/>
      <c r="Y142" s="12"/>
      <c r="Z142" s="12"/>
      <c r="AA142" s="12"/>
      <c r="AB142" s="12"/>
    </row>
    <row r="143" spans="1:28" ht="14.1" customHeight="1">
      <c r="A143" s="12"/>
      <c r="B143" s="842" t="s">
        <v>176</v>
      </c>
      <c r="C143" s="16" t="s">
        <v>49</v>
      </c>
      <c r="D143" s="857"/>
      <c r="E143" s="826">
        <f>E142/$D142</f>
        <v>6.6841964416565938E-2</v>
      </c>
      <c r="F143" s="826">
        <f>F142/$D142</f>
        <v>7.0966162518641837E-2</v>
      </c>
      <c r="G143" s="826">
        <f>G142/$D142</f>
        <v>6.6230482010186387E-2</v>
      </c>
      <c r="H143" s="826">
        <f>H142/$D142</f>
        <v>8.4919443102660516E-2</v>
      </c>
      <c r="I143" s="826">
        <f>I142/$D142</f>
        <v>9.245435847383815E-2</v>
      </c>
      <c r="J143" s="826">
        <f>J142/$D142</f>
        <v>6.1810822062845279E-2</v>
      </c>
      <c r="K143" s="826">
        <f>K142/$D142</f>
        <v>0.21285843204755195</v>
      </c>
      <c r="L143" s="826">
        <f>L142/$D142</f>
        <v>0.27613145473051165</v>
      </c>
      <c r="M143" s="826">
        <f>M142/$D142</f>
        <v>6.7786880637198399E-2</v>
      </c>
      <c r="N143" s="826"/>
      <c r="R143" s="12"/>
      <c r="S143" s="12"/>
      <c r="T143" s="12"/>
      <c r="U143" s="12"/>
      <c r="V143" s="12"/>
      <c r="W143" s="12"/>
      <c r="X143" s="12"/>
      <c r="Y143" s="12"/>
      <c r="Z143" s="12"/>
      <c r="AA143" s="12"/>
      <c r="AB143" s="12"/>
    </row>
    <row r="144" spans="1:28" ht="14.1" customHeight="1">
      <c r="A144" s="12"/>
      <c r="B144" s="842" t="s">
        <v>468</v>
      </c>
      <c r="C144" s="16" t="s">
        <v>50</v>
      </c>
      <c r="D144" s="845">
        <f>SUM(E144:XN144)</f>
        <v>175264.04891651956</v>
      </c>
      <c r="E144" s="826">
        <f>E138*E141</f>
        <v>6998.3328518526178</v>
      </c>
      <c r="F144" s="826">
        <f>F138*F141</f>
        <v>7035.6146601404907</v>
      </c>
      <c r="G144" s="826">
        <f>G138*G141</f>
        <v>7003.8584946791998</v>
      </c>
      <c r="H144" s="826">
        <f>H138*H141</f>
        <v>8980.2119037352004</v>
      </c>
      <c r="I144" s="826">
        <f>I138*I141</f>
        <v>9777.0275002304006</v>
      </c>
      <c r="J144" s="826">
        <f>J138*J141</f>
        <v>6536.4804547456006</v>
      </c>
      <c r="K144" s="826">
        <f>K138*K141</f>
        <v>52114.712927213943</v>
      </c>
      <c r="L144" s="826">
        <f>L138*L141</f>
        <v>67606.020372450119</v>
      </c>
      <c r="M144" s="826">
        <f>M138*M141</f>
        <v>9211.7897514719989</v>
      </c>
      <c r="N144" s="826"/>
      <c r="R144" s="12"/>
      <c r="S144" s="12"/>
      <c r="T144" s="12"/>
      <c r="U144" s="12"/>
      <c r="V144" s="12"/>
      <c r="W144" s="12"/>
      <c r="X144" s="12"/>
      <c r="Y144" s="12"/>
      <c r="Z144" s="12"/>
      <c r="AA144" s="12"/>
      <c r="AB144" s="12"/>
    </row>
    <row r="145" spans="1:28" ht="14.1" customHeight="1">
      <c r="A145" s="12"/>
      <c r="B145" s="842" t="s">
        <v>111</v>
      </c>
      <c r="C145" s="16" t="s">
        <v>50</v>
      </c>
      <c r="D145" s="845">
        <f>SUM(E145:XN145)</f>
        <v>565972.68369021988</v>
      </c>
      <c r="E145" s="826">
        <f>E142-E144</f>
        <v>42547.386453298663</v>
      </c>
      <c r="F145" s="826">
        <f>F142-F144</f>
        <v>45567.111770816446</v>
      </c>
      <c r="G145" s="826">
        <f>G142-G144</f>
        <v>42088.60758952079</v>
      </c>
      <c r="H145" s="826">
        <f>H142-H144</f>
        <v>53965.198636464796</v>
      </c>
      <c r="I145" s="826">
        <f>I142-I144</f>
        <v>58753.539090169608</v>
      </c>
      <c r="J145" s="826">
        <f>J142-J144</f>
        <v>39279.971330854401</v>
      </c>
      <c r="K145" s="826">
        <f>K142-K144</f>
        <v>105663.77575150716</v>
      </c>
      <c r="L145" s="826">
        <f>L142-L144</f>
        <v>137072.75690194013</v>
      </c>
      <c r="M145" s="826">
        <f>M142-M144</f>
        <v>41034.336165647997</v>
      </c>
      <c r="N145" s="826"/>
      <c r="R145" s="12"/>
      <c r="S145" s="12"/>
      <c r="T145" s="12"/>
      <c r="U145" s="12"/>
      <c r="V145" s="12"/>
      <c r="W145" s="12"/>
      <c r="X145" s="12"/>
      <c r="Y145" s="12"/>
      <c r="Z145" s="12"/>
      <c r="AA145" s="12"/>
      <c r="AB145" s="12"/>
    </row>
    <row r="146" spans="1:28" ht="14.1" customHeight="1">
      <c r="A146" s="12"/>
      <c r="B146" s="842"/>
      <c r="C146" s="16" t="s">
        <v>49</v>
      </c>
      <c r="D146" s="843"/>
      <c r="E146" s="826">
        <f>E145/$D145</f>
        <v>7.5175689003016619E-2</v>
      </c>
      <c r="F146" s="826">
        <f>F145/$D145</f>
        <v>8.0511150244412147E-2</v>
      </c>
      <c r="G146" s="826">
        <f>G145/$D145</f>
        <v>7.4365086518128884E-2</v>
      </c>
      <c r="H146" s="826">
        <f>H145/$D145</f>
        <v>9.5349475675405859E-2</v>
      </c>
      <c r="I146" s="826">
        <f>I145/$D145</f>
        <v>0.10380984945614059</v>
      </c>
      <c r="J146" s="826">
        <f>J145/$D145</f>
        <v>6.9402592144100619E-2</v>
      </c>
      <c r="K146" s="826">
        <f>K145/$D145</f>
        <v>0.18669412640653393</v>
      </c>
      <c r="L146" s="826">
        <f>L145/$D145</f>
        <v>0.24218970429492614</v>
      </c>
      <c r="M146" s="826">
        <f>M145/$D145</f>
        <v>7.2502326257335381E-2</v>
      </c>
      <c r="N146" s="826"/>
      <c r="R146" s="12"/>
      <c r="S146" s="12"/>
      <c r="T146" s="12"/>
      <c r="U146" s="12"/>
      <c r="V146" s="12"/>
      <c r="W146" s="12"/>
      <c r="X146" s="12"/>
      <c r="Y146" s="12"/>
      <c r="Z146" s="12"/>
      <c r="AA146" s="12"/>
      <c r="AB146" s="12"/>
    </row>
    <row r="147" spans="1:28" ht="14.1" customHeight="1">
      <c r="A147" s="12"/>
      <c r="B147" s="847" t="s">
        <v>175</v>
      </c>
      <c r="C147" s="798" t="s">
        <v>174</v>
      </c>
      <c r="D147" s="848">
        <f>D136/D145*12</f>
        <v>3.4813885842562415</v>
      </c>
      <c r="F147" s="12"/>
      <c r="G147" s="12"/>
      <c r="H147" s="12"/>
      <c r="J147" s="12"/>
      <c r="L147" s="798"/>
      <c r="M147" s="858"/>
      <c r="N147" s="47"/>
      <c r="R147" s="12"/>
      <c r="S147" s="12"/>
      <c r="T147" s="12"/>
      <c r="U147" s="12"/>
      <c r="V147" s="12"/>
      <c r="W147" s="12"/>
      <c r="X147" s="12"/>
      <c r="Y147" s="12"/>
      <c r="Z147" s="12"/>
      <c r="AA147" s="12"/>
      <c r="AB147" s="12"/>
    </row>
    <row r="148" spans="1:28" ht="14.1" customHeight="1" thickBot="1">
      <c r="A148" s="12"/>
      <c r="B148" s="849" t="s">
        <v>173</v>
      </c>
      <c r="C148" s="850" t="s">
        <v>113</v>
      </c>
      <c r="D148" s="851">
        <f>D136/D140</f>
        <v>215044.42492737493</v>
      </c>
      <c r="E148" s="852"/>
      <c r="F148" s="859"/>
      <c r="G148" s="859"/>
      <c r="H148" s="853"/>
      <c r="I148" s="852"/>
      <c r="J148" s="853"/>
      <c r="K148" s="852"/>
      <c r="L148" s="850"/>
      <c r="M148" s="860"/>
      <c r="N148" s="859"/>
      <c r="R148" s="12"/>
      <c r="S148" s="12"/>
      <c r="T148" s="12"/>
      <c r="U148" s="12"/>
      <c r="V148" s="12"/>
      <c r="W148" s="12"/>
      <c r="X148" s="12"/>
      <c r="Y148" s="12"/>
      <c r="Z148" s="12"/>
      <c r="AA148" s="12"/>
      <c r="AB148" s="12"/>
    </row>
    <row r="149" spans="1:28" ht="14.1" customHeight="1">
      <c r="A149" s="12"/>
      <c r="B149" s="805"/>
      <c r="C149" s="798"/>
      <c r="D149" s="855"/>
      <c r="E149" s="47"/>
      <c r="F149" s="47"/>
      <c r="G149" s="12"/>
      <c r="I149" s="12"/>
      <c r="K149" s="798"/>
      <c r="L149" s="858"/>
      <c r="M149" s="47"/>
      <c r="N149" s="12"/>
      <c r="R149" s="12"/>
      <c r="S149" s="12"/>
      <c r="T149" s="12"/>
      <c r="U149" s="12"/>
      <c r="V149" s="12"/>
      <c r="W149" s="12"/>
      <c r="X149" s="12"/>
      <c r="Y149" s="12"/>
      <c r="Z149" s="12"/>
      <c r="AA149" s="12"/>
      <c r="AB149" s="12"/>
    </row>
    <row r="150" spans="1:28" ht="14.1" customHeight="1">
      <c r="A150" s="12"/>
      <c r="B150" s="805"/>
      <c r="C150" s="798"/>
      <c r="D150" s="867"/>
      <c r="E150" s="12"/>
      <c r="F150" s="12"/>
      <c r="G150" s="12"/>
      <c r="H150" s="12"/>
      <c r="I150" s="12"/>
      <c r="J150" s="805"/>
      <c r="K150" s="798"/>
      <c r="L150" s="867"/>
      <c r="M150" s="12"/>
      <c r="N150" s="12"/>
      <c r="R150" s="12"/>
      <c r="S150" s="12"/>
      <c r="T150" s="12"/>
      <c r="U150" s="12"/>
      <c r="V150" s="12"/>
      <c r="W150" s="12"/>
      <c r="X150" s="12"/>
      <c r="Y150" s="12"/>
      <c r="Z150" s="12"/>
      <c r="AA150" s="12"/>
      <c r="AB150" s="12"/>
    </row>
    <row r="151" spans="1:28" ht="15.75">
      <c r="A151" s="12"/>
      <c r="B151" s="179">
        <v>2.2999999999999998</v>
      </c>
      <c r="C151" s="861" t="s">
        <v>470</v>
      </c>
      <c r="D151" s="868"/>
      <c r="E151" s="868"/>
      <c r="F151" s="868"/>
      <c r="G151" s="868"/>
      <c r="H151" s="868"/>
      <c r="I151" s="868"/>
      <c r="J151" s="12"/>
      <c r="K151" s="12"/>
      <c r="M151" s="12"/>
      <c r="N151" s="12"/>
      <c r="R151" s="12"/>
      <c r="S151" s="12"/>
      <c r="T151" s="12"/>
      <c r="U151" s="12"/>
      <c r="V151" s="12"/>
      <c r="W151" s="12"/>
      <c r="X151" s="12"/>
      <c r="Y151" s="12"/>
      <c r="Z151" s="12"/>
      <c r="AA151" s="12"/>
      <c r="AB151" s="12"/>
    </row>
    <row r="152" spans="1:28">
      <c r="A152" s="12"/>
      <c r="B152" s="805"/>
      <c r="C152" s="798"/>
      <c r="D152" s="867"/>
      <c r="E152" s="12"/>
      <c r="F152" s="12"/>
      <c r="G152" s="12"/>
      <c r="H152" s="12"/>
      <c r="I152" s="12"/>
      <c r="J152" s="12"/>
      <c r="K152" s="12"/>
      <c r="M152" s="12"/>
      <c r="N152" s="12"/>
      <c r="R152" s="12"/>
      <c r="S152" s="12"/>
      <c r="T152" s="12"/>
      <c r="U152" s="12"/>
      <c r="V152" s="12"/>
      <c r="W152" s="12"/>
      <c r="X152" s="12"/>
      <c r="Y152" s="12"/>
      <c r="Z152" s="12"/>
      <c r="AA152" s="12"/>
      <c r="AB152" s="12"/>
    </row>
    <row r="153" spans="1:28" ht="12" thickBot="1">
      <c r="A153" s="12"/>
      <c r="B153" s="805"/>
      <c r="C153" s="798"/>
      <c r="D153" s="867"/>
      <c r="E153" s="12"/>
      <c r="F153" s="12"/>
      <c r="G153" s="12"/>
      <c r="H153" s="12"/>
      <c r="I153" s="12"/>
      <c r="J153" s="12"/>
      <c r="K153" s="12"/>
      <c r="M153" s="12"/>
      <c r="N153" s="12"/>
      <c r="R153" s="12"/>
      <c r="S153" s="12"/>
      <c r="T153" s="12"/>
      <c r="U153" s="12"/>
      <c r="V153" s="12"/>
      <c r="W153" s="12"/>
      <c r="X153" s="12"/>
      <c r="Y153" s="12"/>
      <c r="Z153" s="12"/>
      <c r="AA153" s="12"/>
      <c r="AB153" s="12"/>
    </row>
    <row r="154" spans="1:28" ht="15" customHeight="1">
      <c r="B154" s="771"/>
      <c r="C154" s="772"/>
      <c r="D154" s="773"/>
      <c r="E154" s="869"/>
      <c r="F154" s="870"/>
      <c r="G154" s="870"/>
      <c r="H154" s="870"/>
      <c r="I154" s="870"/>
      <c r="J154" s="870"/>
      <c r="K154" s="870"/>
      <c r="L154" s="870"/>
      <c r="M154" s="870"/>
      <c r="N154" s="870"/>
      <c r="R154" s="12"/>
      <c r="S154" s="12"/>
      <c r="T154" s="12"/>
      <c r="U154" s="12"/>
      <c r="V154" s="12"/>
      <c r="W154" s="12"/>
      <c r="X154" s="12"/>
      <c r="Y154" s="12"/>
      <c r="Z154" s="12"/>
      <c r="AA154" s="12"/>
      <c r="AB154" s="12"/>
    </row>
    <row r="155" spans="1:28" ht="12" thickBot="1">
      <c r="B155" s="823" t="s">
        <v>168</v>
      </c>
      <c r="C155" s="777"/>
      <c r="D155" s="778" t="str">
        <f>$D$64</f>
        <v>TOTAL BRAND 01</v>
      </c>
      <c r="E155" s="779" t="s">
        <v>698</v>
      </c>
      <c r="F155" s="779" t="s">
        <v>699</v>
      </c>
      <c r="G155" s="779" t="s">
        <v>700</v>
      </c>
      <c r="H155" s="779" t="s">
        <v>701</v>
      </c>
      <c r="I155" s="779" t="s">
        <v>702</v>
      </c>
      <c r="J155" s="779" t="s">
        <v>703</v>
      </c>
      <c r="K155" s="779" t="s">
        <v>704</v>
      </c>
      <c r="L155" s="779" t="s">
        <v>705</v>
      </c>
      <c r="M155" s="779" t="s">
        <v>706</v>
      </c>
      <c r="N155" s="779"/>
      <c r="R155" s="12"/>
      <c r="S155" s="12"/>
      <c r="T155" s="12"/>
      <c r="U155" s="12"/>
      <c r="V155" s="12"/>
      <c r="W155" s="12"/>
      <c r="X155" s="12"/>
      <c r="Y155" s="12"/>
      <c r="Z155" s="12"/>
      <c r="AA155" s="12"/>
      <c r="AB155" s="12"/>
    </row>
    <row r="156" spans="1:28" ht="12" thickTop="1">
      <c r="B156" s="787" t="s">
        <v>129</v>
      </c>
      <c r="C156" s="784" t="s">
        <v>50</v>
      </c>
      <c r="D156" s="786">
        <f>$E$12</f>
        <v>164197.57</v>
      </c>
      <c r="E156" s="12"/>
      <c r="F156" s="12"/>
      <c r="G156" s="12"/>
      <c r="H156" s="12"/>
      <c r="L156" s="7"/>
      <c r="R156" s="12"/>
      <c r="S156" s="12"/>
      <c r="T156" s="12"/>
      <c r="U156" s="12"/>
      <c r="V156" s="12"/>
      <c r="W156" s="12"/>
      <c r="X156" s="12"/>
      <c r="Y156" s="12"/>
      <c r="Z156" s="12"/>
      <c r="AA156" s="12"/>
      <c r="AB156" s="12"/>
    </row>
    <row r="157" spans="1:28">
      <c r="B157" s="787" t="s">
        <v>167</v>
      </c>
      <c r="C157" s="784" t="s">
        <v>50</v>
      </c>
      <c r="D157" s="790"/>
      <c r="E157" s="826">
        <v>8</v>
      </c>
      <c r="F157" s="826">
        <v>8</v>
      </c>
      <c r="G157" s="826">
        <v>7.5</v>
      </c>
      <c r="H157" s="826">
        <v>7.5</v>
      </c>
      <c r="I157" s="826">
        <v>7.5</v>
      </c>
      <c r="J157" s="826">
        <v>7.5</v>
      </c>
      <c r="K157" s="826">
        <v>3.3</v>
      </c>
      <c r="L157" s="826">
        <v>3.3</v>
      </c>
      <c r="M157" s="826">
        <v>6</v>
      </c>
      <c r="N157" s="826"/>
      <c r="R157" s="12"/>
      <c r="S157" s="12"/>
      <c r="T157" s="12"/>
      <c r="U157" s="12"/>
      <c r="V157" s="12"/>
      <c r="W157" s="12"/>
      <c r="X157" s="12"/>
      <c r="Y157" s="12"/>
      <c r="Z157" s="12"/>
      <c r="AA157" s="12"/>
      <c r="AB157" s="12"/>
    </row>
    <row r="158" spans="1:28">
      <c r="B158" s="871" t="s">
        <v>165</v>
      </c>
      <c r="C158" s="784" t="s">
        <v>50</v>
      </c>
      <c r="D158" s="790"/>
      <c r="E158" s="862">
        <v>1.1299999999999999</v>
      </c>
      <c r="F158" s="862">
        <v>1.07</v>
      </c>
      <c r="G158" s="862">
        <v>1.07</v>
      </c>
      <c r="H158" s="862">
        <v>1.07</v>
      </c>
      <c r="I158" s="862">
        <v>1.07</v>
      </c>
      <c r="J158" s="862">
        <v>1.07</v>
      </c>
      <c r="K158" s="862">
        <v>1.0900000000000001</v>
      </c>
      <c r="L158" s="862">
        <v>1.0900000000000001</v>
      </c>
      <c r="M158" s="862">
        <v>1.1000000000000001</v>
      </c>
      <c r="N158" s="862"/>
      <c r="R158" s="12"/>
      <c r="S158" s="12"/>
      <c r="T158" s="12"/>
      <c r="U158" s="12"/>
      <c r="V158" s="12"/>
      <c r="W158" s="12"/>
      <c r="X158" s="12"/>
      <c r="Y158" s="12"/>
      <c r="Z158" s="12"/>
      <c r="AA158" s="12"/>
      <c r="AB158" s="12"/>
    </row>
    <row r="159" spans="1:28">
      <c r="B159" s="787" t="s">
        <v>164</v>
      </c>
      <c r="C159" s="784" t="s">
        <v>50</v>
      </c>
      <c r="D159" s="790"/>
      <c r="E159" s="826">
        <f>E157-E158</f>
        <v>6.87</v>
      </c>
      <c r="F159" s="826">
        <f>F157-F158</f>
        <v>6.93</v>
      </c>
      <c r="G159" s="826">
        <f>G157-G158</f>
        <v>6.43</v>
      </c>
      <c r="H159" s="826">
        <f>H157-H158</f>
        <v>6.43</v>
      </c>
      <c r="I159" s="826">
        <f>I157-I158</f>
        <v>6.43</v>
      </c>
      <c r="J159" s="826">
        <f>J157-J158</f>
        <v>6.43</v>
      </c>
      <c r="K159" s="826">
        <f>K157-K158</f>
        <v>2.21</v>
      </c>
      <c r="L159" s="826">
        <f>L157-L158</f>
        <v>2.21</v>
      </c>
      <c r="M159" s="826">
        <f>M157-M158</f>
        <v>4.9000000000000004</v>
      </c>
      <c r="N159" s="826"/>
      <c r="R159" s="12"/>
      <c r="S159" s="12"/>
      <c r="T159" s="12"/>
      <c r="U159" s="12"/>
      <c r="V159" s="12"/>
      <c r="W159" s="12"/>
      <c r="X159" s="12"/>
      <c r="Y159" s="12"/>
      <c r="Z159" s="12"/>
      <c r="AA159" s="12"/>
      <c r="AB159" s="12"/>
    </row>
    <row r="160" spans="1:28">
      <c r="B160" s="787" t="s">
        <v>163</v>
      </c>
      <c r="C160" s="784" t="s">
        <v>49</v>
      </c>
      <c r="D160" s="829">
        <f>(D162-D164)/D162</f>
        <v>0.76355185704280881</v>
      </c>
      <c r="E160" s="830">
        <f>E159/E157</f>
        <v>0.85875000000000001</v>
      </c>
      <c r="F160" s="830">
        <f>F159/F157</f>
        <v>0.86624999999999996</v>
      </c>
      <c r="G160" s="830">
        <f>G159/G157</f>
        <v>0.85733333333333328</v>
      </c>
      <c r="H160" s="830">
        <f>H159/H157</f>
        <v>0.85733333333333328</v>
      </c>
      <c r="I160" s="830">
        <f>I159/I157</f>
        <v>0.85733333333333328</v>
      </c>
      <c r="J160" s="830">
        <f>J159/J157</f>
        <v>0.85733333333333328</v>
      </c>
      <c r="K160" s="830">
        <f>K159/K157</f>
        <v>0.66969696969696968</v>
      </c>
      <c r="L160" s="830">
        <f>L159/L157</f>
        <v>0.66969696969696968</v>
      </c>
      <c r="M160" s="830">
        <f>M159/M157</f>
        <v>0.81666666666666676</v>
      </c>
      <c r="N160" s="830"/>
      <c r="R160" s="12"/>
      <c r="S160" s="12"/>
      <c r="T160" s="12"/>
      <c r="U160" s="12"/>
      <c r="V160" s="12"/>
      <c r="W160" s="12"/>
      <c r="X160" s="12"/>
      <c r="Y160" s="12"/>
      <c r="Z160" s="12"/>
      <c r="AA160" s="12"/>
      <c r="AB160" s="12"/>
    </row>
    <row r="161" spans="1:28">
      <c r="B161" s="787" t="s">
        <v>162</v>
      </c>
      <c r="C161" s="784" t="s">
        <v>161</v>
      </c>
      <c r="D161" s="790"/>
      <c r="E161" s="831">
        <v>6193.2149131439101</v>
      </c>
      <c r="F161" s="831">
        <v>6575.340803869617</v>
      </c>
      <c r="G161" s="831">
        <v>6545.6621445599994</v>
      </c>
      <c r="H161" s="831">
        <v>8392.7214053600001</v>
      </c>
      <c r="I161" s="831">
        <v>9137.4088787199998</v>
      </c>
      <c r="J161" s="831">
        <v>6108.8602380800003</v>
      </c>
      <c r="K161" s="831">
        <v>47811.663235976092</v>
      </c>
      <c r="L161" s="831">
        <v>62023.871901330385</v>
      </c>
      <c r="M161" s="831">
        <v>8374.3543195199982</v>
      </c>
      <c r="N161" s="831"/>
      <c r="R161" s="12"/>
      <c r="S161" s="12"/>
      <c r="T161" s="12"/>
      <c r="U161" s="12"/>
      <c r="V161" s="12"/>
      <c r="W161" s="12"/>
      <c r="X161" s="12"/>
      <c r="Y161" s="12"/>
      <c r="Z161" s="12"/>
      <c r="AA161" s="12"/>
      <c r="AB161" s="12"/>
    </row>
    <row r="162" spans="1:28">
      <c r="B162" s="787" t="s">
        <v>113</v>
      </c>
      <c r="C162" s="784" t="s">
        <v>50</v>
      </c>
      <c r="D162" s="786">
        <f>SUM(E162:XN162)</f>
        <v>741236.7326067395</v>
      </c>
      <c r="E162" s="68">
        <f>E157*E161</f>
        <v>49545.71930515128</v>
      </c>
      <c r="F162" s="68">
        <f>F157*F161</f>
        <v>52602.726430956936</v>
      </c>
      <c r="G162" s="68">
        <f>G157*G161</f>
        <v>49092.466084199994</v>
      </c>
      <c r="H162" s="68">
        <f>H157*H161</f>
        <v>62945.410540199999</v>
      </c>
      <c r="I162" s="68">
        <f>I157*I161</f>
        <v>68530.566590400005</v>
      </c>
      <c r="J162" s="68">
        <f>J157*J161</f>
        <v>45816.451785600002</v>
      </c>
      <c r="K162" s="68">
        <f>K157*K161</f>
        <v>157778.4886787211</v>
      </c>
      <c r="L162" s="68">
        <f>L157*L161</f>
        <v>204678.77727439025</v>
      </c>
      <c r="M162" s="68">
        <f>M157*M161</f>
        <v>50246.125917119993</v>
      </c>
      <c r="N162" s="68"/>
      <c r="R162" s="12"/>
      <c r="S162" s="12"/>
      <c r="T162" s="12"/>
      <c r="U162" s="12"/>
      <c r="V162" s="12"/>
      <c r="W162" s="12"/>
      <c r="X162" s="12"/>
      <c r="Y162" s="12"/>
      <c r="Z162" s="12"/>
      <c r="AA162" s="12"/>
      <c r="AB162" s="12"/>
    </row>
    <row r="163" spans="1:28">
      <c r="B163" s="787" t="s">
        <v>176</v>
      </c>
      <c r="C163" s="784" t="s">
        <v>49</v>
      </c>
      <c r="D163" s="832"/>
      <c r="E163" s="830">
        <f>E162/$D162</f>
        <v>6.6841964416565938E-2</v>
      </c>
      <c r="F163" s="830">
        <f>F162/$D162</f>
        <v>7.0966162518641837E-2</v>
      </c>
      <c r="G163" s="830">
        <f>G162/$D162</f>
        <v>6.6230482010186387E-2</v>
      </c>
      <c r="H163" s="830">
        <f>H162/$D162</f>
        <v>8.4919443102660516E-2</v>
      </c>
      <c r="I163" s="830">
        <f>I162/$D162</f>
        <v>9.245435847383815E-2</v>
      </c>
      <c r="J163" s="830">
        <f>J162/$D162</f>
        <v>6.1810822062845279E-2</v>
      </c>
      <c r="K163" s="830">
        <f>K162/$D162</f>
        <v>0.21285843204755195</v>
      </c>
      <c r="L163" s="830">
        <f>L162/$D162</f>
        <v>0.27613145473051165</v>
      </c>
      <c r="M163" s="830">
        <f>M162/$D162</f>
        <v>6.7786880637198399E-2</v>
      </c>
      <c r="N163" s="830"/>
      <c r="R163" s="12"/>
      <c r="S163" s="12"/>
      <c r="T163" s="12"/>
      <c r="U163" s="12"/>
      <c r="V163" s="12"/>
      <c r="W163" s="12"/>
      <c r="X163" s="12"/>
      <c r="Y163" s="12"/>
      <c r="Z163" s="12"/>
      <c r="AA163" s="12"/>
      <c r="AB163" s="12"/>
    </row>
    <row r="164" spans="1:28">
      <c r="B164" s="787" t="s">
        <v>468</v>
      </c>
      <c r="C164" s="784" t="s">
        <v>50</v>
      </c>
      <c r="D164" s="786">
        <f>SUM(E164:XN164)</f>
        <v>175264.04891651956</v>
      </c>
      <c r="E164" s="68">
        <f>E158*E161</f>
        <v>6998.3328518526178</v>
      </c>
      <c r="F164" s="68">
        <f>F158*F161</f>
        <v>7035.6146601404907</v>
      </c>
      <c r="G164" s="68">
        <f>G158*G161</f>
        <v>7003.8584946791998</v>
      </c>
      <c r="H164" s="68">
        <f>H158*H161</f>
        <v>8980.2119037352004</v>
      </c>
      <c r="I164" s="68">
        <f>I158*I161</f>
        <v>9777.0275002304006</v>
      </c>
      <c r="J164" s="68">
        <f>J158*J161</f>
        <v>6536.4804547456006</v>
      </c>
      <c r="K164" s="68">
        <f>K158*K161</f>
        <v>52114.712927213943</v>
      </c>
      <c r="L164" s="68">
        <f>L158*L161</f>
        <v>67606.020372450119</v>
      </c>
      <c r="M164" s="68">
        <f>M158*M161</f>
        <v>9211.7897514719989</v>
      </c>
      <c r="N164" s="68"/>
      <c r="R164" s="12"/>
      <c r="S164" s="12"/>
      <c r="T164" s="12"/>
      <c r="U164" s="12"/>
      <c r="V164" s="12"/>
      <c r="W164" s="12"/>
      <c r="X164" s="12"/>
      <c r="Y164" s="12"/>
      <c r="Z164" s="12"/>
      <c r="AA164" s="12"/>
      <c r="AB164" s="12"/>
    </row>
    <row r="165" spans="1:28">
      <c r="B165" s="787" t="s">
        <v>111</v>
      </c>
      <c r="C165" s="784" t="s">
        <v>50</v>
      </c>
      <c r="D165" s="786">
        <f>SUM(E165:XN165)</f>
        <v>565972.68369021988</v>
      </c>
      <c r="E165" s="68">
        <f>E162-E164</f>
        <v>42547.386453298663</v>
      </c>
      <c r="F165" s="68">
        <f>F162-F164</f>
        <v>45567.111770816446</v>
      </c>
      <c r="G165" s="68">
        <f>G162-G164</f>
        <v>42088.60758952079</v>
      </c>
      <c r="H165" s="68">
        <f>H162-H164</f>
        <v>53965.198636464796</v>
      </c>
      <c r="I165" s="68">
        <f>I162-I164</f>
        <v>58753.539090169608</v>
      </c>
      <c r="J165" s="68">
        <f>J162-J164</f>
        <v>39279.971330854401</v>
      </c>
      <c r="K165" s="68">
        <f>K162-K164</f>
        <v>105663.77575150716</v>
      </c>
      <c r="L165" s="68">
        <f>L162-L164</f>
        <v>137072.75690194013</v>
      </c>
      <c r="M165" s="68">
        <f>M162-M164</f>
        <v>41034.336165647997</v>
      </c>
      <c r="N165" s="68"/>
      <c r="R165" s="12"/>
      <c r="S165" s="12"/>
      <c r="T165" s="12"/>
      <c r="U165" s="12"/>
      <c r="V165" s="12"/>
      <c r="W165" s="12"/>
      <c r="X165" s="12"/>
      <c r="Y165" s="12"/>
      <c r="Z165" s="12"/>
      <c r="AA165" s="12"/>
      <c r="AB165" s="12"/>
    </row>
    <row r="166" spans="1:28" ht="12" thickBot="1">
      <c r="B166" s="833"/>
      <c r="C166" s="834" t="s">
        <v>49</v>
      </c>
      <c r="D166" s="835"/>
      <c r="E166" s="836">
        <f>E165/$D165</f>
        <v>7.5175689003016619E-2</v>
      </c>
      <c r="F166" s="836">
        <f>F165/$D165</f>
        <v>8.0511150244412147E-2</v>
      </c>
      <c r="G166" s="836">
        <f>G165/$D165</f>
        <v>7.4365086518128884E-2</v>
      </c>
      <c r="H166" s="836">
        <f>H165/$D165</f>
        <v>9.5349475675405859E-2</v>
      </c>
      <c r="I166" s="836">
        <f>I165/$D165</f>
        <v>0.10380984945614059</v>
      </c>
      <c r="J166" s="836">
        <f>J165/$D165</f>
        <v>6.9402592144100619E-2</v>
      </c>
      <c r="K166" s="836">
        <f>K165/$D165</f>
        <v>0.18669412640653393</v>
      </c>
      <c r="L166" s="836">
        <f>L165/$D165</f>
        <v>0.24218970429492614</v>
      </c>
      <c r="M166" s="836">
        <f>M165/$D165</f>
        <v>7.2502326257335381E-2</v>
      </c>
      <c r="N166" s="836"/>
      <c r="R166" s="12"/>
      <c r="S166" s="12"/>
      <c r="T166" s="12"/>
      <c r="U166" s="12"/>
      <c r="V166" s="12"/>
      <c r="W166" s="12"/>
      <c r="X166" s="12"/>
      <c r="Y166" s="12"/>
      <c r="Z166" s="12"/>
      <c r="AA166" s="12"/>
      <c r="AB166" s="12"/>
    </row>
    <row r="167" spans="1:28" ht="12" thickBot="1">
      <c r="B167" s="12"/>
      <c r="C167" s="12"/>
      <c r="E167" s="12"/>
      <c r="F167" s="12"/>
      <c r="G167" s="12"/>
      <c r="H167" s="12"/>
      <c r="I167" s="12"/>
      <c r="L167" s="7"/>
      <c r="M167" s="768"/>
      <c r="R167" s="12"/>
      <c r="S167" s="12"/>
      <c r="T167" s="12"/>
      <c r="U167" s="12"/>
      <c r="V167" s="12"/>
      <c r="W167" s="12"/>
      <c r="X167" s="12"/>
      <c r="Y167" s="12"/>
      <c r="Z167" s="12"/>
      <c r="AA167" s="12"/>
      <c r="AB167" s="12"/>
    </row>
    <row r="168" spans="1:28">
      <c r="A168" s="12"/>
      <c r="B168" s="863" t="s">
        <v>129</v>
      </c>
      <c r="C168" s="839" t="s">
        <v>50</v>
      </c>
      <c r="D168" s="864">
        <f>$E$12</f>
        <v>164197.57</v>
      </c>
      <c r="E168" s="840"/>
      <c r="F168" s="840"/>
      <c r="G168" s="840"/>
      <c r="H168" s="840"/>
      <c r="I168" s="841"/>
      <c r="J168" s="841"/>
      <c r="K168" s="841"/>
      <c r="L168" s="841"/>
      <c r="M168" s="841"/>
      <c r="N168" s="841"/>
      <c r="R168" s="12"/>
      <c r="S168" s="12"/>
      <c r="T168" s="12"/>
      <c r="U168" s="12"/>
      <c r="V168" s="12"/>
      <c r="W168" s="12"/>
      <c r="X168" s="12"/>
      <c r="Y168" s="12"/>
      <c r="Z168" s="12"/>
      <c r="AA168" s="12"/>
      <c r="AB168" s="12"/>
    </row>
    <row r="169" spans="1:28">
      <c r="A169" s="12"/>
      <c r="B169" s="842" t="s">
        <v>167</v>
      </c>
      <c r="C169" s="16" t="s">
        <v>50</v>
      </c>
      <c r="D169" s="843"/>
      <c r="E169" s="826">
        <f>E157</f>
        <v>8</v>
      </c>
      <c r="F169" s="826">
        <f>F157</f>
        <v>8</v>
      </c>
      <c r="G169" s="826">
        <f>G157</f>
        <v>7.5</v>
      </c>
      <c r="H169" s="826">
        <f>H157</f>
        <v>7.5</v>
      </c>
      <c r="I169" s="826">
        <f>I157</f>
        <v>7.5</v>
      </c>
      <c r="J169" s="826">
        <f>J157</f>
        <v>7.5</v>
      </c>
      <c r="K169" s="826">
        <f>K157</f>
        <v>3.3</v>
      </c>
      <c r="L169" s="826">
        <f>L157</f>
        <v>3.3</v>
      </c>
      <c r="M169" s="826">
        <f>M157</f>
        <v>6</v>
      </c>
      <c r="N169" s="826"/>
      <c r="R169" s="12"/>
      <c r="S169" s="12"/>
      <c r="T169" s="12"/>
      <c r="U169" s="12"/>
      <c r="V169" s="12"/>
      <c r="W169" s="12"/>
      <c r="X169" s="12"/>
      <c r="Y169" s="12"/>
      <c r="Z169" s="12"/>
      <c r="AA169" s="12"/>
      <c r="AB169" s="12"/>
    </row>
    <row r="170" spans="1:28">
      <c r="A170" s="872" t="s">
        <v>178</v>
      </c>
      <c r="B170" s="873" t="s">
        <v>165</v>
      </c>
      <c r="C170" s="16" t="s">
        <v>50</v>
      </c>
      <c r="D170" s="843"/>
      <c r="E170" s="727">
        <f>E158</f>
        <v>1.1299999999999999</v>
      </c>
      <c r="F170" s="727">
        <f>F158</f>
        <v>1.07</v>
      </c>
      <c r="G170" s="727">
        <f>G158</f>
        <v>1.07</v>
      </c>
      <c r="H170" s="727">
        <f>H158</f>
        <v>1.07</v>
      </c>
      <c r="I170" s="727">
        <f>I158</f>
        <v>1.07</v>
      </c>
      <c r="J170" s="727">
        <f>J158</f>
        <v>1.07</v>
      </c>
      <c r="K170" s="727">
        <f>K158</f>
        <v>1.0900000000000001</v>
      </c>
      <c r="L170" s="727">
        <f>L158</f>
        <v>1.0900000000000001</v>
      </c>
      <c r="M170" s="727">
        <f>M158</f>
        <v>1.1000000000000001</v>
      </c>
      <c r="N170" s="913"/>
      <c r="O170" s="914"/>
      <c r="P170" s="914"/>
      <c r="R170" s="12"/>
      <c r="S170" s="12"/>
      <c r="T170" s="12"/>
      <c r="U170" s="12"/>
      <c r="V170" s="12"/>
      <c r="W170" s="12"/>
      <c r="X170" s="12"/>
      <c r="Y170" s="12"/>
      <c r="Z170" s="12"/>
      <c r="AA170" s="12"/>
      <c r="AB170" s="12"/>
    </row>
    <row r="171" spans="1:28">
      <c r="A171" s="12"/>
      <c r="B171" s="842" t="s">
        <v>164</v>
      </c>
      <c r="C171" s="16" t="s">
        <v>50</v>
      </c>
      <c r="D171" s="843"/>
      <c r="E171" s="826">
        <f>E169-E170</f>
        <v>6.87</v>
      </c>
      <c r="F171" s="826">
        <f>F169-F170</f>
        <v>6.93</v>
      </c>
      <c r="G171" s="826">
        <f>G169-G170</f>
        <v>6.43</v>
      </c>
      <c r="H171" s="826">
        <f>H169-H170</f>
        <v>6.43</v>
      </c>
      <c r="I171" s="826">
        <f>I169-I170</f>
        <v>6.43</v>
      </c>
      <c r="J171" s="826">
        <f>J169-J170</f>
        <v>6.43</v>
      </c>
      <c r="K171" s="826">
        <f>K169-K170</f>
        <v>2.21</v>
      </c>
      <c r="L171" s="826">
        <f>L169-L170</f>
        <v>2.21</v>
      </c>
      <c r="M171" s="826">
        <f>M169-M170</f>
        <v>4.9000000000000004</v>
      </c>
      <c r="N171" s="826"/>
      <c r="R171" s="12"/>
      <c r="S171" s="12"/>
      <c r="T171" s="12"/>
      <c r="U171" s="12"/>
      <c r="V171" s="12"/>
      <c r="W171" s="12"/>
      <c r="X171" s="12"/>
      <c r="Y171" s="12"/>
      <c r="Z171" s="12"/>
      <c r="AA171" s="12"/>
      <c r="AB171" s="12"/>
    </row>
    <row r="172" spans="1:28">
      <c r="A172" s="12"/>
      <c r="B172" s="842" t="s">
        <v>163</v>
      </c>
      <c r="C172" s="16" t="s">
        <v>49</v>
      </c>
      <c r="D172" s="856">
        <f>(D174-D176)/D174</f>
        <v>0.76355185704280881</v>
      </c>
      <c r="E172" s="830">
        <f>E171/E169</f>
        <v>0.85875000000000001</v>
      </c>
      <c r="F172" s="830">
        <f>F171/F169</f>
        <v>0.86624999999999996</v>
      </c>
      <c r="G172" s="830">
        <f>G171/G169</f>
        <v>0.85733333333333328</v>
      </c>
      <c r="H172" s="830">
        <f>H171/H169</f>
        <v>0.85733333333333328</v>
      </c>
      <c r="I172" s="830">
        <f>I171/I169</f>
        <v>0.85733333333333328</v>
      </c>
      <c r="J172" s="830">
        <f>J171/J169</f>
        <v>0.85733333333333328</v>
      </c>
      <c r="K172" s="830">
        <f>K171/K169</f>
        <v>0.66969696969696968</v>
      </c>
      <c r="L172" s="830">
        <f>L171/L169</f>
        <v>0.66969696969696968</v>
      </c>
      <c r="M172" s="830">
        <f>M171/M169</f>
        <v>0.81666666666666676</v>
      </c>
      <c r="N172" s="830"/>
      <c r="R172" s="12"/>
      <c r="S172" s="12"/>
      <c r="T172" s="12"/>
      <c r="U172" s="12"/>
      <c r="V172" s="12"/>
      <c r="W172" s="12"/>
      <c r="X172" s="12"/>
      <c r="Y172" s="12"/>
      <c r="Z172" s="12"/>
      <c r="AA172" s="12"/>
      <c r="AB172" s="12"/>
    </row>
    <row r="173" spans="1:28">
      <c r="A173" s="12"/>
      <c r="B173" s="842" t="s">
        <v>162</v>
      </c>
      <c r="C173" s="16" t="s">
        <v>161</v>
      </c>
      <c r="D173" s="843"/>
      <c r="E173" s="831">
        <f>161:161</f>
        <v>6193.2149131439101</v>
      </c>
      <c r="F173" s="831">
        <f>161:161</f>
        <v>6575.340803869617</v>
      </c>
      <c r="G173" s="831">
        <f>161:161</f>
        <v>6545.6621445599994</v>
      </c>
      <c r="H173" s="831">
        <f>161:161</f>
        <v>8392.7214053600001</v>
      </c>
      <c r="I173" s="831">
        <f>161:161</f>
        <v>9137.4088787199998</v>
      </c>
      <c r="J173" s="831">
        <f>161:161</f>
        <v>6108.8602380800003</v>
      </c>
      <c r="K173" s="831">
        <f>161:161</f>
        <v>47811.663235976092</v>
      </c>
      <c r="L173" s="831">
        <f>161:161</f>
        <v>62023.871901330385</v>
      </c>
      <c r="M173" s="831">
        <f>161:161</f>
        <v>8374.3543195199982</v>
      </c>
      <c r="N173" s="831"/>
      <c r="R173" s="12"/>
      <c r="S173" s="12"/>
      <c r="T173" s="12"/>
      <c r="U173" s="12"/>
      <c r="V173" s="12"/>
      <c r="W173" s="12"/>
      <c r="X173" s="12"/>
      <c r="Y173" s="12"/>
      <c r="Z173" s="12"/>
      <c r="AA173" s="12"/>
      <c r="AB173" s="12"/>
    </row>
    <row r="174" spans="1:28">
      <c r="A174" s="12"/>
      <c r="B174" s="842" t="s">
        <v>113</v>
      </c>
      <c r="C174" s="16" t="s">
        <v>50</v>
      </c>
      <c r="D174" s="845">
        <f>SUM(E174:XN174)</f>
        <v>741236.7326067395</v>
      </c>
      <c r="E174" s="68">
        <f>E169*E173</f>
        <v>49545.71930515128</v>
      </c>
      <c r="F174" s="68">
        <f>F169*F173</f>
        <v>52602.726430956936</v>
      </c>
      <c r="G174" s="68">
        <f>G169*G173</f>
        <v>49092.466084199994</v>
      </c>
      <c r="H174" s="68">
        <f>H169*H173</f>
        <v>62945.410540199999</v>
      </c>
      <c r="I174" s="68">
        <f>I169*I173</f>
        <v>68530.566590400005</v>
      </c>
      <c r="J174" s="68">
        <f>J169*J173</f>
        <v>45816.451785600002</v>
      </c>
      <c r="K174" s="68">
        <f>K169*K173</f>
        <v>157778.4886787211</v>
      </c>
      <c r="L174" s="68">
        <f>L169*L173</f>
        <v>204678.77727439025</v>
      </c>
      <c r="M174" s="68">
        <f>M169*M173</f>
        <v>50246.125917119993</v>
      </c>
      <c r="N174" s="68"/>
      <c r="R174" s="12"/>
      <c r="S174" s="12"/>
      <c r="T174" s="12"/>
      <c r="U174" s="12"/>
      <c r="V174" s="12"/>
      <c r="W174" s="12"/>
      <c r="X174" s="12"/>
      <c r="Y174" s="12"/>
      <c r="Z174" s="12"/>
      <c r="AA174" s="12"/>
      <c r="AB174" s="12"/>
    </row>
    <row r="175" spans="1:28">
      <c r="A175" s="12"/>
      <c r="B175" s="842" t="s">
        <v>176</v>
      </c>
      <c r="C175" s="16" t="s">
        <v>49</v>
      </c>
      <c r="D175" s="857"/>
      <c r="E175" s="830">
        <f>E174/$D174</f>
        <v>6.6841964416565938E-2</v>
      </c>
      <c r="F175" s="830">
        <f>F174/$D174</f>
        <v>7.0966162518641837E-2</v>
      </c>
      <c r="G175" s="830">
        <f>G174/$D174</f>
        <v>6.6230482010186387E-2</v>
      </c>
      <c r="H175" s="830">
        <f>H174/$D174</f>
        <v>8.4919443102660516E-2</v>
      </c>
      <c r="I175" s="830">
        <f>I174/$D174</f>
        <v>9.245435847383815E-2</v>
      </c>
      <c r="J175" s="830">
        <f>J174/$D174</f>
        <v>6.1810822062845279E-2</v>
      </c>
      <c r="K175" s="830">
        <f>K174/$D174</f>
        <v>0.21285843204755195</v>
      </c>
      <c r="L175" s="830">
        <f>L174/$D174</f>
        <v>0.27613145473051165</v>
      </c>
      <c r="M175" s="830">
        <f>M174/$D174</f>
        <v>6.7786880637198399E-2</v>
      </c>
      <c r="N175" s="830"/>
      <c r="R175" s="12"/>
      <c r="S175" s="12"/>
      <c r="T175" s="12"/>
      <c r="U175" s="12"/>
      <c r="V175" s="12"/>
      <c r="W175" s="12"/>
      <c r="X175" s="12"/>
      <c r="Y175" s="12"/>
      <c r="Z175" s="12"/>
      <c r="AA175" s="12"/>
      <c r="AB175" s="12"/>
    </row>
    <row r="176" spans="1:28">
      <c r="A176" s="12"/>
      <c r="B176" s="842" t="s">
        <v>468</v>
      </c>
      <c r="C176" s="16" t="s">
        <v>50</v>
      </c>
      <c r="D176" s="845">
        <f>SUM(E176:XN176)</f>
        <v>175264.04891651956</v>
      </c>
      <c r="E176" s="68">
        <f>E170*E173</f>
        <v>6998.3328518526178</v>
      </c>
      <c r="F176" s="68">
        <f>F170*F173</f>
        <v>7035.6146601404907</v>
      </c>
      <c r="G176" s="68">
        <f>G170*G173</f>
        <v>7003.8584946791998</v>
      </c>
      <c r="H176" s="68">
        <f>H170*H173</f>
        <v>8980.2119037352004</v>
      </c>
      <c r="I176" s="68">
        <f>I170*I173</f>
        <v>9777.0275002304006</v>
      </c>
      <c r="J176" s="68">
        <f>J170*J173</f>
        <v>6536.4804547456006</v>
      </c>
      <c r="K176" s="68">
        <f>K170*K173</f>
        <v>52114.712927213943</v>
      </c>
      <c r="L176" s="68">
        <f>L170*L173</f>
        <v>67606.020372450119</v>
      </c>
      <c r="M176" s="68">
        <f>M170*M173</f>
        <v>9211.7897514719989</v>
      </c>
      <c r="N176" s="68"/>
      <c r="R176" s="12"/>
      <c r="S176" s="12"/>
      <c r="T176" s="12"/>
      <c r="U176" s="12"/>
      <c r="V176" s="12"/>
      <c r="W176" s="12"/>
      <c r="X176" s="12"/>
      <c r="Y176" s="12"/>
      <c r="Z176" s="12"/>
      <c r="AA176" s="12"/>
      <c r="AB176" s="12"/>
    </row>
    <row r="177" spans="1:28">
      <c r="A177" s="12"/>
      <c r="B177" s="842" t="s">
        <v>111</v>
      </c>
      <c r="C177" s="16" t="s">
        <v>50</v>
      </c>
      <c r="D177" s="845">
        <f>SUM(E177:XN177)</f>
        <v>565972.68369021988</v>
      </c>
      <c r="E177" s="68">
        <f>E174-E176</f>
        <v>42547.386453298663</v>
      </c>
      <c r="F177" s="68">
        <f>F174-F176</f>
        <v>45567.111770816446</v>
      </c>
      <c r="G177" s="68">
        <f>G174-G176</f>
        <v>42088.60758952079</v>
      </c>
      <c r="H177" s="68">
        <f>H174-H176</f>
        <v>53965.198636464796</v>
      </c>
      <c r="I177" s="68">
        <f>I174-I176</f>
        <v>58753.539090169608</v>
      </c>
      <c r="J177" s="68">
        <f>J174-J176</f>
        <v>39279.971330854401</v>
      </c>
      <c r="K177" s="68">
        <f>K174-K176</f>
        <v>105663.77575150716</v>
      </c>
      <c r="L177" s="68">
        <f>L174-L176</f>
        <v>137072.75690194013</v>
      </c>
      <c r="M177" s="68">
        <f>M174-M176</f>
        <v>41034.336165647997</v>
      </c>
      <c r="N177" s="68"/>
      <c r="R177" s="12"/>
      <c r="S177" s="12"/>
      <c r="T177" s="12"/>
      <c r="U177" s="12"/>
      <c r="V177" s="12"/>
      <c r="W177" s="12"/>
      <c r="X177" s="12"/>
      <c r="Y177" s="12"/>
      <c r="Z177" s="12"/>
      <c r="AA177" s="12"/>
      <c r="AB177" s="12"/>
    </row>
    <row r="178" spans="1:28">
      <c r="A178" s="12"/>
      <c r="B178" s="842"/>
      <c r="C178" s="16" t="s">
        <v>49</v>
      </c>
      <c r="D178" s="843"/>
      <c r="E178" s="830">
        <f>E177/$D177</f>
        <v>7.5175689003016619E-2</v>
      </c>
      <c r="F178" s="830">
        <f>F177/$D177</f>
        <v>8.0511150244412147E-2</v>
      </c>
      <c r="G178" s="830">
        <f>G177/$D177</f>
        <v>7.4365086518128884E-2</v>
      </c>
      <c r="H178" s="830">
        <f>H177/$D177</f>
        <v>9.5349475675405859E-2</v>
      </c>
      <c r="I178" s="830">
        <f>I177/$D177</f>
        <v>0.10380984945614059</v>
      </c>
      <c r="J178" s="830">
        <f>J177/$D177</f>
        <v>6.9402592144100619E-2</v>
      </c>
      <c r="K178" s="830">
        <f>K177/$D177</f>
        <v>0.18669412640653393</v>
      </c>
      <c r="L178" s="830">
        <f>L177/$D177</f>
        <v>0.24218970429492614</v>
      </c>
      <c r="M178" s="830">
        <f>M177/$D177</f>
        <v>7.2502326257335381E-2</v>
      </c>
      <c r="N178" s="830"/>
      <c r="R178" s="12"/>
      <c r="S178" s="12"/>
      <c r="T178" s="12"/>
      <c r="U178" s="12"/>
      <c r="V178" s="12"/>
      <c r="W178" s="12"/>
      <c r="X178" s="12"/>
      <c r="Y178" s="12"/>
      <c r="Z178" s="12"/>
      <c r="AA178" s="12"/>
      <c r="AB178" s="12"/>
    </row>
    <row r="179" spans="1:28">
      <c r="A179" s="12"/>
      <c r="B179" s="847" t="s">
        <v>175</v>
      </c>
      <c r="C179" s="798" t="s">
        <v>174</v>
      </c>
      <c r="D179" s="848">
        <f>D168/D177*12</f>
        <v>3.4813885842562415</v>
      </c>
      <c r="F179" s="12"/>
      <c r="G179" s="12"/>
      <c r="H179" s="12"/>
      <c r="J179" s="12"/>
      <c r="L179" s="7"/>
      <c r="M179" s="768"/>
      <c r="R179" s="12"/>
      <c r="S179" s="12"/>
      <c r="T179" s="12"/>
      <c r="U179" s="12"/>
      <c r="V179" s="12"/>
      <c r="W179" s="12"/>
      <c r="X179" s="12"/>
      <c r="Y179" s="12"/>
      <c r="Z179" s="12"/>
      <c r="AA179" s="12"/>
      <c r="AB179" s="12"/>
    </row>
    <row r="180" spans="1:28" ht="12" thickBot="1">
      <c r="A180" s="12"/>
      <c r="B180" s="849" t="s">
        <v>173</v>
      </c>
      <c r="C180" s="850" t="s">
        <v>172</v>
      </c>
      <c r="D180" s="874">
        <f>D168/D172</f>
        <v>215044.42492737493</v>
      </c>
      <c r="E180" s="852"/>
      <c r="F180" s="853"/>
      <c r="G180" s="853"/>
      <c r="H180" s="853"/>
      <c r="I180" s="852"/>
      <c r="J180" s="853"/>
      <c r="K180" s="852"/>
      <c r="L180" s="852"/>
      <c r="M180" s="854"/>
      <c r="N180" s="852"/>
      <c r="R180" s="12"/>
      <c r="S180" s="12"/>
      <c r="T180" s="12"/>
      <c r="U180" s="12"/>
      <c r="V180" s="12"/>
      <c r="W180" s="12"/>
      <c r="X180" s="12"/>
      <c r="Y180" s="12"/>
      <c r="Z180" s="12"/>
      <c r="AA180" s="12"/>
      <c r="AB180" s="12"/>
    </row>
    <row r="181" spans="1:28" ht="12" thickBot="1">
      <c r="A181" s="12"/>
      <c r="B181" s="12"/>
      <c r="C181" s="12"/>
      <c r="D181" s="12"/>
      <c r="E181" s="768"/>
      <c r="F181" s="12"/>
      <c r="G181" s="12"/>
      <c r="H181" s="12"/>
      <c r="J181" s="12"/>
      <c r="L181" s="7"/>
      <c r="M181" s="768"/>
      <c r="R181" s="12"/>
      <c r="S181" s="12"/>
      <c r="T181" s="12"/>
      <c r="U181" s="12"/>
      <c r="V181" s="12"/>
      <c r="W181" s="12"/>
      <c r="X181" s="12"/>
      <c r="Y181" s="12"/>
      <c r="Z181" s="12"/>
      <c r="AA181" s="12"/>
      <c r="AB181" s="12"/>
    </row>
    <row r="182" spans="1:28">
      <c r="A182" s="12"/>
      <c r="B182" s="863" t="s">
        <v>129</v>
      </c>
      <c r="C182" s="839" t="s">
        <v>50</v>
      </c>
      <c r="D182" s="864">
        <f>$E$12</f>
        <v>164197.57</v>
      </c>
      <c r="E182" s="840"/>
      <c r="F182" s="840"/>
      <c r="G182" s="840"/>
      <c r="H182" s="840"/>
      <c r="I182" s="841"/>
      <c r="J182" s="841"/>
      <c r="K182" s="841"/>
      <c r="L182" s="841"/>
      <c r="M182" s="841"/>
      <c r="N182" s="841"/>
      <c r="R182" s="12"/>
      <c r="S182" s="12"/>
      <c r="T182" s="12"/>
      <c r="U182" s="12"/>
      <c r="V182" s="12"/>
      <c r="W182" s="12"/>
      <c r="X182" s="12"/>
      <c r="Y182" s="12"/>
      <c r="Z182" s="12"/>
      <c r="AA182" s="12"/>
      <c r="AB182" s="12"/>
    </row>
    <row r="183" spans="1:28">
      <c r="A183" s="12"/>
      <c r="B183" s="842" t="s">
        <v>167</v>
      </c>
      <c r="C183" s="16" t="s">
        <v>50</v>
      </c>
      <c r="D183" s="843"/>
      <c r="E183" s="826">
        <f>E169</f>
        <v>8</v>
      </c>
      <c r="F183" s="826">
        <f>F169</f>
        <v>8</v>
      </c>
      <c r="G183" s="826">
        <f>G169</f>
        <v>7.5</v>
      </c>
      <c r="H183" s="826">
        <f>H169</f>
        <v>7.5</v>
      </c>
      <c r="I183" s="826">
        <f>I169</f>
        <v>7.5</v>
      </c>
      <c r="J183" s="826">
        <f>J169</f>
        <v>7.5</v>
      </c>
      <c r="K183" s="826">
        <f>K169</f>
        <v>3.3</v>
      </c>
      <c r="L183" s="826">
        <f>L169</f>
        <v>3.3</v>
      </c>
      <c r="M183" s="826">
        <f>M169</f>
        <v>6</v>
      </c>
      <c r="N183" s="826"/>
      <c r="R183" s="12"/>
      <c r="S183" s="12"/>
      <c r="T183" s="12"/>
      <c r="U183" s="12"/>
      <c r="V183" s="12"/>
      <c r="W183" s="12"/>
      <c r="X183" s="12"/>
      <c r="Y183" s="12"/>
      <c r="Z183" s="12"/>
      <c r="AA183" s="12"/>
      <c r="AB183" s="12"/>
    </row>
    <row r="184" spans="1:28">
      <c r="A184" s="872" t="s">
        <v>177</v>
      </c>
      <c r="B184" s="873" t="s">
        <v>165</v>
      </c>
      <c r="C184" s="16" t="s">
        <v>50</v>
      </c>
      <c r="D184" s="843"/>
      <c r="E184" s="727">
        <f>E170</f>
        <v>1.1299999999999999</v>
      </c>
      <c r="F184" s="727">
        <f>F170</f>
        <v>1.07</v>
      </c>
      <c r="G184" s="727">
        <f>G170</f>
        <v>1.07</v>
      </c>
      <c r="H184" s="727">
        <f>H170</f>
        <v>1.07</v>
      </c>
      <c r="I184" s="727">
        <f>I170</f>
        <v>1.07</v>
      </c>
      <c r="J184" s="727">
        <f>J170</f>
        <v>1.07</v>
      </c>
      <c r="K184" s="727">
        <f>K170</f>
        <v>1.0900000000000001</v>
      </c>
      <c r="L184" s="727">
        <f>L170</f>
        <v>1.0900000000000001</v>
      </c>
      <c r="M184" s="727">
        <f>M170</f>
        <v>1.1000000000000001</v>
      </c>
      <c r="N184" s="913"/>
      <c r="O184" s="914"/>
      <c r="P184" s="914"/>
      <c r="R184" s="12"/>
      <c r="S184" s="12"/>
      <c r="T184" s="12"/>
      <c r="U184" s="12"/>
      <c r="V184" s="12"/>
      <c r="W184" s="12"/>
      <c r="X184" s="12"/>
      <c r="Y184" s="12"/>
      <c r="Z184" s="12"/>
      <c r="AA184" s="12"/>
      <c r="AB184" s="12"/>
    </row>
    <row r="185" spans="1:28">
      <c r="A185" s="12"/>
      <c r="B185" s="842" t="s">
        <v>164</v>
      </c>
      <c r="C185" s="16" t="s">
        <v>50</v>
      </c>
      <c r="D185" s="843"/>
      <c r="E185" s="826">
        <f>E183-E184</f>
        <v>6.87</v>
      </c>
      <c r="F185" s="826">
        <f>F183-F184</f>
        <v>6.93</v>
      </c>
      <c r="G185" s="826">
        <f>G183-G184</f>
        <v>6.43</v>
      </c>
      <c r="H185" s="826">
        <f>H183-H184</f>
        <v>6.43</v>
      </c>
      <c r="I185" s="826">
        <f>I183-I184</f>
        <v>6.43</v>
      </c>
      <c r="J185" s="826">
        <f>J183-J184</f>
        <v>6.43</v>
      </c>
      <c r="K185" s="826">
        <f>K183-K184</f>
        <v>2.21</v>
      </c>
      <c r="L185" s="826">
        <f>L183-L184</f>
        <v>2.21</v>
      </c>
      <c r="M185" s="826">
        <f>M183-M184</f>
        <v>4.9000000000000004</v>
      </c>
      <c r="N185" s="826"/>
      <c r="R185" s="12"/>
      <c r="S185" s="12"/>
      <c r="T185" s="12"/>
      <c r="U185" s="12"/>
      <c r="V185" s="12"/>
      <c r="W185" s="12"/>
      <c r="X185" s="12"/>
      <c r="Y185" s="12"/>
      <c r="Z185" s="12"/>
      <c r="AA185" s="12"/>
      <c r="AB185" s="12"/>
    </row>
    <row r="186" spans="1:28">
      <c r="A186" s="12"/>
      <c r="B186" s="842" t="s">
        <v>163</v>
      </c>
      <c r="C186" s="16" t="s">
        <v>49</v>
      </c>
      <c r="D186" s="856">
        <f>(D188-D190)/D188</f>
        <v>0.76355185704280881</v>
      </c>
      <c r="E186" s="830">
        <f>E185/E183</f>
        <v>0.85875000000000001</v>
      </c>
      <c r="F186" s="830">
        <f>F185/F183</f>
        <v>0.86624999999999996</v>
      </c>
      <c r="G186" s="830">
        <f>G185/G183</f>
        <v>0.85733333333333328</v>
      </c>
      <c r="H186" s="830">
        <f>H185/H183</f>
        <v>0.85733333333333328</v>
      </c>
      <c r="I186" s="830">
        <f>I185/I183</f>
        <v>0.85733333333333328</v>
      </c>
      <c r="J186" s="830">
        <f>J185/J183</f>
        <v>0.85733333333333328</v>
      </c>
      <c r="K186" s="830">
        <f>K185/K183</f>
        <v>0.66969696969696968</v>
      </c>
      <c r="L186" s="830">
        <f>L185/L183</f>
        <v>0.66969696969696968</v>
      </c>
      <c r="M186" s="830">
        <f>M185/M183</f>
        <v>0.81666666666666676</v>
      </c>
      <c r="N186" s="830"/>
      <c r="R186" s="12"/>
      <c r="S186" s="12"/>
      <c r="T186" s="12"/>
      <c r="U186" s="12"/>
      <c r="V186" s="12"/>
      <c r="W186" s="12"/>
      <c r="X186" s="12"/>
      <c r="Y186" s="12"/>
      <c r="Z186" s="12"/>
      <c r="AA186" s="12"/>
      <c r="AB186" s="12"/>
    </row>
    <row r="187" spans="1:28">
      <c r="A187" s="795"/>
      <c r="B187" s="842" t="s">
        <v>162</v>
      </c>
      <c r="C187" s="16" t="s">
        <v>161</v>
      </c>
      <c r="D187" s="843"/>
      <c r="E187" s="831">
        <f>E161</f>
        <v>6193.2149131439101</v>
      </c>
      <c r="F187" s="831">
        <f>F161</f>
        <v>6575.340803869617</v>
      </c>
      <c r="G187" s="831">
        <f>G161</f>
        <v>6545.6621445599994</v>
      </c>
      <c r="H187" s="831">
        <f>H161</f>
        <v>8392.7214053600001</v>
      </c>
      <c r="I187" s="831">
        <f>I161</f>
        <v>9137.4088787199998</v>
      </c>
      <c r="J187" s="831">
        <f>J161</f>
        <v>6108.8602380800003</v>
      </c>
      <c r="K187" s="831">
        <f>K161</f>
        <v>47811.663235976092</v>
      </c>
      <c r="L187" s="831">
        <f>L161</f>
        <v>62023.871901330385</v>
      </c>
      <c r="M187" s="831">
        <f>M161</f>
        <v>8374.3543195199982</v>
      </c>
      <c r="N187" s="831"/>
      <c r="R187" s="12"/>
      <c r="S187" s="12"/>
      <c r="T187" s="12"/>
      <c r="U187" s="12"/>
      <c r="V187" s="12"/>
      <c r="W187" s="12"/>
      <c r="X187" s="12"/>
      <c r="Y187" s="12"/>
      <c r="Z187" s="12"/>
      <c r="AA187" s="12"/>
      <c r="AB187" s="12"/>
    </row>
    <row r="188" spans="1:28">
      <c r="A188" s="795"/>
      <c r="B188" s="842" t="s">
        <v>113</v>
      </c>
      <c r="C188" s="16" t="s">
        <v>50</v>
      </c>
      <c r="D188" s="845">
        <f>SUM(E188:XN188)</f>
        <v>741236.7326067395</v>
      </c>
      <c r="E188" s="68">
        <f>E183*E187</f>
        <v>49545.71930515128</v>
      </c>
      <c r="F188" s="68">
        <f>F183*F187</f>
        <v>52602.726430956936</v>
      </c>
      <c r="G188" s="68">
        <f>G183*G187</f>
        <v>49092.466084199994</v>
      </c>
      <c r="H188" s="68">
        <f>H183*H187</f>
        <v>62945.410540199999</v>
      </c>
      <c r="I188" s="68">
        <f>I183*I187</f>
        <v>68530.566590400005</v>
      </c>
      <c r="J188" s="68">
        <f>J183*J187</f>
        <v>45816.451785600002</v>
      </c>
      <c r="K188" s="68">
        <f>K183*K187</f>
        <v>157778.4886787211</v>
      </c>
      <c r="L188" s="68">
        <f>L183*L187</f>
        <v>204678.77727439025</v>
      </c>
      <c r="M188" s="68">
        <f>M183*M187</f>
        <v>50246.125917119993</v>
      </c>
      <c r="N188" s="68"/>
      <c r="R188" s="12"/>
      <c r="S188" s="12"/>
      <c r="T188" s="12"/>
      <c r="U188" s="12"/>
      <c r="V188" s="12"/>
      <c r="W188" s="12"/>
      <c r="X188" s="12"/>
      <c r="Y188" s="12"/>
      <c r="Z188" s="12"/>
      <c r="AA188" s="12"/>
      <c r="AB188" s="12"/>
    </row>
    <row r="189" spans="1:28">
      <c r="A189" s="12"/>
      <c r="B189" s="842" t="s">
        <v>176</v>
      </c>
      <c r="C189" s="16" t="s">
        <v>49</v>
      </c>
      <c r="D189" s="857"/>
      <c r="E189" s="830">
        <f>E188/$D188</f>
        <v>6.6841964416565938E-2</v>
      </c>
      <c r="F189" s="830">
        <f>F188/$D188</f>
        <v>7.0966162518641837E-2</v>
      </c>
      <c r="G189" s="830">
        <f>G188/$D188</f>
        <v>6.6230482010186387E-2</v>
      </c>
      <c r="H189" s="830">
        <f>H188/$D188</f>
        <v>8.4919443102660516E-2</v>
      </c>
      <c r="I189" s="830">
        <f>I188/$D188</f>
        <v>9.245435847383815E-2</v>
      </c>
      <c r="J189" s="830">
        <f>J188/$D188</f>
        <v>6.1810822062845279E-2</v>
      </c>
      <c r="K189" s="830">
        <f>K188/$D188</f>
        <v>0.21285843204755195</v>
      </c>
      <c r="L189" s="830">
        <f>L188/$D188</f>
        <v>0.27613145473051165</v>
      </c>
      <c r="M189" s="830">
        <f>M188/$D188</f>
        <v>6.7786880637198399E-2</v>
      </c>
      <c r="N189" s="830"/>
      <c r="R189" s="12"/>
      <c r="S189" s="12"/>
      <c r="T189" s="12"/>
      <c r="U189" s="12"/>
      <c r="V189" s="12"/>
      <c r="W189" s="12"/>
      <c r="X189" s="12"/>
      <c r="Y189" s="12"/>
      <c r="Z189" s="12"/>
      <c r="AA189" s="12"/>
      <c r="AB189" s="12"/>
    </row>
    <row r="190" spans="1:28">
      <c r="A190" s="12"/>
      <c r="B190" s="842" t="s">
        <v>468</v>
      </c>
      <c r="C190" s="16" t="s">
        <v>50</v>
      </c>
      <c r="D190" s="845">
        <f>SUM(E190:XN190)</f>
        <v>175264.04891651956</v>
      </c>
      <c r="E190" s="68">
        <f>E184*E187</f>
        <v>6998.3328518526178</v>
      </c>
      <c r="F190" s="68">
        <f>F184*F187</f>
        <v>7035.6146601404907</v>
      </c>
      <c r="G190" s="68">
        <f>G184*G187</f>
        <v>7003.8584946791998</v>
      </c>
      <c r="H190" s="68">
        <f>H184*H187</f>
        <v>8980.2119037352004</v>
      </c>
      <c r="I190" s="68">
        <f>I184*I187</f>
        <v>9777.0275002304006</v>
      </c>
      <c r="J190" s="68">
        <f>J184*J187</f>
        <v>6536.4804547456006</v>
      </c>
      <c r="K190" s="68">
        <f>K184*K187</f>
        <v>52114.712927213943</v>
      </c>
      <c r="L190" s="68">
        <f>L184*L187</f>
        <v>67606.020372450119</v>
      </c>
      <c r="M190" s="68">
        <f>M184*M187</f>
        <v>9211.7897514719989</v>
      </c>
      <c r="N190" s="68"/>
      <c r="R190" s="12"/>
      <c r="S190" s="12"/>
      <c r="T190" s="12"/>
      <c r="U190" s="12"/>
      <c r="V190" s="12"/>
      <c r="W190" s="12"/>
      <c r="X190" s="12"/>
      <c r="Y190" s="12"/>
      <c r="Z190" s="12"/>
      <c r="AA190" s="12"/>
      <c r="AB190" s="12"/>
    </row>
    <row r="191" spans="1:28">
      <c r="A191" s="12"/>
      <c r="B191" s="842" t="s">
        <v>111</v>
      </c>
      <c r="C191" s="16" t="s">
        <v>50</v>
      </c>
      <c r="D191" s="845">
        <f>SUM(E191:XN191)</f>
        <v>565972.68369021988</v>
      </c>
      <c r="E191" s="68">
        <f>E188-E190</f>
        <v>42547.386453298663</v>
      </c>
      <c r="F191" s="68">
        <f>F188-F190</f>
        <v>45567.111770816446</v>
      </c>
      <c r="G191" s="68">
        <f>G188-G190</f>
        <v>42088.60758952079</v>
      </c>
      <c r="H191" s="68">
        <f>H188-H190</f>
        <v>53965.198636464796</v>
      </c>
      <c r="I191" s="68">
        <f>I188-I190</f>
        <v>58753.539090169608</v>
      </c>
      <c r="J191" s="68">
        <f>J188-J190</f>
        <v>39279.971330854401</v>
      </c>
      <c r="K191" s="68">
        <f>K188-K190</f>
        <v>105663.77575150716</v>
      </c>
      <c r="L191" s="68">
        <f>L188-L190</f>
        <v>137072.75690194013</v>
      </c>
      <c r="M191" s="68">
        <f>M188-M190</f>
        <v>41034.336165647997</v>
      </c>
      <c r="N191" s="68"/>
      <c r="R191" s="12"/>
      <c r="S191" s="12"/>
      <c r="T191" s="12"/>
      <c r="U191" s="12"/>
      <c r="V191" s="12"/>
      <c r="W191" s="12"/>
      <c r="X191" s="12"/>
      <c r="Y191" s="12"/>
      <c r="Z191" s="12"/>
      <c r="AA191" s="12"/>
      <c r="AB191" s="12"/>
    </row>
    <row r="192" spans="1:28">
      <c r="A192" s="12"/>
      <c r="B192" s="842"/>
      <c r="C192" s="16" t="s">
        <v>49</v>
      </c>
      <c r="D192" s="843"/>
      <c r="E192" s="830">
        <f>E191/$D191</f>
        <v>7.5175689003016619E-2</v>
      </c>
      <c r="F192" s="830">
        <f>F191/$D191</f>
        <v>8.0511150244412147E-2</v>
      </c>
      <c r="G192" s="830">
        <f>G191/$D191</f>
        <v>7.4365086518128884E-2</v>
      </c>
      <c r="H192" s="830">
        <f>H191/$D191</f>
        <v>9.5349475675405859E-2</v>
      </c>
      <c r="I192" s="830">
        <f>I191/$D191</f>
        <v>0.10380984945614059</v>
      </c>
      <c r="J192" s="830">
        <f>J191/$D191</f>
        <v>6.9402592144100619E-2</v>
      </c>
      <c r="K192" s="830">
        <f>K191/$D191</f>
        <v>0.18669412640653393</v>
      </c>
      <c r="L192" s="830">
        <f>L191/$D191</f>
        <v>0.24218970429492614</v>
      </c>
      <c r="M192" s="830">
        <f>M191/$D191</f>
        <v>7.2502326257335381E-2</v>
      </c>
      <c r="N192" s="830"/>
      <c r="R192" s="12"/>
      <c r="S192" s="12"/>
      <c r="T192" s="12"/>
      <c r="U192" s="12"/>
      <c r="V192" s="12"/>
      <c r="W192" s="12"/>
      <c r="X192" s="12"/>
      <c r="Y192" s="12"/>
      <c r="Z192" s="12"/>
      <c r="AA192" s="12"/>
      <c r="AB192" s="12"/>
    </row>
    <row r="193" spans="1:28">
      <c r="A193" s="12"/>
      <c r="B193" s="847" t="s">
        <v>175</v>
      </c>
      <c r="C193" s="798" t="s">
        <v>174</v>
      </c>
      <c r="D193" s="875">
        <f>D182/D191*12</f>
        <v>3.4813885842562415</v>
      </c>
      <c r="F193" s="12"/>
      <c r="G193" s="12"/>
      <c r="H193" s="12"/>
      <c r="J193" s="12"/>
      <c r="K193" s="12"/>
      <c r="L193" s="12"/>
      <c r="M193" s="768"/>
      <c r="N193" s="12"/>
      <c r="R193" s="12"/>
      <c r="S193" s="12"/>
      <c r="T193" s="12"/>
      <c r="U193" s="12"/>
      <c r="V193" s="12"/>
      <c r="W193" s="12"/>
      <c r="X193" s="12"/>
      <c r="Y193" s="12"/>
      <c r="Z193" s="12"/>
      <c r="AA193" s="12"/>
      <c r="AB193" s="12"/>
    </row>
    <row r="194" spans="1:28" ht="12" thickBot="1">
      <c r="A194" s="12"/>
      <c r="B194" s="849" t="s">
        <v>173</v>
      </c>
      <c r="C194" s="850" t="s">
        <v>172</v>
      </c>
      <c r="D194" s="876">
        <f>D182/D186</f>
        <v>215044.42492737493</v>
      </c>
      <c r="E194" s="852"/>
      <c r="F194" s="853"/>
      <c r="G194" s="853"/>
      <c r="H194" s="853"/>
      <c r="I194" s="852"/>
      <c r="J194" s="853"/>
      <c r="K194" s="853"/>
      <c r="L194" s="853"/>
      <c r="M194" s="854"/>
      <c r="N194" s="853"/>
      <c r="R194" s="12"/>
      <c r="S194" s="12"/>
      <c r="T194" s="12"/>
      <c r="U194" s="12"/>
      <c r="V194" s="12"/>
      <c r="W194" s="12"/>
      <c r="X194" s="12"/>
      <c r="Y194" s="12"/>
      <c r="Z194" s="12"/>
      <c r="AA194" s="12"/>
      <c r="AB194" s="12"/>
    </row>
    <row r="195" spans="1:28">
      <c r="A195" s="12"/>
      <c r="B195" s="798"/>
      <c r="C195" s="798"/>
      <c r="D195" s="768"/>
      <c r="E195" s="12"/>
      <c r="F195" s="12"/>
      <c r="G195" s="12"/>
      <c r="I195" s="12"/>
      <c r="J195" s="12"/>
      <c r="K195" s="12"/>
      <c r="M195" s="12"/>
      <c r="N195" s="12"/>
      <c r="R195" s="12"/>
      <c r="S195" s="12"/>
      <c r="T195" s="12"/>
      <c r="U195" s="12"/>
      <c r="V195" s="12"/>
      <c r="W195" s="12"/>
      <c r="X195" s="12"/>
      <c r="Y195" s="12"/>
      <c r="Z195" s="12"/>
      <c r="AA195" s="12"/>
      <c r="AB195" s="12"/>
    </row>
    <row r="196" spans="1:28">
      <c r="B196" s="12"/>
      <c r="C196" s="12"/>
      <c r="D196" s="12"/>
      <c r="E196" s="12"/>
      <c r="F196" s="12"/>
      <c r="G196" s="12"/>
      <c r="H196" s="12"/>
      <c r="I196" s="12"/>
      <c r="J196" s="12"/>
      <c r="K196" s="12"/>
      <c r="M196" s="12"/>
      <c r="N196" s="12"/>
      <c r="R196" s="12"/>
      <c r="S196" s="12"/>
      <c r="T196" s="12"/>
      <c r="U196" s="12"/>
      <c r="V196" s="12"/>
      <c r="W196" s="12"/>
      <c r="X196" s="12"/>
      <c r="Y196" s="12"/>
      <c r="Z196" s="12"/>
      <c r="AA196" s="12"/>
      <c r="AB196" s="12"/>
    </row>
    <row r="197" spans="1:28">
      <c r="B197" s="12"/>
      <c r="C197" s="12"/>
      <c r="D197" s="12"/>
      <c r="E197" s="12"/>
      <c r="F197" s="12"/>
      <c r="G197" s="12"/>
      <c r="H197" s="12"/>
      <c r="I197" s="12"/>
      <c r="J197" s="12"/>
      <c r="K197" s="12"/>
      <c r="M197" s="12"/>
      <c r="N197" s="12"/>
      <c r="R197" s="12"/>
      <c r="S197" s="12"/>
      <c r="T197" s="12"/>
      <c r="U197" s="12"/>
      <c r="V197" s="12"/>
      <c r="W197" s="12"/>
      <c r="X197" s="12"/>
      <c r="Y197" s="12"/>
      <c r="Z197" s="12"/>
      <c r="AA197" s="12"/>
      <c r="AB197" s="12"/>
    </row>
    <row r="198" spans="1:28">
      <c r="B198" s="12"/>
      <c r="C198" s="12"/>
      <c r="D198" s="12"/>
      <c r="E198" s="12"/>
      <c r="F198" s="12"/>
      <c r="G198" s="12"/>
      <c r="H198" s="12"/>
      <c r="I198" s="12"/>
      <c r="J198" s="12"/>
      <c r="K198" s="12"/>
      <c r="M198" s="12"/>
      <c r="N198" s="12"/>
      <c r="R198" s="12"/>
      <c r="S198" s="12"/>
      <c r="T198" s="12"/>
      <c r="U198" s="12"/>
      <c r="V198" s="12"/>
      <c r="W198" s="12"/>
      <c r="X198" s="12"/>
      <c r="Y198" s="12"/>
      <c r="Z198" s="12"/>
      <c r="AA198" s="12"/>
      <c r="AB198" s="12"/>
    </row>
    <row r="199" spans="1:28" ht="15.75">
      <c r="A199" s="179">
        <v>3</v>
      </c>
      <c r="B199" s="122" t="s">
        <v>171</v>
      </c>
      <c r="C199" s="122"/>
      <c r="D199" s="179"/>
      <c r="E199" s="12"/>
      <c r="F199" s="12"/>
      <c r="G199" s="12"/>
      <c r="H199" s="12"/>
      <c r="I199" s="12"/>
      <c r="J199" s="12"/>
      <c r="K199" s="12"/>
      <c r="M199" s="12"/>
      <c r="N199" s="12"/>
      <c r="R199" s="12"/>
      <c r="S199" s="12"/>
      <c r="T199" s="12"/>
      <c r="U199" s="12"/>
      <c r="V199" s="12"/>
      <c r="W199" s="12"/>
      <c r="X199" s="12"/>
      <c r="Y199" s="12"/>
      <c r="Z199" s="12"/>
      <c r="AA199" s="12"/>
      <c r="AB199" s="12"/>
    </row>
    <row r="200" spans="1:28" ht="12" thickBot="1">
      <c r="B200" s="12"/>
      <c r="C200" s="12"/>
      <c r="D200" s="16"/>
      <c r="E200" s="16"/>
      <c r="F200" s="16"/>
      <c r="G200" s="16"/>
      <c r="H200" s="16"/>
      <c r="I200" s="12"/>
      <c r="W200" s="12"/>
      <c r="X200" s="12"/>
      <c r="Y200" s="12"/>
      <c r="Z200" s="12"/>
      <c r="AA200" s="12"/>
      <c r="AB200" s="12"/>
    </row>
    <row r="201" spans="1:28">
      <c r="B201" s="771"/>
      <c r="C201" s="772"/>
      <c r="D201" s="773"/>
      <c r="E201" s="771" t="s">
        <v>35</v>
      </c>
      <c r="F201" s="772"/>
      <c r="G201" s="772"/>
      <c r="H201" s="772"/>
      <c r="I201" s="772"/>
      <c r="J201" s="772"/>
      <c r="K201" s="772"/>
      <c r="L201" s="772"/>
      <c r="M201" s="772"/>
      <c r="N201" s="772"/>
      <c r="W201" s="12"/>
      <c r="X201" s="12"/>
      <c r="Y201" s="12"/>
      <c r="Z201" s="12"/>
      <c r="AA201" s="12"/>
      <c r="AB201" s="12"/>
    </row>
    <row r="202" spans="1:28" ht="12" thickBot="1">
      <c r="B202" s="823" t="s">
        <v>168</v>
      </c>
      <c r="C202" s="777"/>
      <c r="D202" s="778" t="str">
        <f>$D$64</f>
        <v>TOTAL BRAND 01</v>
      </c>
      <c r="E202" s="779" t="s">
        <v>698</v>
      </c>
      <c r="F202" s="779" t="s">
        <v>699</v>
      </c>
      <c r="G202" s="779" t="s">
        <v>700</v>
      </c>
      <c r="H202" s="779" t="s">
        <v>701</v>
      </c>
      <c r="I202" s="780" t="s">
        <v>702</v>
      </c>
      <c r="J202" s="781" t="s">
        <v>703</v>
      </c>
      <c r="K202" s="781" t="s">
        <v>704</v>
      </c>
      <c r="L202" s="781" t="s">
        <v>705</v>
      </c>
      <c r="M202" s="781" t="s">
        <v>706</v>
      </c>
      <c r="N202" s="781"/>
      <c r="O202" s="7"/>
      <c r="P202" s="7"/>
      <c r="W202" s="12"/>
      <c r="X202" s="12"/>
      <c r="Y202" s="12"/>
      <c r="Z202" s="12"/>
      <c r="AA202" s="12"/>
      <c r="AB202" s="12"/>
    </row>
    <row r="203" spans="1:28" s="317" customFormat="1" ht="12.75" thickTop="1" thickBot="1">
      <c r="B203" s="877"/>
      <c r="C203" s="878"/>
      <c r="D203" s="879"/>
      <c r="E203" s="779" t="s">
        <v>409</v>
      </c>
      <c r="F203" s="779" t="s">
        <v>409</v>
      </c>
      <c r="G203" s="779" t="s">
        <v>409</v>
      </c>
      <c r="H203" s="779" t="s">
        <v>409</v>
      </c>
      <c r="I203" s="779" t="s">
        <v>409</v>
      </c>
      <c r="J203" s="779" t="s">
        <v>409</v>
      </c>
      <c r="K203" s="779" t="s">
        <v>410</v>
      </c>
      <c r="L203" s="779" t="s">
        <v>410</v>
      </c>
      <c r="M203" s="779" t="s">
        <v>409</v>
      </c>
      <c r="N203" s="779"/>
      <c r="O203" s="98"/>
      <c r="P203" s="98"/>
      <c r="Q203" s="16"/>
      <c r="W203" s="16"/>
      <c r="X203" s="16"/>
      <c r="Y203" s="16"/>
      <c r="Z203" s="16"/>
      <c r="AA203" s="16"/>
      <c r="AB203" s="16"/>
    </row>
    <row r="204" spans="1:28" ht="12" thickTop="1">
      <c r="B204" s="787" t="s">
        <v>129</v>
      </c>
      <c r="C204" s="784" t="s">
        <v>50</v>
      </c>
      <c r="D204" s="786">
        <f>$E$12</f>
        <v>164197.57</v>
      </c>
      <c r="E204" s="12"/>
      <c r="F204" s="12"/>
      <c r="G204" s="12"/>
      <c r="H204" s="12"/>
      <c r="L204" s="7"/>
      <c r="W204" s="12"/>
      <c r="X204" s="12"/>
      <c r="Y204" s="12"/>
      <c r="Z204" s="12"/>
      <c r="AA204" s="12"/>
      <c r="AB204" s="12"/>
    </row>
    <row r="205" spans="1:28">
      <c r="B205" s="787" t="s">
        <v>167</v>
      </c>
      <c r="C205" s="784" t="s">
        <v>50</v>
      </c>
      <c r="D205" s="790"/>
      <c r="E205" s="826">
        <v>8</v>
      </c>
      <c r="F205" s="826">
        <v>8</v>
      </c>
      <c r="G205" s="826">
        <v>7.5</v>
      </c>
      <c r="H205" s="826">
        <v>7.5</v>
      </c>
      <c r="I205" s="826">
        <v>7.5</v>
      </c>
      <c r="J205" s="826">
        <v>7.5</v>
      </c>
      <c r="K205" s="826">
        <v>3.3</v>
      </c>
      <c r="L205" s="826">
        <v>3.3</v>
      </c>
      <c r="M205" s="826">
        <v>6</v>
      </c>
      <c r="N205" s="826"/>
      <c r="W205" s="12"/>
      <c r="X205" s="12"/>
      <c r="Y205" s="12"/>
      <c r="Z205" s="12"/>
      <c r="AA205" s="12"/>
      <c r="AB205" s="12"/>
    </row>
    <row r="206" spans="1:28">
      <c r="B206" s="787" t="s">
        <v>165</v>
      </c>
      <c r="C206" s="784" t="s">
        <v>50</v>
      </c>
      <c r="D206" s="790"/>
      <c r="E206" s="826">
        <v>1.1299999999999999</v>
      </c>
      <c r="F206" s="826">
        <v>1.07</v>
      </c>
      <c r="G206" s="826">
        <v>1.07</v>
      </c>
      <c r="H206" s="826">
        <v>1.07</v>
      </c>
      <c r="I206" s="826">
        <v>1.07</v>
      </c>
      <c r="J206" s="826">
        <v>1.07</v>
      </c>
      <c r="K206" s="826">
        <v>1.0900000000000001</v>
      </c>
      <c r="L206" s="826">
        <v>1.0900000000000001</v>
      </c>
      <c r="M206" s="826">
        <v>1.1000000000000001</v>
      </c>
      <c r="N206" s="826"/>
      <c r="W206" s="12"/>
      <c r="X206" s="12"/>
      <c r="Y206" s="12"/>
      <c r="Z206" s="12"/>
      <c r="AA206" s="12"/>
      <c r="AB206" s="12"/>
    </row>
    <row r="207" spans="1:28">
      <c r="B207" s="787" t="s">
        <v>164</v>
      </c>
      <c r="C207" s="784" t="s">
        <v>50</v>
      </c>
      <c r="D207" s="790"/>
      <c r="E207" s="826">
        <f>E205-E206</f>
        <v>6.87</v>
      </c>
      <c r="F207" s="826">
        <f>F205-F206</f>
        <v>6.93</v>
      </c>
      <c r="G207" s="826">
        <f>G205-G206</f>
        <v>6.43</v>
      </c>
      <c r="H207" s="826">
        <f>H205-H206</f>
        <v>6.43</v>
      </c>
      <c r="I207" s="826">
        <f>I205-I206</f>
        <v>6.43</v>
      </c>
      <c r="J207" s="826">
        <f>J205-J206</f>
        <v>6.43</v>
      </c>
      <c r="K207" s="826">
        <f>K205-K206</f>
        <v>2.21</v>
      </c>
      <c r="L207" s="826">
        <f>L205-L206</f>
        <v>2.21</v>
      </c>
      <c r="M207" s="826">
        <f>M205-M206</f>
        <v>4.9000000000000004</v>
      </c>
      <c r="N207" s="826"/>
      <c r="W207" s="12"/>
      <c r="X207" s="12"/>
      <c r="Y207" s="12"/>
      <c r="Z207" s="12"/>
      <c r="AA207" s="12"/>
      <c r="AB207" s="12"/>
    </row>
    <row r="208" spans="1:28">
      <c r="B208" s="787" t="s">
        <v>163</v>
      </c>
      <c r="C208" s="784" t="s">
        <v>49</v>
      </c>
      <c r="D208" s="829">
        <f>(D210-D212)/D210</f>
        <v>0.76355185704280881</v>
      </c>
      <c r="E208" s="830">
        <f>E207/E205</f>
        <v>0.85875000000000001</v>
      </c>
      <c r="F208" s="830">
        <f>F207/F205</f>
        <v>0.86624999999999996</v>
      </c>
      <c r="G208" s="830">
        <f>G207/G205</f>
        <v>0.85733333333333328</v>
      </c>
      <c r="H208" s="830">
        <f>H207/H205</f>
        <v>0.85733333333333328</v>
      </c>
      <c r="I208" s="830">
        <f>I207/I205</f>
        <v>0.85733333333333328</v>
      </c>
      <c r="J208" s="830">
        <f>J207/J205</f>
        <v>0.85733333333333328</v>
      </c>
      <c r="K208" s="830">
        <f>K207/K205</f>
        <v>0.66969696969696968</v>
      </c>
      <c r="L208" s="830">
        <f>L207/L205</f>
        <v>0.66969696969696968</v>
      </c>
      <c r="M208" s="830">
        <f>M207/M205</f>
        <v>0.81666666666666676</v>
      </c>
      <c r="N208" s="830"/>
      <c r="W208" s="12"/>
      <c r="X208" s="12"/>
      <c r="Y208" s="12"/>
      <c r="Z208" s="12"/>
      <c r="AA208" s="12"/>
      <c r="AB208" s="12"/>
    </row>
    <row r="209" spans="2:28">
      <c r="B209" s="787" t="s">
        <v>162</v>
      </c>
      <c r="C209" s="784" t="s">
        <v>161</v>
      </c>
      <c r="D209" s="880">
        <f>SUM(E209:XL209)</f>
        <v>161163.09784056002</v>
      </c>
      <c r="E209" s="831">
        <v>6193.2149131439101</v>
      </c>
      <c r="F209" s="831">
        <v>6575.340803869617</v>
      </c>
      <c r="G209" s="831">
        <v>6545.6621445599994</v>
      </c>
      <c r="H209" s="831">
        <v>8392.7214053600001</v>
      </c>
      <c r="I209" s="831">
        <v>9137.4088787199998</v>
      </c>
      <c r="J209" s="831">
        <v>6108.8602380800003</v>
      </c>
      <c r="K209" s="831">
        <v>47811.663235976092</v>
      </c>
      <c r="L209" s="831">
        <v>62023.871901330385</v>
      </c>
      <c r="M209" s="831">
        <v>8374.3543195199982</v>
      </c>
      <c r="N209" s="831"/>
      <c r="W209" s="12"/>
      <c r="X209" s="12"/>
      <c r="Y209" s="12"/>
      <c r="Z209" s="12"/>
      <c r="AA209" s="12"/>
      <c r="AB209" s="12"/>
    </row>
    <row r="210" spans="2:28">
      <c r="B210" s="787" t="s">
        <v>113</v>
      </c>
      <c r="C210" s="784" t="s">
        <v>50</v>
      </c>
      <c r="D210" s="786">
        <f>SUM(E210:XN210)</f>
        <v>741236.7326067395</v>
      </c>
      <c r="E210" s="68">
        <f>E205*E209</f>
        <v>49545.71930515128</v>
      </c>
      <c r="F210" s="68">
        <f>F205*F209</f>
        <v>52602.726430956936</v>
      </c>
      <c r="G210" s="68">
        <f>G205*G209</f>
        <v>49092.466084199994</v>
      </c>
      <c r="H210" s="68">
        <f>H205*H209</f>
        <v>62945.410540199999</v>
      </c>
      <c r="I210" s="68">
        <f>I205*I209</f>
        <v>68530.566590400005</v>
      </c>
      <c r="J210" s="68">
        <f>J205*J209</f>
        <v>45816.451785600002</v>
      </c>
      <c r="K210" s="68">
        <f>K205*K209</f>
        <v>157778.4886787211</v>
      </c>
      <c r="L210" s="68">
        <f>L205*L209</f>
        <v>204678.77727439025</v>
      </c>
      <c r="M210" s="68">
        <f>M205*M209</f>
        <v>50246.125917119993</v>
      </c>
      <c r="N210" s="68"/>
      <c r="W210" s="12"/>
      <c r="X210" s="12"/>
      <c r="Y210" s="12"/>
      <c r="Z210" s="12"/>
      <c r="AA210" s="12"/>
      <c r="AB210" s="12"/>
    </row>
    <row r="211" spans="2:28">
      <c r="B211" s="787" t="s">
        <v>176</v>
      </c>
      <c r="C211" s="784" t="s">
        <v>49</v>
      </c>
      <c r="D211" s="832"/>
      <c r="E211" s="830">
        <f>E210/$D210</f>
        <v>6.6841964416565938E-2</v>
      </c>
      <c r="F211" s="830">
        <f>F210/$D210</f>
        <v>7.0966162518641837E-2</v>
      </c>
      <c r="G211" s="830">
        <f>G210/$D210</f>
        <v>6.6230482010186387E-2</v>
      </c>
      <c r="H211" s="830">
        <f>H210/$D210</f>
        <v>8.4919443102660516E-2</v>
      </c>
      <c r="I211" s="830">
        <f>I210/$D210</f>
        <v>9.245435847383815E-2</v>
      </c>
      <c r="J211" s="830">
        <f>J210/$D210</f>
        <v>6.1810822062845279E-2</v>
      </c>
      <c r="K211" s="830">
        <f>K210/$D210</f>
        <v>0.21285843204755195</v>
      </c>
      <c r="L211" s="830">
        <f>L210/$D210</f>
        <v>0.27613145473051165</v>
      </c>
      <c r="M211" s="830">
        <f>M210/$D210</f>
        <v>6.7786880637198399E-2</v>
      </c>
      <c r="N211" s="830"/>
      <c r="W211" s="12"/>
      <c r="X211" s="12"/>
      <c r="Y211" s="12"/>
      <c r="Z211" s="12"/>
      <c r="AA211" s="12"/>
      <c r="AB211" s="12"/>
    </row>
    <row r="212" spans="2:28">
      <c r="B212" s="787" t="s">
        <v>468</v>
      </c>
      <c r="C212" s="784" t="s">
        <v>50</v>
      </c>
      <c r="D212" s="786">
        <f>SUM(E212:XN212)</f>
        <v>175264.04891651956</v>
      </c>
      <c r="E212" s="68">
        <f>E206*E209</f>
        <v>6998.3328518526178</v>
      </c>
      <c r="F212" s="68">
        <f>F206*F209</f>
        <v>7035.6146601404907</v>
      </c>
      <c r="G212" s="68">
        <f>G206*G209</f>
        <v>7003.8584946791998</v>
      </c>
      <c r="H212" s="68">
        <f>H206*H209</f>
        <v>8980.2119037352004</v>
      </c>
      <c r="I212" s="68">
        <f>I206*I209</f>
        <v>9777.0275002304006</v>
      </c>
      <c r="J212" s="68">
        <f>J206*J209</f>
        <v>6536.4804547456006</v>
      </c>
      <c r="K212" s="68">
        <f>K206*K209</f>
        <v>52114.712927213943</v>
      </c>
      <c r="L212" s="68">
        <f>L206*L209</f>
        <v>67606.020372450119</v>
      </c>
      <c r="M212" s="68">
        <f>M206*M209</f>
        <v>9211.7897514719989</v>
      </c>
      <c r="N212" s="68"/>
      <c r="W212" s="12"/>
      <c r="X212" s="12"/>
      <c r="Y212" s="12"/>
      <c r="Z212" s="12"/>
      <c r="AA212" s="12"/>
      <c r="AB212" s="12"/>
    </row>
    <row r="213" spans="2:28">
      <c r="B213" s="787" t="s">
        <v>111</v>
      </c>
      <c r="C213" s="784" t="s">
        <v>50</v>
      </c>
      <c r="D213" s="786">
        <f>SUM(E213:XN213)</f>
        <v>565972.68369021988</v>
      </c>
      <c r="E213" s="68">
        <f>E210-E212</f>
        <v>42547.386453298663</v>
      </c>
      <c r="F213" s="68">
        <f>F210-F212</f>
        <v>45567.111770816446</v>
      </c>
      <c r="G213" s="68">
        <f>G210-G212</f>
        <v>42088.60758952079</v>
      </c>
      <c r="H213" s="68">
        <f>H210-H212</f>
        <v>53965.198636464796</v>
      </c>
      <c r="I213" s="68">
        <f>I210-I212</f>
        <v>58753.539090169608</v>
      </c>
      <c r="J213" s="68">
        <f>J210-J212</f>
        <v>39279.971330854401</v>
      </c>
      <c r="K213" s="68">
        <f>K210-K212</f>
        <v>105663.77575150716</v>
      </c>
      <c r="L213" s="68">
        <f>L210-L212</f>
        <v>137072.75690194013</v>
      </c>
      <c r="M213" s="68">
        <f>M210-M212</f>
        <v>41034.336165647997</v>
      </c>
      <c r="N213" s="68"/>
      <c r="W213" s="12"/>
      <c r="X213" s="12"/>
      <c r="Y213" s="12"/>
      <c r="Z213" s="12"/>
      <c r="AA213" s="12"/>
      <c r="AB213" s="12"/>
    </row>
    <row r="214" spans="2:28">
      <c r="B214" s="787"/>
      <c r="C214" s="784" t="s">
        <v>49</v>
      </c>
      <c r="D214" s="790"/>
      <c r="E214" s="830">
        <f>E213/$D213</f>
        <v>7.5175689003016619E-2</v>
      </c>
      <c r="F214" s="830">
        <f>F213/$D213</f>
        <v>8.0511150244412147E-2</v>
      </c>
      <c r="G214" s="830">
        <f>G213/$D213</f>
        <v>7.4365086518128884E-2</v>
      </c>
      <c r="H214" s="830">
        <f>H213/$D213</f>
        <v>9.5349475675405859E-2</v>
      </c>
      <c r="I214" s="830">
        <f>I213/$D213</f>
        <v>0.10380984945614059</v>
      </c>
      <c r="J214" s="830">
        <f>J213/$D213</f>
        <v>6.9402592144100619E-2</v>
      </c>
      <c r="K214" s="830">
        <f>K213/$D213</f>
        <v>0.18669412640653393</v>
      </c>
      <c r="L214" s="830">
        <f>L213/$D213</f>
        <v>0.24218970429492614</v>
      </c>
      <c r="M214" s="830">
        <f>M213/$D213</f>
        <v>7.2502326257335381E-2</v>
      </c>
      <c r="N214" s="830"/>
      <c r="R214" s="12"/>
      <c r="S214" s="12"/>
      <c r="T214" s="12"/>
      <c r="U214" s="12"/>
      <c r="V214" s="12"/>
      <c r="W214" s="12"/>
      <c r="X214" s="12"/>
      <c r="Y214" s="12"/>
      <c r="Z214" s="12"/>
      <c r="AA214" s="12"/>
      <c r="AB214" s="12"/>
    </row>
    <row r="215" spans="2:28" ht="12" thickBot="1">
      <c r="B215" s="833" t="s">
        <v>126</v>
      </c>
      <c r="C215" s="834" t="s">
        <v>50</v>
      </c>
      <c r="D215" s="881">
        <f>D213-D204</f>
        <v>401775.11369021988</v>
      </c>
      <c r="E215" s="882"/>
      <c r="F215" s="882"/>
      <c r="G215" s="882"/>
      <c r="H215" s="882"/>
      <c r="I215" s="882"/>
      <c r="J215" s="523"/>
      <c r="K215" s="524"/>
      <c r="L215" s="524"/>
      <c r="M215" s="883"/>
      <c r="N215" s="524"/>
      <c r="R215" s="12"/>
      <c r="S215" s="12"/>
      <c r="T215" s="12"/>
      <c r="U215" s="12"/>
      <c r="V215" s="12"/>
      <c r="W215" s="12"/>
      <c r="X215" s="12"/>
      <c r="Y215" s="12"/>
      <c r="Z215" s="12"/>
      <c r="AA215" s="12"/>
      <c r="AB215" s="12"/>
    </row>
    <row r="216" spans="2:28" ht="12" thickBot="1">
      <c r="B216" s="12"/>
      <c r="C216" s="16"/>
      <c r="E216" s="12"/>
      <c r="F216" s="12"/>
      <c r="G216" s="12"/>
      <c r="H216" s="12"/>
      <c r="I216" s="12"/>
      <c r="J216" s="12"/>
      <c r="L216" s="7"/>
      <c r="M216" s="768"/>
      <c r="R216" s="12"/>
      <c r="S216" s="12"/>
      <c r="T216" s="12"/>
      <c r="U216" s="12"/>
      <c r="V216" s="12"/>
      <c r="W216" s="12"/>
      <c r="X216" s="12"/>
      <c r="Y216" s="12"/>
      <c r="Z216" s="12"/>
      <c r="AA216" s="12"/>
      <c r="AB216" s="12"/>
    </row>
    <row r="217" spans="2:28">
      <c r="B217" s="863" t="s">
        <v>166</v>
      </c>
      <c r="C217" s="840" t="s">
        <v>157</v>
      </c>
      <c r="D217" s="884"/>
      <c r="E217" s="354">
        <v>7.5</v>
      </c>
      <c r="F217" s="354">
        <v>7.5</v>
      </c>
      <c r="G217" s="354">
        <v>6.5</v>
      </c>
      <c r="H217" s="354">
        <v>6.5</v>
      </c>
      <c r="I217" s="354">
        <v>6.5</v>
      </c>
      <c r="J217" s="354">
        <v>6.5</v>
      </c>
      <c r="K217" s="354">
        <v>1.8</v>
      </c>
      <c r="L217" s="354">
        <v>1.8</v>
      </c>
      <c r="M217" s="354">
        <v>4.5</v>
      </c>
      <c r="N217" s="354"/>
      <c r="O217" s="915"/>
      <c r="P217" s="916"/>
      <c r="Q217" s="917"/>
      <c r="R217" s="12"/>
      <c r="S217" s="12"/>
      <c r="T217" s="12"/>
      <c r="U217" s="12"/>
      <c r="V217" s="12"/>
      <c r="W217" s="12"/>
      <c r="X217" s="12"/>
      <c r="Y217" s="12"/>
      <c r="Z217" s="12"/>
      <c r="AA217" s="12"/>
      <c r="AB217" s="12"/>
    </row>
    <row r="218" spans="2:28">
      <c r="B218" s="842"/>
      <c r="C218" s="12" t="s">
        <v>159</v>
      </c>
      <c r="D218" s="886"/>
      <c r="E218" s="918">
        <v>8</v>
      </c>
      <c r="F218" s="918">
        <v>8</v>
      </c>
      <c r="G218" s="918">
        <v>7.5</v>
      </c>
      <c r="H218" s="918">
        <v>7.5</v>
      </c>
      <c r="I218" s="918">
        <v>7.5</v>
      </c>
      <c r="J218" s="918">
        <v>7.5</v>
      </c>
      <c r="K218" s="918">
        <v>3.3</v>
      </c>
      <c r="L218" s="918">
        <v>3.3</v>
      </c>
      <c r="M218" s="918">
        <v>6</v>
      </c>
      <c r="N218" s="918"/>
      <c r="O218" s="915"/>
      <c r="P218" s="916"/>
      <c r="Q218" s="917"/>
      <c r="R218" s="12"/>
      <c r="S218" s="12"/>
      <c r="T218" s="12"/>
      <c r="U218" s="12"/>
      <c r="V218" s="12"/>
      <c r="W218" s="12"/>
      <c r="X218" s="12"/>
      <c r="Y218" s="12"/>
      <c r="Z218" s="12"/>
      <c r="AA218" s="12"/>
      <c r="AB218" s="12"/>
    </row>
    <row r="219" spans="2:28">
      <c r="B219" s="842"/>
      <c r="C219" s="56" t="s">
        <v>158</v>
      </c>
      <c r="D219" s="886"/>
      <c r="E219" s="355">
        <v>9</v>
      </c>
      <c r="F219" s="355">
        <v>9</v>
      </c>
      <c r="G219" s="355">
        <v>8</v>
      </c>
      <c r="H219" s="355">
        <v>8</v>
      </c>
      <c r="I219" s="355">
        <v>8</v>
      </c>
      <c r="J219" s="355">
        <v>8</v>
      </c>
      <c r="K219" s="355">
        <v>3.3</v>
      </c>
      <c r="L219" s="355">
        <v>3.3</v>
      </c>
      <c r="M219" s="355">
        <v>6</v>
      </c>
      <c r="N219" s="355"/>
      <c r="O219" s="915"/>
      <c r="P219" s="916"/>
      <c r="Q219" s="917"/>
      <c r="R219" s="12"/>
      <c r="S219" s="12"/>
      <c r="T219" s="12"/>
      <c r="U219" s="12"/>
      <c r="V219" s="12"/>
      <c r="W219" s="12"/>
      <c r="X219" s="12"/>
      <c r="Y219" s="12"/>
      <c r="Z219" s="12"/>
      <c r="AA219" s="12"/>
      <c r="AB219" s="12"/>
    </row>
    <row r="220" spans="2:28">
      <c r="B220" s="842"/>
      <c r="C220" s="12" t="s">
        <v>156</v>
      </c>
      <c r="D220" s="886"/>
      <c r="E220" s="355">
        <v>11</v>
      </c>
      <c r="F220" s="355">
        <v>11</v>
      </c>
      <c r="G220" s="355">
        <v>10</v>
      </c>
      <c r="H220" s="355">
        <v>10</v>
      </c>
      <c r="I220" s="355">
        <v>10</v>
      </c>
      <c r="J220" s="355">
        <v>10</v>
      </c>
      <c r="K220" s="355">
        <v>5.3</v>
      </c>
      <c r="L220" s="355">
        <v>5.3</v>
      </c>
      <c r="M220" s="355">
        <v>8</v>
      </c>
      <c r="N220" s="355"/>
      <c r="O220" s="915"/>
      <c r="P220" s="916"/>
      <c r="Q220" s="917"/>
      <c r="R220" s="12"/>
      <c r="S220" s="12"/>
      <c r="T220" s="12"/>
      <c r="U220" s="12"/>
      <c r="V220" s="12"/>
      <c r="W220" s="12"/>
      <c r="X220" s="12"/>
      <c r="Y220" s="12"/>
      <c r="Z220" s="12"/>
      <c r="AA220" s="12"/>
      <c r="AB220" s="12"/>
    </row>
    <row r="221" spans="2:28">
      <c r="B221" s="842"/>
      <c r="C221" s="12"/>
      <c r="D221" s="886"/>
      <c r="E221" s="919"/>
      <c r="F221" s="919"/>
      <c r="G221" s="919"/>
      <c r="H221" s="919"/>
      <c r="I221" s="920"/>
      <c r="J221" s="919"/>
      <c r="K221" s="919"/>
      <c r="L221" s="919"/>
      <c r="M221" s="919"/>
      <c r="N221" s="919"/>
      <c r="O221" s="915"/>
      <c r="P221" s="916"/>
      <c r="Q221" s="917"/>
      <c r="R221" s="12"/>
      <c r="S221" s="12"/>
      <c r="T221" s="12"/>
      <c r="U221" s="12"/>
      <c r="V221" s="12"/>
      <c r="W221" s="12"/>
      <c r="X221" s="12"/>
      <c r="Y221" s="12"/>
      <c r="Z221" s="12"/>
      <c r="AA221" s="12"/>
      <c r="AB221" s="12"/>
    </row>
    <row r="222" spans="2:28">
      <c r="B222" s="842" t="s">
        <v>160</v>
      </c>
      <c r="C222" s="12" t="s">
        <v>157</v>
      </c>
      <c r="D222" s="886"/>
      <c r="E222" s="355">
        <v>0.91</v>
      </c>
      <c r="F222" s="355">
        <v>0.85</v>
      </c>
      <c r="G222" s="355">
        <v>0.85</v>
      </c>
      <c r="H222" s="355">
        <v>0.85</v>
      </c>
      <c r="I222" s="355">
        <v>0.85</v>
      </c>
      <c r="J222" s="355">
        <v>0.85</v>
      </c>
      <c r="K222" s="355">
        <v>0.81</v>
      </c>
      <c r="L222" s="355">
        <v>0.81</v>
      </c>
      <c r="M222" s="355">
        <v>0.85</v>
      </c>
      <c r="N222" s="355"/>
      <c r="O222" s="915"/>
      <c r="P222" s="916"/>
      <c r="Q222" s="917"/>
      <c r="R222" s="12"/>
      <c r="S222" s="12"/>
      <c r="T222" s="12"/>
      <c r="U222" s="12"/>
      <c r="V222" s="12"/>
      <c r="W222" s="12"/>
      <c r="X222" s="12"/>
      <c r="Y222" s="12"/>
      <c r="Z222" s="12"/>
      <c r="AA222" s="12"/>
      <c r="AB222" s="12"/>
    </row>
    <row r="223" spans="2:28">
      <c r="B223" s="842"/>
      <c r="C223" s="12" t="s">
        <v>159</v>
      </c>
      <c r="D223" s="886"/>
      <c r="E223" s="918">
        <v>0.95</v>
      </c>
      <c r="F223" s="918">
        <v>0.9</v>
      </c>
      <c r="G223" s="918">
        <v>0.9</v>
      </c>
      <c r="H223" s="918">
        <v>0.9</v>
      </c>
      <c r="I223" s="918">
        <v>0.9</v>
      </c>
      <c r="J223" s="918">
        <v>0.9</v>
      </c>
      <c r="K223" s="918">
        <v>0.85</v>
      </c>
      <c r="L223" s="918">
        <v>0.85</v>
      </c>
      <c r="M223" s="918">
        <v>0.98</v>
      </c>
      <c r="N223" s="918"/>
      <c r="O223" s="915"/>
      <c r="P223" s="916"/>
      <c r="Q223" s="917"/>
      <c r="R223" s="12"/>
      <c r="S223" s="12"/>
      <c r="T223" s="12"/>
      <c r="U223" s="12"/>
      <c r="V223" s="12"/>
      <c r="W223" s="12"/>
      <c r="X223" s="12"/>
      <c r="Y223" s="12"/>
      <c r="Z223" s="12"/>
      <c r="AA223" s="12"/>
      <c r="AB223" s="12"/>
    </row>
    <row r="224" spans="2:28">
      <c r="B224" s="842"/>
      <c r="C224" s="56" t="s">
        <v>158</v>
      </c>
      <c r="D224" s="886"/>
      <c r="E224" s="355">
        <v>1.1599999999999999</v>
      </c>
      <c r="F224" s="355">
        <v>1.1000000000000001</v>
      </c>
      <c r="G224" s="355">
        <v>1.1000000000000001</v>
      </c>
      <c r="H224" s="355">
        <v>1.1000000000000001</v>
      </c>
      <c r="I224" s="355">
        <v>1.1000000000000001</v>
      </c>
      <c r="J224" s="355">
        <v>1.1000000000000001</v>
      </c>
      <c r="K224" s="355">
        <v>1.06</v>
      </c>
      <c r="L224" s="355">
        <v>1.06</v>
      </c>
      <c r="M224" s="355">
        <v>1.1000000000000001</v>
      </c>
      <c r="N224" s="355"/>
      <c r="O224" s="915"/>
      <c r="P224" s="916"/>
      <c r="Q224" s="917"/>
      <c r="R224" s="12"/>
      <c r="S224" s="12"/>
      <c r="T224" s="12"/>
      <c r="U224" s="12"/>
      <c r="V224" s="12"/>
      <c r="W224" s="12"/>
      <c r="X224" s="12"/>
      <c r="Y224" s="12"/>
      <c r="Z224" s="12"/>
      <c r="AA224" s="12"/>
      <c r="AB224" s="12"/>
    </row>
    <row r="225" spans="1:28">
      <c r="B225" s="842"/>
      <c r="C225" s="12" t="s">
        <v>156</v>
      </c>
      <c r="D225" s="886"/>
      <c r="E225" s="355">
        <v>1.41</v>
      </c>
      <c r="F225" s="355">
        <v>1.35</v>
      </c>
      <c r="G225" s="355">
        <v>1.35</v>
      </c>
      <c r="H225" s="355">
        <v>1.35</v>
      </c>
      <c r="I225" s="355">
        <v>1.35</v>
      </c>
      <c r="J225" s="355">
        <v>1.35</v>
      </c>
      <c r="K225" s="355">
        <v>1.31</v>
      </c>
      <c r="L225" s="355">
        <v>1.31</v>
      </c>
      <c r="M225" s="355">
        <v>1.35</v>
      </c>
      <c r="N225" s="355"/>
      <c r="O225" s="915"/>
      <c r="P225" s="916"/>
      <c r="Q225" s="917"/>
      <c r="R225" s="12"/>
      <c r="S225" s="12"/>
      <c r="T225" s="12"/>
      <c r="U225" s="12"/>
      <c r="V225" s="12"/>
      <c r="W225" s="12"/>
      <c r="X225" s="12"/>
      <c r="Y225" s="12"/>
      <c r="Z225" s="12"/>
      <c r="AA225" s="12"/>
      <c r="AB225" s="12"/>
    </row>
    <row r="226" spans="1:28">
      <c r="B226" s="842"/>
      <c r="C226" s="12"/>
      <c r="D226" s="886"/>
      <c r="E226" s="917"/>
      <c r="F226" s="917"/>
      <c r="G226" s="917"/>
      <c r="H226" s="917"/>
      <c r="I226" s="917"/>
      <c r="J226" s="917"/>
      <c r="K226" s="917"/>
      <c r="L226" s="917"/>
      <c r="M226" s="917"/>
      <c r="N226" s="917"/>
      <c r="O226" s="915"/>
      <c r="P226" s="916"/>
      <c r="Q226" s="917"/>
      <c r="R226" s="12"/>
      <c r="S226" s="12"/>
      <c r="T226" s="12"/>
      <c r="U226" s="12"/>
      <c r="V226" s="12"/>
      <c r="W226" s="12"/>
      <c r="X226" s="12"/>
      <c r="Y226" s="12"/>
      <c r="Z226" s="12"/>
      <c r="AA226" s="12"/>
      <c r="AB226" s="12"/>
    </row>
    <row r="227" spans="1:28">
      <c r="B227" s="842"/>
      <c r="C227" s="12" t="s">
        <v>471</v>
      </c>
      <c r="D227" s="886" t="s">
        <v>472</v>
      </c>
      <c r="E227" s="12"/>
      <c r="F227" s="12"/>
      <c r="G227" s="12"/>
      <c r="H227" s="12"/>
      <c r="I227" s="12"/>
      <c r="J227" s="12"/>
      <c r="K227" s="12"/>
      <c r="L227" s="12"/>
      <c r="M227" s="12"/>
      <c r="N227" s="12"/>
      <c r="O227" s="885"/>
      <c r="P227" s="816"/>
      <c r="R227" s="12"/>
      <c r="S227" s="12"/>
      <c r="T227" s="12"/>
      <c r="U227" s="12"/>
      <c r="V227" s="12"/>
      <c r="W227" s="12"/>
      <c r="X227" s="12"/>
      <c r="Y227" s="12"/>
      <c r="Z227" s="12"/>
      <c r="AA227" s="12"/>
      <c r="AB227" s="12"/>
    </row>
    <row r="228" spans="1:28">
      <c r="B228" s="842" t="s">
        <v>473</v>
      </c>
      <c r="C228" s="519">
        <v>2</v>
      </c>
      <c r="D228" s="728">
        <v>1.5</v>
      </c>
      <c r="E228" s="12"/>
      <c r="F228" s="12"/>
      <c r="G228" s="12"/>
      <c r="H228" s="12"/>
      <c r="I228" s="12"/>
      <c r="J228" s="12"/>
      <c r="K228" s="12"/>
      <c r="L228" s="12"/>
      <c r="M228" s="12"/>
      <c r="N228" s="12"/>
      <c r="O228" s="885"/>
      <c r="P228" s="816"/>
      <c r="R228" s="12"/>
      <c r="S228" s="12"/>
      <c r="T228" s="12"/>
      <c r="U228" s="12"/>
      <c r="V228" s="12"/>
      <c r="W228" s="12"/>
      <c r="X228" s="12"/>
      <c r="Y228" s="12"/>
      <c r="Z228" s="12"/>
      <c r="AA228" s="12"/>
      <c r="AB228" s="12"/>
    </row>
    <row r="229" spans="1:28">
      <c r="B229" s="842"/>
      <c r="C229" s="12"/>
      <c r="D229" s="886"/>
      <c r="E229" s="12"/>
      <c r="F229" s="12"/>
      <c r="G229" s="12"/>
      <c r="H229" s="12"/>
      <c r="I229" s="12"/>
      <c r="J229" s="12"/>
      <c r="K229" s="12"/>
      <c r="L229" s="12"/>
      <c r="M229" s="12"/>
      <c r="N229" s="12"/>
      <c r="O229" s="885"/>
      <c r="P229" s="816"/>
      <c r="R229" s="12"/>
      <c r="S229" s="12"/>
      <c r="T229" s="12"/>
      <c r="U229" s="12"/>
      <c r="V229" s="12"/>
      <c r="W229" s="12"/>
      <c r="X229" s="12"/>
      <c r="Y229" s="12"/>
      <c r="Z229" s="12"/>
      <c r="AA229" s="12"/>
      <c r="AB229" s="12"/>
    </row>
    <row r="230" spans="1:28">
      <c r="B230" s="842" t="s">
        <v>157</v>
      </c>
      <c r="C230" s="12"/>
      <c r="D230" s="887"/>
      <c r="E230" s="888">
        <f>IF(E203="[retail]",E209,E232/$D$228)</f>
        <v>6193.2149131439101</v>
      </c>
      <c r="F230" s="888">
        <f>IF(F203="[retail]",F209,F232/$D$228)</f>
        <v>6575.340803869617</v>
      </c>
      <c r="G230" s="888">
        <f>IF(G203="[retail]",G209,G232/$D$228)</f>
        <v>6545.6621445599994</v>
      </c>
      <c r="H230" s="888">
        <f>IF(H203="[retail]",H209,H232/$D$228)</f>
        <v>8392.7214053600001</v>
      </c>
      <c r="I230" s="888">
        <f>IF(I203="[retail]",I209,I232/$D$228)</f>
        <v>9137.4088787199998</v>
      </c>
      <c r="J230" s="888">
        <f>IF(J203="[retail]",J209,J232/$D$228)</f>
        <v>6108.8602380800003</v>
      </c>
      <c r="K230" s="888">
        <f>IF(K203="[retail]",K209,K232/$D$228)</f>
        <v>31874.442157317393</v>
      </c>
      <c r="L230" s="888">
        <f>IF(L203="[retail]",L209,L232/$D$228)</f>
        <v>41349.247934220257</v>
      </c>
      <c r="M230" s="888">
        <f>IF(M203="[retail]",M209,M232/$D$228)</f>
        <v>8374.3543195199982</v>
      </c>
      <c r="N230" s="888"/>
      <c r="O230" s="885"/>
      <c r="P230" s="816"/>
      <c r="R230" s="12"/>
      <c r="S230" s="12"/>
      <c r="T230" s="12"/>
      <c r="U230" s="12"/>
      <c r="V230" s="12"/>
      <c r="W230" s="12"/>
      <c r="X230" s="12"/>
      <c r="Y230" s="12"/>
      <c r="Z230" s="12"/>
      <c r="AA230" s="12"/>
      <c r="AB230" s="12"/>
    </row>
    <row r="231" spans="1:28">
      <c r="B231" s="842" t="s">
        <v>155</v>
      </c>
      <c r="C231" s="12" t="s">
        <v>161</v>
      </c>
      <c r="D231" s="889">
        <f>SUM(E231:XN231)</f>
        <v>174802.34293708968</v>
      </c>
      <c r="E231" s="888">
        <f>IF(E203="[retail]",E232-1/(E220-E217)*(E219-E217)*E230,E232-(1/3)/(E220-E217)*(E219-E217)*E232)</f>
        <v>9732.1948635118588</v>
      </c>
      <c r="F231" s="888">
        <f>IF(F203="[retail]",F232-1/(F220-F217)*(F219-F217)*F230,F232-(1/3)/(F220-F217)*(F219-F217)*F232)</f>
        <v>10332.678406080828</v>
      </c>
      <c r="G231" s="888">
        <f>IF(G203="[retail]",G232-1/(G220-G217)*(G219-G217)*G230,G232-(1/3)/(G220-G217)*(G219-G217)*G232)</f>
        <v>10286.040512879999</v>
      </c>
      <c r="H231" s="888">
        <f>IF(H203="[retail]",H232-1/(H220-H217)*(H219-H217)*H230,H232-(1/3)/(H220-H217)*(H219-H217)*H232)</f>
        <v>13188.562208422858</v>
      </c>
      <c r="I231" s="888">
        <f>IF(I203="[retail]",I232-1/(I220-I217)*(I219-I217)*I230,I232-(1/3)/(I220-I217)*(I219-I217)*I232)</f>
        <v>14358.785380845715</v>
      </c>
      <c r="J231" s="888">
        <f>IF(J203="[retail]",J232-1/(J220-J217)*(J219-J217)*J230,J232-(1/3)/(J220-J217)*(J219-J217)*J232)</f>
        <v>9599.6375169828571</v>
      </c>
      <c r="K231" s="888">
        <f>IF(K203="[retail]",K232-1/(K220-K217)*(K219-K217)*K230,K232-(1/3)/(K220-K217)*(K219-K217)*K232)</f>
        <v>40981.425630836653</v>
      </c>
      <c r="L231" s="888">
        <f>IF(L203="[retail]",L232-1/(L220-L217)*(L219-L217)*L230,L232-(1/3)/(L220-L217)*(L219-L217)*L232)</f>
        <v>53163.318772568906</v>
      </c>
      <c r="M231" s="888">
        <f>IF(M203="[retail]",M232-1/(M220-M217)*(M219-M217)*M230,M232-(1/3)/(M220-M217)*(M219-M217)*M232)</f>
        <v>13159.699644959997</v>
      </c>
      <c r="N231" s="888"/>
      <c r="O231" s="885"/>
      <c r="P231" s="816"/>
      <c r="R231" s="12"/>
      <c r="S231" s="12"/>
      <c r="T231" s="12"/>
      <c r="U231" s="12"/>
      <c r="V231" s="12"/>
      <c r="W231" s="12"/>
      <c r="X231" s="12"/>
      <c r="Y231" s="12"/>
      <c r="Z231" s="12"/>
      <c r="AA231" s="12"/>
      <c r="AB231" s="12"/>
    </row>
    <row r="232" spans="1:28">
      <c r="B232" s="842" t="s">
        <v>156</v>
      </c>
      <c r="C232" s="12"/>
      <c r="D232" s="886"/>
      <c r="E232" s="888">
        <f>IF(E203="[retail]",E230*$C$268,E209)</f>
        <v>12386.42982628782</v>
      </c>
      <c r="F232" s="888">
        <f>IF(F203="[retail]",F230*$C$268,F209)</f>
        <v>13150.681607739234</v>
      </c>
      <c r="G232" s="888">
        <f>IF(G203="[retail]",G230*$C$268,G209)</f>
        <v>13091.324289119999</v>
      </c>
      <c r="H232" s="888">
        <f>IF(H203="[retail]",H230*$C$268,H209)</f>
        <v>16785.44281072</v>
      </c>
      <c r="I232" s="888">
        <f>IF(I203="[retail]",I230*$C$268,I209)</f>
        <v>18274.81775744</v>
      </c>
      <c r="J232" s="888">
        <f>IF(J203="[retail]",J230*$C$268,J209)</f>
        <v>12217.720476160001</v>
      </c>
      <c r="K232" s="888">
        <f>IF(K203="[retail]",K230*$C$268,K209)</f>
        <v>47811.663235976092</v>
      </c>
      <c r="L232" s="888">
        <f>IF(L203="[retail]",L230*$C$268,L209)</f>
        <v>62023.871901330385</v>
      </c>
      <c r="M232" s="888">
        <f>IF(M203="[retail]",M230*$C$268,M209)</f>
        <v>16748.708639039996</v>
      </c>
      <c r="N232" s="888"/>
      <c r="O232" s="885"/>
      <c r="P232" s="816"/>
      <c r="R232" s="12"/>
      <c r="S232" s="12"/>
      <c r="T232" s="12"/>
      <c r="U232" s="12"/>
      <c r="V232" s="12"/>
      <c r="W232" s="12"/>
      <c r="X232" s="12"/>
      <c r="Y232" s="12"/>
      <c r="Z232" s="12"/>
      <c r="AA232" s="12"/>
      <c r="AB232" s="12"/>
    </row>
    <row r="233" spans="1:28">
      <c r="B233" s="842"/>
      <c r="C233" s="359"/>
      <c r="D233" s="886"/>
      <c r="E233" s="890"/>
      <c r="F233" s="306"/>
      <c r="G233" s="891"/>
      <c r="H233" s="892"/>
      <c r="I233" s="316"/>
      <c r="J233" s="12"/>
      <c r="K233" s="12"/>
      <c r="L233" s="12"/>
      <c r="M233" s="893"/>
      <c r="N233" s="306"/>
      <c r="O233" s="885"/>
      <c r="P233" s="816"/>
      <c r="R233" s="12"/>
      <c r="S233" s="12"/>
      <c r="T233" s="12"/>
      <c r="U233" s="12"/>
      <c r="V233" s="12"/>
      <c r="W233" s="12"/>
      <c r="X233" s="12"/>
      <c r="Y233" s="12"/>
      <c r="Z233" s="12"/>
      <c r="AA233" s="12"/>
      <c r="AB233" s="12"/>
    </row>
    <row r="234" spans="1:28">
      <c r="B234" s="842" t="s">
        <v>111</v>
      </c>
      <c r="C234" s="12" t="s">
        <v>154</v>
      </c>
      <c r="D234" s="894">
        <f>SUM(E234:XN234)</f>
        <v>760583.1996339109</v>
      </c>
      <c r="E234" s="895">
        <f>(E219-E224)*E231</f>
        <v>76300.407729932966</v>
      </c>
      <c r="F234" s="895">
        <f>(F219-F224)*F231</f>
        <v>81628.15940803854</v>
      </c>
      <c r="G234" s="895">
        <f>(G219-G224)*G231</f>
        <v>70973.679538872006</v>
      </c>
      <c r="H234" s="895">
        <f>(H219-H224)*H231</f>
        <v>91001.079238117731</v>
      </c>
      <c r="I234" s="895">
        <f>(I219-I224)*I231</f>
        <v>99075.619127835438</v>
      </c>
      <c r="J234" s="895">
        <f>(J219-J224)*J231</f>
        <v>66237.498867181712</v>
      </c>
      <c r="K234" s="895">
        <f>(K219-K224)*K231</f>
        <v>91798.393413074096</v>
      </c>
      <c r="L234" s="895">
        <f>(L219-L224)*L231</f>
        <v>119085.83405055433</v>
      </c>
      <c r="M234" s="895">
        <f>(M219-M224)*M231</f>
        <v>64482.528260303989</v>
      </c>
      <c r="N234" s="895"/>
      <c r="O234" s="885"/>
      <c r="P234" s="816"/>
      <c r="R234" s="12"/>
      <c r="S234" s="12"/>
      <c r="T234" s="12"/>
      <c r="U234" s="12"/>
      <c r="V234" s="12"/>
      <c r="W234" s="12"/>
      <c r="X234" s="12"/>
      <c r="Y234" s="12"/>
      <c r="Z234" s="12"/>
      <c r="AA234" s="12"/>
      <c r="AB234" s="12"/>
    </row>
    <row r="235" spans="1:28">
      <c r="B235" s="842"/>
      <c r="C235" s="12"/>
      <c r="D235" s="886"/>
      <c r="E235" s="890"/>
      <c r="F235" s="306"/>
      <c r="G235" s="306"/>
      <c r="H235" s="306"/>
      <c r="I235" s="896"/>
      <c r="J235" s="12"/>
      <c r="K235" s="12"/>
      <c r="L235" s="12"/>
      <c r="M235" s="893"/>
      <c r="N235" s="306"/>
      <c r="O235" s="885"/>
      <c r="P235" s="816"/>
      <c r="R235" s="12"/>
      <c r="S235" s="12"/>
      <c r="T235" s="12"/>
      <c r="U235" s="12"/>
      <c r="V235" s="12"/>
      <c r="W235" s="12"/>
      <c r="X235" s="12"/>
      <c r="Y235" s="12"/>
      <c r="Z235" s="12"/>
      <c r="AA235" s="12"/>
      <c r="AB235" s="12"/>
    </row>
    <row r="236" spans="1:28" ht="12" thickBot="1">
      <c r="B236" s="897" t="s">
        <v>170</v>
      </c>
      <c r="C236" s="853" t="s">
        <v>154</v>
      </c>
      <c r="D236" s="898">
        <f>D234-D204</f>
        <v>596385.62963391095</v>
      </c>
      <c r="E236" s="899"/>
      <c r="F236" s="900"/>
      <c r="G236" s="900"/>
      <c r="H236" s="900"/>
      <c r="I236" s="901"/>
      <c r="J236" s="853"/>
      <c r="K236" s="853"/>
      <c r="L236" s="853"/>
      <c r="M236" s="899"/>
      <c r="N236" s="900"/>
      <c r="O236" s="885"/>
      <c r="P236" s="816"/>
      <c r="R236" s="12"/>
      <c r="S236" s="12"/>
      <c r="T236" s="12"/>
      <c r="U236" s="12"/>
      <c r="V236" s="12"/>
      <c r="W236" s="12"/>
      <c r="X236" s="12"/>
      <c r="Y236" s="12"/>
      <c r="Z236" s="12"/>
      <c r="AA236" s="12"/>
      <c r="AB236" s="12"/>
    </row>
    <row r="237" spans="1:28">
      <c r="B237" s="12"/>
      <c r="C237" s="16"/>
      <c r="D237" s="12"/>
      <c r="E237" s="12"/>
      <c r="F237" s="12"/>
      <c r="G237" s="12"/>
      <c r="H237" s="12"/>
      <c r="I237" s="12"/>
      <c r="J237" s="12"/>
      <c r="K237" s="12"/>
      <c r="L237" s="902"/>
      <c r="M237" s="903"/>
      <c r="N237" s="903"/>
      <c r="O237" s="885"/>
      <c r="P237" s="816"/>
      <c r="R237" s="12"/>
      <c r="S237" s="12"/>
      <c r="T237" s="12"/>
      <c r="U237" s="12"/>
      <c r="V237" s="12"/>
      <c r="W237" s="12"/>
      <c r="X237" s="12"/>
      <c r="Y237" s="12"/>
      <c r="Z237" s="12"/>
      <c r="AA237" s="12"/>
      <c r="AB237" s="12"/>
    </row>
    <row r="238" spans="1:28">
      <c r="B238" s="12"/>
      <c r="C238" s="12"/>
      <c r="D238" s="12"/>
      <c r="E238" s="12"/>
      <c r="F238" s="12"/>
      <c r="G238" s="12"/>
      <c r="H238" s="12"/>
      <c r="I238" s="12"/>
      <c r="J238" s="12"/>
      <c r="K238" s="12"/>
      <c r="L238" s="810"/>
      <c r="M238" s="795"/>
      <c r="N238" s="795"/>
      <c r="O238" s="810"/>
      <c r="P238" s="810"/>
      <c r="R238" s="12"/>
      <c r="S238" s="12"/>
      <c r="T238" s="12"/>
      <c r="U238" s="12"/>
      <c r="V238" s="12"/>
      <c r="W238" s="12"/>
      <c r="X238" s="12"/>
      <c r="Y238" s="12"/>
      <c r="Z238" s="12"/>
      <c r="AA238" s="12"/>
      <c r="AB238" s="12"/>
    </row>
    <row r="239" spans="1:28" ht="15.75">
      <c r="A239" s="178">
        <v>4</v>
      </c>
      <c r="B239" s="122" t="s">
        <v>169</v>
      </c>
      <c r="C239" s="122"/>
      <c r="D239" s="122"/>
      <c r="E239" s="12"/>
      <c r="F239" s="12"/>
      <c r="G239" s="12"/>
      <c r="H239" s="12"/>
      <c r="I239" s="12"/>
      <c r="J239" s="12"/>
      <c r="K239" s="12"/>
      <c r="L239" s="885"/>
      <c r="M239" s="903"/>
      <c r="N239" s="903"/>
      <c r="O239" s="885"/>
      <c r="P239" s="885"/>
      <c r="R239" s="12"/>
      <c r="S239" s="12"/>
      <c r="T239" s="12"/>
      <c r="U239" s="12"/>
      <c r="V239" s="12"/>
      <c r="W239" s="12"/>
      <c r="X239" s="12"/>
      <c r="Y239" s="12"/>
      <c r="Z239" s="12"/>
      <c r="AA239" s="12"/>
      <c r="AB239" s="12"/>
    </row>
    <row r="240" spans="1:28" ht="12" thickBot="1">
      <c r="B240" s="12"/>
      <c r="C240" s="12"/>
      <c r="D240" s="12"/>
      <c r="E240" s="12"/>
      <c r="F240" s="12"/>
      <c r="G240" s="12"/>
      <c r="H240" s="12"/>
      <c r="I240" s="12"/>
      <c r="J240" s="12"/>
      <c r="K240" s="12"/>
      <c r="L240" s="810"/>
      <c r="M240" s="795"/>
      <c r="N240" s="795"/>
      <c r="O240" s="810"/>
      <c r="P240" s="810"/>
      <c r="R240" s="12"/>
      <c r="S240" s="12"/>
      <c r="T240" s="12"/>
      <c r="U240" s="12"/>
      <c r="V240" s="12"/>
      <c r="W240" s="12"/>
      <c r="X240" s="12"/>
      <c r="Y240" s="12"/>
      <c r="Z240" s="12"/>
      <c r="AA240" s="12"/>
      <c r="AB240" s="12"/>
    </row>
    <row r="241" spans="2:28">
      <c r="B241" s="771"/>
      <c r="C241" s="772"/>
      <c r="D241" s="773"/>
      <c r="E241" s="771" t="s">
        <v>35</v>
      </c>
      <c r="F241" s="772"/>
      <c r="G241" s="772"/>
      <c r="H241" s="772"/>
      <c r="I241" s="772"/>
      <c r="J241" s="772"/>
      <c r="K241" s="772"/>
      <c r="L241" s="772"/>
      <c r="M241" s="772"/>
      <c r="N241" s="772"/>
      <c r="R241" s="12"/>
      <c r="S241" s="12"/>
      <c r="T241" s="12"/>
      <c r="U241" s="12"/>
      <c r="V241" s="12"/>
      <c r="W241" s="12"/>
      <c r="X241" s="12"/>
      <c r="Y241" s="12"/>
      <c r="Z241" s="12"/>
      <c r="AA241" s="12"/>
      <c r="AB241" s="12"/>
    </row>
    <row r="242" spans="2:28" ht="12" thickBot="1">
      <c r="B242" s="823" t="s">
        <v>168</v>
      </c>
      <c r="C242" s="777"/>
      <c r="D242" s="778" t="str">
        <f>$D$64</f>
        <v>TOTAL BRAND 01</v>
      </c>
      <c r="E242" s="779" t="s">
        <v>698</v>
      </c>
      <c r="F242" s="779" t="s">
        <v>699</v>
      </c>
      <c r="G242" s="779" t="s">
        <v>700</v>
      </c>
      <c r="H242" s="779" t="s">
        <v>701</v>
      </c>
      <c r="I242" s="780" t="s">
        <v>702</v>
      </c>
      <c r="J242" s="781" t="s">
        <v>703</v>
      </c>
      <c r="K242" s="781" t="s">
        <v>704</v>
      </c>
      <c r="L242" s="781" t="s">
        <v>705</v>
      </c>
      <c r="M242" s="781" t="s">
        <v>706</v>
      </c>
      <c r="N242" s="781"/>
      <c r="R242" s="12"/>
      <c r="S242" s="12"/>
      <c r="T242" s="12"/>
      <c r="U242" s="12"/>
      <c r="V242" s="12"/>
      <c r="W242" s="12"/>
      <c r="X242" s="12"/>
      <c r="Y242" s="12"/>
      <c r="Z242" s="12"/>
      <c r="AA242" s="12"/>
      <c r="AB242" s="12"/>
    </row>
    <row r="243" spans="2:28" ht="12.75" thickTop="1" thickBot="1">
      <c r="B243" s="904"/>
      <c r="C243" s="789"/>
      <c r="D243" s="905"/>
      <c r="E243" s="779" t="s">
        <v>409</v>
      </c>
      <c r="F243" s="779" t="s">
        <v>409</v>
      </c>
      <c r="G243" s="779" t="s">
        <v>409</v>
      </c>
      <c r="H243" s="779" t="s">
        <v>409</v>
      </c>
      <c r="I243" s="779" t="s">
        <v>409</v>
      </c>
      <c r="J243" s="779" t="s">
        <v>409</v>
      </c>
      <c r="K243" s="779" t="s">
        <v>410</v>
      </c>
      <c r="L243" s="779" t="s">
        <v>410</v>
      </c>
      <c r="M243" s="779" t="s">
        <v>409</v>
      </c>
      <c r="N243" s="779"/>
      <c r="R243" s="12"/>
      <c r="S243" s="12"/>
      <c r="T243" s="12"/>
      <c r="U243" s="12"/>
      <c r="V243" s="12"/>
      <c r="W243" s="12"/>
      <c r="X243" s="12"/>
      <c r="Y243" s="12"/>
      <c r="Z243" s="12"/>
      <c r="AA243" s="12"/>
      <c r="AB243" s="12"/>
    </row>
    <row r="244" spans="2:28" ht="12" thickTop="1">
      <c r="B244" s="787" t="s">
        <v>129</v>
      </c>
      <c r="C244" s="784" t="s">
        <v>50</v>
      </c>
      <c r="D244" s="786">
        <f>$E$12</f>
        <v>164197.57</v>
      </c>
      <c r="E244" s="12"/>
      <c r="F244" s="12"/>
      <c r="G244" s="12"/>
      <c r="H244" s="12"/>
      <c r="L244" s="7"/>
      <c r="R244" s="12"/>
      <c r="S244" s="12"/>
      <c r="T244" s="12"/>
      <c r="U244" s="12"/>
      <c r="V244" s="12"/>
      <c r="W244" s="12"/>
      <c r="X244" s="12"/>
      <c r="Y244" s="12"/>
      <c r="Z244" s="12"/>
      <c r="AA244" s="12"/>
      <c r="AB244" s="12"/>
    </row>
    <row r="245" spans="2:28">
      <c r="B245" s="787" t="s">
        <v>167</v>
      </c>
      <c r="C245" s="784" t="s">
        <v>50</v>
      </c>
      <c r="D245" s="790"/>
      <c r="E245" s="826">
        <v>8</v>
      </c>
      <c r="F245" s="826">
        <v>8</v>
      </c>
      <c r="G245" s="826">
        <v>7.5</v>
      </c>
      <c r="H245" s="826">
        <v>7.5</v>
      </c>
      <c r="I245" s="826">
        <v>7.5</v>
      </c>
      <c r="J245" s="826">
        <v>7.5</v>
      </c>
      <c r="K245" s="826">
        <v>3.3</v>
      </c>
      <c r="L245" s="826">
        <v>3.3</v>
      </c>
      <c r="M245" s="826">
        <v>6</v>
      </c>
      <c r="N245" s="826"/>
      <c r="R245" s="12"/>
      <c r="S245" s="12"/>
      <c r="T245" s="12"/>
      <c r="U245" s="12"/>
      <c r="V245" s="12"/>
      <c r="W245" s="12"/>
      <c r="X245" s="12"/>
      <c r="Y245" s="12"/>
      <c r="Z245" s="12"/>
      <c r="AA245" s="12"/>
      <c r="AB245" s="12"/>
    </row>
    <row r="246" spans="2:28">
      <c r="B246" s="787" t="s">
        <v>165</v>
      </c>
      <c r="C246" s="784" t="s">
        <v>50</v>
      </c>
      <c r="D246" s="790"/>
      <c r="E246" s="826">
        <v>1.1299999999999999</v>
      </c>
      <c r="F246" s="826">
        <v>1.07</v>
      </c>
      <c r="G246" s="826">
        <v>1.07</v>
      </c>
      <c r="H246" s="826">
        <v>1.07</v>
      </c>
      <c r="I246" s="826">
        <v>1.07</v>
      </c>
      <c r="J246" s="826">
        <v>1.07</v>
      </c>
      <c r="K246" s="826">
        <v>1.0900000000000001</v>
      </c>
      <c r="L246" s="826">
        <v>1.0900000000000001</v>
      </c>
      <c r="M246" s="826">
        <v>1.1000000000000001</v>
      </c>
      <c r="N246" s="826"/>
      <c r="R246" s="12"/>
      <c r="S246" s="12"/>
      <c r="T246" s="12"/>
      <c r="U246" s="12"/>
      <c r="V246" s="12"/>
      <c r="W246" s="12"/>
      <c r="X246" s="12"/>
      <c r="Y246" s="12"/>
      <c r="Z246" s="12"/>
      <c r="AA246" s="12"/>
      <c r="AB246" s="12"/>
    </row>
    <row r="247" spans="2:28">
      <c r="B247" s="787" t="s">
        <v>164</v>
      </c>
      <c r="C247" s="784" t="s">
        <v>50</v>
      </c>
      <c r="D247" s="790"/>
      <c r="E247" s="826">
        <f>E245-E246</f>
        <v>6.87</v>
      </c>
      <c r="F247" s="826">
        <f>F245-F246</f>
        <v>6.93</v>
      </c>
      <c r="G247" s="826">
        <f>G245-G246</f>
        <v>6.43</v>
      </c>
      <c r="H247" s="826">
        <f>H245-H246</f>
        <v>6.43</v>
      </c>
      <c r="I247" s="826">
        <f>I245-I246</f>
        <v>6.43</v>
      </c>
      <c r="J247" s="826">
        <f>J245-J246</f>
        <v>6.43</v>
      </c>
      <c r="K247" s="826">
        <f>K245-K246</f>
        <v>2.21</v>
      </c>
      <c r="L247" s="826">
        <f>L245-L246</f>
        <v>2.21</v>
      </c>
      <c r="M247" s="826">
        <f>M245-M246</f>
        <v>4.9000000000000004</v>
      </c>
      <c r="N247" s="826"/>
      <c r="R247" s="12"/>
      <c r="S247" s="12"/>
      <c r="T247" s="12"/>
      <c r="U247" s="12"/>
      <c r="V247" s="12"/>
      <c r="W247" s="12"/>
      <c r="X247" s="12"/>
      <c r="Y247" s="12"/>
      <c r="Z247" s="12"/>
      <c r="AA247" s="12"/>
      <c r="AB247" s="12"/>
    </row>
    <row r="248" spans="2:28">
      <c r="B248" s="787" t="s">
        <v>163</v>
      </c>
      <c r="C248" s="784" t="s">
        <v>49</v>
      </c>
      <c r="D248" s="829">
        <f>(D250-D252)/D250</f>
        <v>0.76355185704280881</v>
      </c>
      <c r="E248" s="830">
        <f>E247/E245</f>
        <v>0.85875000000000001</v>
      </c>
      <c r="F248" s="830">
        <f>F247/F245</f>
        <v>0.86624999999999996</v>
      </c>
      <c r="G248" s="830">
        <f>G247/G245</f>
        <v>0.85733333333333328</v>
      </c>
      <c r="H248" s="830">
        <f>H247/H245</f>
        <v>0.85733333333333328</v>
      </c>
      <c r="I248" s="830">
        <f>I247/I245</f>
        <v>0.85733333333333328</v>
      </c>
      <c r="J248" s="830">
        <f>J247/J245</f>
        <v>0.85733333333333328</v>
      </c>
      <c r="K248" s="830">
        <f>K247/K245</f>
        <v>0.66969696969696968</v>
      </c>
      <c r="L248" s="830">
        <f>L247/L245</f>
        <v>0.66969696969696968</v>
      </c>
      <c r="M248" s="830">
        <f>M247/M245</f>
        <v>0.81666666666666676</v>
      </c>
      <c r="N248" s="830"/>
      <c r="R248" s="12"/>
      <c r="S248" s="12"/>
      <c r="T248" s="12"/>
      <c r="U248" s="12"/>
      <c r="V248" s="12"/>
      <c r="W248" s="12"/>
      <c r="X248" s="12"/>
      <c r="Y248" s="12"/>
      <c r="Z248" s="12"/>
      <c r="AA248" s="12"/>
      <c r="AB248" s="12"/>
    </row>
    <row r="249" spans="2:28">
      <c r="B249" s="787" t="s">
        <v>162</v>
      </c>
      <c r="C249" s="784" t="s">
        <v>161</v>
      </c>
      <c r="D249" s="790"/>
      <c r="E249" s="831">
        <v>6193.2149131439101</v>
      </c>
      <c r="F249" s="831">
        <v>6575.340803869617</v>
      </c>
      <c r="G249" s="831">
        <v>6545.6621445599994</v>
      </c>
      <c r="H249" s="831">
        <v>8392.7214053600001</v>
      </c>
      <c r="I249" s="831">
        <v>9137.4088787199998</v>
      </c>
      <c r="J249" s="831">
        <v>6108.8602380800003</v>
      </c>
      <c r="K249" s="831">
        <v>47811.663235976092</v>
      </c>
      <c r="L249" s="831">
        <v>62023.871901330385</v>
      </c>
      <c r="M249" s="831">
        <v>8374.3543195199982</v>
      </c>
      <c r="N249" s="831"/>
      <c r="R249" s="12"/>
      <c r="S249" s="12"/>
      <c r="T249" s="12"/>
      <c r="U249" s="12"/>
      <c r="V249" s="12"/>
      <c r="W249" s="12"/>
      <c r="X249" s="12"/>
      <c r="Y249" s="12"/>
      <c r="Z249" s="12"/>
      <c r="AA249" s="12"/>
      <c r="AB249" s="12"/>
    </row>
    <row r="250" spans="2:28">
      <c r="B250" s="787" t="s">
        <v>113</v>
      </c>
      <c r="C250" s="784" t="s">
        <v>50</v>
      </c>
      <c r="D250" s="786">
        <f>SUM(E250:XN250)</f>
        <v>741236.7326067395</v>
      </c>
      <c r="E250" s="68">
        <f>E245*E249</f>
        <v>49545.71930515128</v>
      </c>
      <c r="F250" s="68">
        <f>F245*F249</f>
        <v>52602.726430956936</v>
      </c>
      <c r="G250" s="68">
        <f>G245*G249</f>
        <v>49092.466084199994</v>
      </c>
      <c r="H250" s="68">
        <f>H245*H249</f>
        <v>62945.410540199999</v>
      </c>
      <c r="I250" s="68">
        <f>I245*I249</f>
        <v>68530.566590400005</v>
      </c>
      <c r="J250" s="68">
        <f>J245*J249</f>
        <v>45816.451785600002</v>
      </c>
      <c r="K250" s="68">
        <f>K245*K249</f>
        <v>157778.4886787211</v>
      </c>
      <c r="L250" s="68">
        <f>L245*L249</f>
        <v>204678.77727439025</v>
      </c>
      <c r="M250" s="68">
        <f>M245*M249</f>
        <v>50246.125917119993</v>
      </c>
      <c r="N250" s="68"/>
      <c r="R250" s="12"/>
      <c r="S250" s="12"/>
      <c r="T250" s="12"/>
      <c r="U250" s="12"/>
      <c r="V250" s="12"/>
      <c r="W250" s="12"/>
      <c r="X250" s="12"/>
      <c r="Y250" s="12"/>
      <c r="Z250" s="12"/>
      <c r="AA250" s="12"/>
      <c r="AB250" s="12"/>
    </row>
    <row r="251" spans="2:28">
      <c r="B251" s="787" t="s">
        <v>176</v>
      </c>
      <c r="C251" s="784" t="s">
        <v>49</v>
      </c>
      <c r="D251" s="832"/>
      <c r="E251" s="830">
        <f>E250/$D250</f>
        <v>6.6841964416565938E-2</v>
      </c>
      <c r="F251" s="830">
        <f>F250/$D250</f>
        <v>7.0966162518641837E-2</v>
      </c>
      <c r="G251" s="830">
        <f>G250/$D250</f>
        <v>6.6230482010186387E-2</v>
      </c>
      <c r="H251" s="830">
        <f>H250/$D250</f>
        <v>8.4919443102660516E-2</v>
      </c>
      <c r="I251" s="830">
        <f>I250/$D250</f>
        <v>9.245435847383815E-2</v>
      </c>
      <c r="J251" s="830">
        <f>J250/$D250</f>
        <v>6.1810822062845279E-2</v>
      </c>
      <c r="K251" s="830">
        <f>K250/$D250</f>
        <v>0.21285843204755195</v>
      </c>
      <c r="L251" s="830">
        <f>L250/$D250</f>
        <v>0.27613145473051165</v>
      </c>
      <c r="M251" s="830">
        <f>M250/$D250</f>
        <v>6.7786880637198399E-2</v>
      </c>
      <c r="N251" s="830"/>
      <c r="R251" s="12"/>
      <c r="S251" s="12"/>
      <c r="T251" s="12"/>
      <c r="U251" s="12"/>
      <c r="V251" s="12"/>
      <c r="W251" s="12"/>
      <c r="X251" s="12"/>
      <c r="Y251" s="12"/>
      <c r="Z251" s="12"/>
      <c r="AA251" s="12"/>
      <c r="AB251" s="12"/>
    </row>
    <row r="252" spans="2:28">
      <c r="B252" s="787" t="s">
        <v>468</v>
      </c>
      <c r="C252" s="784" t="s">
        <v>50</v>
      </c>
      <c r="D252" s="786">
        <f>SUM(E252:XN252)</f>
        <v>175264.04891651956</v>
      </c>
      <c r="E252" s="68">
        <f>E246*E249</f>
        <v>6998.3328518526178</v>
      </c>
      <c r="F252" s="68">
        <f>F246*F249</f>
        <v>7035.6146601404907</v>
      </c>
      <c r="G252" s="68">
        <f>G246*G249</f>
        <v>7003.8584946791998</v>
      </c>
      <c r="H252" s="68">
        <f>H246*H249</f>
        <v>8980.2119037352004</v>
      </c>
      <c r="I252" s="68">
        <f>I246*I249</f>
        <v>9777.0275002304006</v>
      </c>
      <c r="J252" s="68">
        <f>J246*J249</f>
        <v>6536.4804547456006</v>
      </c>
      <c r="K252" s="68">
        <f>K246*K249</f>
        <v>52114.712927213943</v>
      </c>
      <c r="L252" s="68">
        <f>L246*L249</f>
        <v>67606.020372450119</v>
      </c>
      <c r="M252" s="68">
        <f>M246*M249</f>
        <v>9211.7897514719989</v>
      </c>
      <c r="N252" s="68"/>
      <c r="R252" s="12"/>
      <c r="S252" s="12"/>
      <c r="T252" s="12"/>
      <c r="U252" s="12"/>
      <c r="V252" s="12"/>
      <c r="W252" s="12"/>
      <c r="X252" s="12"/>
      <c r="Y252" s="12"/>
      <c r="Z252" s="12"/>
      <c r="AA252" s="12"/>
      <c r="AB252" s="12"/>
    </row>
    <row r="253" spans="2:28">
      <c r="B253" s="787" t="s">
        <v>111</v>
      </c>
      <c r="C253" s="784" t="s">
        <v>50</v>
      </c>
      <c r="D253" s="786">
        <f>SUM(E253:XN253)</f>
        <v>565972.68369021988</v>
      </c>
      <c r="E253" s="68">
        <f>E250-E252</f>
        <v>42547.386453298663</v>
      </c>
      <c r="F253" s="68">
        <f>F250-F252</f>
        <v>45567.111770816446</v>
      </c>
      <c r="G253" s="68">
        <f>G250-G252</f>
        <v>42088.60758952079</v>
      </c>
      <c r="H253" s="68">
        <f>H250-H252</f>
        <v>53965.198636464796</v>
      </c>
      <c r="I253" s="68">
        <f>I250-I252</f>
        <v>58753.539090169608</v>
      </c>
      <c r="J253" s="68">
        <f>J250-J252</f>
        <v>39279.971330854401</v>
      </c>
      <c r="K253" s="68">
        <f>K250-K252</f>
        <v>105663.77575150716</v>
      </c>
      <c r="L253" s="68">
        <f>L250-L252</f>
        <v>137072.75690194013</v>
      </c>
      <c r="M253" s="68">
        <f>M250-M252</f>
        <v>41034.336165647997</v>
      </c>
      <c r="N253" s="68"/>
      <c r="R253" s="12"/>
      <c r="S253" s="12"/>
      <c r="T253" s="12"/>
      <c r="U253" s="12"/>
      <c r="V253" s="12"/>
      <c r="W253" s="12"/>
      <c r="X253" s="12"/>
      <c r="Y253" s="12"/>
      <c r="Z253" s="12"/>
      <c r="AA253" s="12"/>
      <c r="AB253" s="12"/>
    </row>
    <row r="254" spans="2:28">
      <c r="B254" s="787"/>
      <c r="C254" s="784" t="s">
        <v>49</v>
      </c>
      <c r="D254" s="790"/>
      <c r="E254" s="830">
        <f>E253/$D253</f>
        <v>7.5175689003016619E-2</v>
      </c>
      <c r="F254" s="830">
        <f>F253/$D253</f>
        <v>8.0511150244412147E-2</v>
      </c>
      <c r="G254" s="830">
        <f>G253/$D253</f>
        <v>7.4365086518128884E-2</v>
      </c>
      <c r="H254" s="830">
        <f>H253/$D253</f>
        <v>9.5349475675405859E-2</v>
      </c>
      <c r="I254" s="830">
        <f>I253/$D253</f>
        <v>0.10380984945614059</v>
      </c>
      <c r="J254" s="830">
        <f>J253/$D253</f>
        <v>6.9402592144100619E-2</v>
      </c>
      <c r="K254" s="830">
        <f>K253/$D253</f>
        <v>0.18669412640653393</v>
      </c>
      <c r="L254" s="830">
        <f>L253/$D253</f>
        <v>0.24218970429492614</v>
      </c>
      <c r="M254" s="830">
        <f>M253/$D253</f>
        <v>7.2502326257335381E-2</v>
      </c>
      <c r="N254" s="830"/>
      <c r="R254" s="12"/>
      <c r="S254" s="12"/>
      <c r="T254" s="12"/>
      <c r="U254" s="12"/>
      <c r="V254" s="12"/>
      <c r="W254" s="12"/>
      <c r="X254" s="12"/>
      <c r="Y254" s="12"/>
      <c r="Z254" s="12"/>
      <c r="AA254" s="12"/>
      <c r="AB254" s="12"/>
    </row>
    <row r="255" spans="2:28" ht="12" thickBot="1">
      <c r="B255" s="833" t="s">
        <v>126</v>
      </c>
      <c r="C255" s="834" t="s">
        <v>50</v>
      </c>
      <c r="D255" s="881">
        <f>D253-D244</f>
        <v>401775.11369021988</v>
      </c>
      <c r="E255" s="882"/>
      <c r="F255" s="882"/>
      <c r="G255" s="882"/>
      <c r="H255" s="882"/>
      <c r="I255" s="882"/>
      <c r="J255" s="523"/>
      <c r="K255" s="524"/>
      <c r="L255" s="524"/>
      <c r="M255" s="883"/>
      <c r="N255" s="524"/>
      <c r="R255" s="12"/>
      <c r="S255" s="12"/>
      <c r="T255" s="12"/>
      <c r="U255" s="12"/>
      <c r="V255" s="12"/>
      <c r="W255" s="12"/>
      <c r="X255" s="12"/>
      <c r="Y255" s="12"/>
      <c r="Z255" s="12"/>
      <c r="AA255" s="12"/>
      <c r="AB255" s="12"/>
    </row>
    <row r="256" spans="2:28" ht="12" thickBot="1">
      <c r="B256" s="12"/>
      <c r="C256" s="12"/>
      <c r="E256" s="12"/>
      <c r="F256" s="12"/>
      <c r="G256" s="12"/>
      <c r="H256" s="12"/>
      <c r="I256" s="12"/>
      <c r="J256" s="12"/>
      <c r="L256" s="7"/>
      <c r="R256" s="12"/>
      <c r="S256" s="12"/>
      <c r="T256" s="12"/>
      <c r="U256" s="12"/>
      <c r="V256" s="12"/>
      <c r="W256" s="12"/>
      <c r="X256" s="12"/>
      <c r="Y256" s="12"/>
      <c r="Z256" s="12"/>
      <c r="AA256" s="12"/>
      <c r="AB256" s="12"/>
    </row>
    <row r="257" spans="2:28">
      <c r="B257" s="863" t="s">
        <v>166</v>
      </c>
      <c r="C257" s="840" t="s">
        <v>157</v>
      </c>
      <c r="D257" s="906"/>
      <c r="E257" s="354">
        <v>7.5</v>
      </c>
      <c r="F257" s="354">
        <v>7.5</v>
      </c>
      <c r="G257" s="354">
        <v>6.5</v>
      </c>
      <c r="H257" s="354">
        <v>6.5</v>
      </c>
      <c r="I257" s="354">
        <v>6.5</v>
      </c>
      <c r="J257" s="354">
        <v>6.5</v>
      </c>
      <c r="K257" s="354">
        <v>1.8</v>
      </c>
      <c r="L257" s="354">
        <v>1.8</v>
      </c>
      <c r="M257" s="354">
        <v>4.5</v>
      </c>
      <c r="N257" s="354">
        <v>1</v>
      </c>
      <c r="O257" s="914"/>
      <c r="P257" s="914"/>
      <c r="R257" s="12"/>
      <c r="S257" s="12"/>
      <c r="T257" s="12"/>
      <c r="U257" s="12"/>
      <c r="V257" s="12"/>
      <c r="W257" s="12"/>
      <c r="X257" s="12"/>
      <c r="Y257" s="12"/>
      <c r="Z257" s="12"/>
      <c r="AA257" s="12"/>
      <c r="AB257" s="12"/>
    </row>
    <row r="258" spans="2:28">
      <c r="B258" s="842"/>
      <c r="C258" s="12" t="s">
        <v>159</v>
      </c>
      <c r="D258" s="907"/>
      <c r="E258" s="918">
        <v>8</v>
      </c>
      <c r="F258" s="918">
        <v>8</v>
      </c>
      <c r="G258" s="918">
        <v>7.5</v>
      </c>
      <c r="H258" s="918">
        <v>7.5</v>
      </c>
      <c r="I258" s="918">
        <v>7.5</v>
      </c>
      <c r="J258" s="918">
        <v>7.5</v>
      </c>
      <c r="K258" s="918">
        <v>2.5</v>
      </c>
      <c r="L258" s="918">
        <v>2.5</v>
      </c>
      <c r="M258" s="918">
        <v>5</v>
      </c>
      <c r="N258" s="918">
        <v>1.28</v>
      </c>
      <c r="O258" s="914"/>
      <c r="P258" s="914"/>
      <c r="R258" s="12"/>
      <c r="S258" s="12"/>
      <c r="T258" s="12"/>
      <c r="U258" s="12"/>
      <c r="V258" s="12"/>
      <c r="W258" s="12"/>
      <c r="X258" s="12"/>
      <c r="Y258" s="12"/>
      <c r="Z258" s="12"/>
      <c r="AA258" s="12"/>
      <c r="AB258" s="12"/>
    </row>
    <row r="259" spans="2:28">
      <c r="B259" s="842"/>
      <c r="C259" s="56" t="s">
        <v>158</v>
      </c>
      <c r="D259" s="907"/>
      <c r="E259" s="355">
        <v>7.8265124719573</v>
      </c>
      <c r="F259" s="355">
        <v>7.7967071275318647</v>
      </c>
      <c r="G259" s="355">
        <v>7.2982611401177033</v>
      </c>
      <c r="H259" s="355">
        <v>7.2973953886428768</v>
      </c>
      <c r="I259" s="355">
        <v>7.2986672913248904</v>
      </c>
      <c r="J259" s="355">
        <v>7.3020083108316154</v>
      </c>
      <c r="K259" s="355">
        <v>5.3</v>
      </c>
      <c r="L259" s="355">
        <v>5.3</v>
      </c>
      <c r="M259" s="355">
        <v>6.3005353090581551</v>
      </c>
      <c r="N259" s="355">
        <v>1.3375115349641329</v>
      </c>
      <c r="O259" s="914"/>
      <c r="P259" s="914"/>
      <c r="R259" s="12"/>
      <c r="S259" s="12"/>
      <c r="T259" s="12"/>
      <c r="U259" s="12"/>
      <c r="V259" s="12"/>
      <c r="W259" s="12"/>
      <c r="X259" s="12"/>
      <c r="Y259" s="12"/>
      <c r="Z259" s="12"/>
      <c r="AA259" s="12"/>
      <c r="AB259" s="12"/>
    </row>
    <row r="260" spans="2:28">
      <c r="B260" s="842"/>
      <c r="C260" s="12" t="s">
        <v>156</v>
      </c>
      <c r="D260" s="907"/>
      <c r="E260" s="355">
        <v>11</v>
      </c>
      <c r="F260" s="355">
        <v>11</v>
      </c>
      <c r="G260" s="355">
        <v>10</v>
      </c>
      <c r="H260" s="355">
        <v>10</v>
      </c>
      <c r="I260" s="355">
        <v>10</v>
      </c>
      <c r="J260" s="355">
        <v>10</v>
      </c>
      <c r="K260" s="355">
        <v>5.3</v>
      </c>
      <c r="L260" s="355">
        <v>5.3</v>
      </c>
      <c r="M260" s="355">
        <v>8</v>
      </c>
      <c r="N260" s="355">
        <v>1.5</v>
      </c>
      <c r="O260" s="914"/>
      <c r="P260" s="914"/>
      <c r="R260" s="12"/>
      <c r="S260" s="12"/>
      <c r="T260" s="12"/>
      <c r="U260" s="12"/>
      <c r="V260" s="12"/>
      <c r="W260" s="12"/>
      <c r="X260" s="12"/>
      <c r="Y260" s="12"/>
      <c r="Z260" s="12"/>
      <c r="AA260" s="12"/>
      <c r="AB260" s="12"/>
    </row>
    <row r="261" spans="2:28">
      <c r="B261" s="842"/>
      <c r="C261" s="12"/>
      <c r="D261" s="907"/>
      <c r="E261" s="919"/>
      <c r="F261" s="919"/>
      <c r="G261" s="919"/>
      <c r="H261" s="919"/>
      <c r="I261" s="920"/>
      <c r="J261" s="919"/>
      <c r="K261" s="919"/>
      <c r="L261" s="919"/>
      <c r="M261" s="919"/>
      <c r="N261" s="921"/>
      <c r="O261" s="914"/>
      <c r="P261" s="914"/>
      <c r="R261" s="12"/>
      <c r="S261" s="12"/>
      <c r="T261" s="12"/>
      <c r="U261" s="12"/>
      <c r="V261" s="12"/>
      <c r="W261" s="12"/>
      <c r="X261" s="12"/>
      <c r="Y261" s="12"/>
      <c r="Z261" s="12"/>
      <c r="AA261" s="12"/>
      <c r="AB261" s="12"/>
    </row>
    <row r="262" spans="2:28">
      <c r="B262" s="842" t="s">
        <v>160</v>
      </c>
      <c r="C262" s="12" t="s">
        <v>157</v>
      </c>
      <c r="D262" s="907"/>
      <c r="E262" s="355">
        <v>0.91</v>
      </c>
      <c r="F262" s="355">
        <v>0.85</v>
      </c>
      <c r="G262" s="355">
        <v>0.85</v>
      </c>
      <c r="H262" s="355">
        <v>0.85</v>
      </c>
      <c r="I262" s="355">
        <v>0.85</v>
      </c>
      <c r="J262" s="355">
        <v>0.85</v>
      </c>
      <c r="K262" s="355">
        <v>0.81</v>
      </c>
      <c r="L262" s="355">
        <v>0.81</v>
      </c>
      <c r="M262" s="355">
        <v>0.85</v>
      </c>
      <c r="N262" s="355">
        <v>0.5</v>
      </c>
      <c r="O262" s="914"/>
      <c r="P262" s="914"/>
      <c r="R262" s="12"/>
      <c r="S262" s="12"/>
      <c r="T262" s="12"/>
      <c r="U262" s="12"/>
      <c r="V262" s="12"/>
      <c r="W262" s="12"/>
      <c r="X262" s="12"/>
      <c r="Y262" s="12"/>
      <c r="Z262" s="12"/>
      <c r="AA262" s="12"/>
      <c r="AB262" s="12"/>
    </row>
    <row r="263" spans="2:28">
      <c r="B263" s="842"/>
      <c r="C263" s="12" t="s">
        <v>159</v>
      </c>
      <c r="D263" s="907"/>
      <c r="E263" s="918">
        <v>0.95</v>
      </c>
      <c r="F263" s="918">
        <v>0.9</v>
      </c>
      <c r="G263" s="918">
        <v>0.9</v>
      </c>
      <c r="H263" s="918">
        <v>0.9</v>
      </c>
      <c r="I263" s="918">
        <v>0.9</v>
      </c>
      <c r="J263" s="918">
        <v>0.9</v>
      </c>
      <c r="K263" s="918">
        <v>0.85</v>
      </c>
      <c r="L263" s="918">
        <v>0.85</v>
      </c>
      <c r="M263" s="918">
        <v>0.98</v>
      </c>
      <c r="N263" s="918">
        <v>0.55000000000000004</v>
      </c>
      <c r="O263" s="914"/>
      <c r="P263" s="914"/>
      <c r="R263" s="12"/>
      <c r="S263" s="12"/>
      <c r="T263" s="12"/>
      <c r="U263" s="12"/>
      <c r="V263" s="12"/>
      <c r="W263" s="12"/>
      <c r="X263" s="12"/>
      <c r="Y263" s="12"/>
      <c r="Z263" s="12"/>
      <c r="AA263" s="12"/>
      <c r="AB263" s="12"/>
    </row>
    <row r="264" spans="2:28">
      <c r="B264" s="842"/>
      <c r="C264" s="56" t="s">
        <v>158</v>
      </c>
      <c r="D264" s="907"/>
      <c r="E264" s="355">
        <v>1.1599999999999999</v>
      </c>
      <c r="F264" s="355">
        <v>1.1000000000000001</v>
      </c>
      <c r="G264" s="355">
        <v>1.1000000000000001</v>
      </c>
      <c r="H264" s="355">
        <v>1.1000000000000001</v>
      </c>
      <c r="I264" s="355">
        <v>1.1000000000000001</v>
      </c>
      <c r="J264" s="355">
        <v>1.1000000000000001</v>
      </c>
      <c r="K264" s="355">
        <v>1.06</v>
      </c>
      <c r="L264" s="355">
        <v>1.06</v>
      </c>
      <c r="M264" s="355">
        <v>1.1000000000000001</v>
      </c>
      <c r="N264" s="355">
        <v>0.6</v>
      </c>
      <c r="O264" s="914"/>
      <c r="P264" s="914"/>
      <c r="R264" s="12"/>
      <c r="S264" s="12"/>
      <c r="T264" s="12"/>
      <c r="U264" s="12"/>
      <c r="V264" s="12"/>
      <c r="W264" s="12"/>
      <c r="X264" s="12"/>
      <c r="Y264" s="12"/>
      <c r="Z264" s="12"/>
      <c r="AA264" s="12"/>
      <c r="AB264" s="12"/>
    </row>
    <row r="265" spans="2:28">
      <c r="B265" s="842"/>
      <c r="C265" s="12" t="s">
        <v>156</v>
      </c>
      <c r="D265" s="907"/>
      <c r="E265" s="355">
        <v>1.41</v>
      </c>
      <c r="F265" s="355">
        <v>1.35</v>
      </c>
      <c r="G265" s="355">
        <v>1.35</v>
      </c>
      <c r="H265" s="355">
        <v>1.35</v>
      </c>
      <c r="I265" s="355">
        <v>1.35</v>
      </c>
      <c r="J265" s="355">
        <v>1.35</v>
      </c>
      <c r="K265" s="355">
        <v>1.31</v>
      </c>
      <c r="L265" s="355">
        <v>1.31</v>
      </c>
      <c r="M265" s="355">
        <v>1.35</v>
      </c>
      <c r="N265" s="355">
        <v>0.9</v>
      </c>
      <c r="O265" s="914"/>
      <c r="P265" s="914"/>
      <c r="R265" s="12"/>
      <c r="S265" s="12"/>
      <c r="T265" s="12"/>
      <c r="U265" s="12"/>
      <c r="V265" s="12"/>
      <c r="W265" s="12"/>
      <c r="X265" s="12"/>
      <c r="Y265" s="12"/>
      <c r="Z265" s="12"/>
      <c r="AA265" s="12"/>
      <c r="AB265" s="12"/>
    </row>
    <row r="266" spans="2:28">
      <c r="B266" s="842"/>
      <c r="C266" s="12"/>
      <c r="D266" s="907"/>
      <c r="E266" s="929" t="b">
        <f>VLOOKUP(E242&amp;"  Name",'Sim-Report'!$B$6:$AZ$8000,CycleInCalculation+2,FALSE)="Special Offer"</f>
        <v>0</v>
      </c>
      <c r="F266" s="929" t="b">
        <f>VLOOKUP(F242&amp;"  Name",'Sim-Report'!$B$6:$AZ$8000,CycleInCalculation+2,FALSE)="Special Offer"</f>
        <v>0</v>
      </c>
      <c r="G266" s="929" t="b">
        <f>VLOOKUP(G242&amp;"  Name",'Sim-Report'!$B$6:$AZ$8000,CycleInCalculation+2,FALSE)="Special Offer"</f>
        <v>0</v>
      </c>
      <c r="H266" s="929" t="b">
        <f>VLOOKUP(H242&amp;"  Name",'Sim-Report'!$B$6:$AZ$8000,CycleInCalculation+2,FALSE)="Special Offer"</f>
        <v>0</v>
      </c>
      <c r="I266" s="929" t="b">
        <f>VLOOKUP(I242&amp;"  Name",'Sim-Report'!$B$6:$AZ$8000,CycleInCalculation+2,FALSE)="Special Offer"</f>
        <v>0</v>
      </c>
      <c r="J266" s="929" t="b">
        <f>VLOOKUP(J242&amp;"  Name",'Sim-Report'!$B$6:$AZ$8000,CycleInCalculation+2,FALSE)="Special Offer"</f>
        <v>0</v>
      </c>
      <c r="K266" s="929" t="b">
        <f>VLOOKUP(K242&amp;"  Name",'Sim-Report'!$B$6:$AZ$8000,CycleInCalculation+2,FALSE)="Special Offer"</f>
        <v>0</v>
      </c>
      <c r="L266" s="929" t="b">
        <f>VLOOKUP(L242&amp;"  Name",'Sim-Report'!$B$6:$AZ$8000,CycleInCalculation+2,FALSE)="Special Offer"</f>
        <v>0</v>
      </c>
      <c r="M266" s="929" t="b">
        <f>VLOOKUP(M242&amp;"  Name",'Sim-Report'!$B$6:$AZ$8000,CycleInCalculation+2,FALSE)="Special Offer"</f>
        <v>1</v>
      </c>
      <c r="N266" s="929"/>
      <c r="O266" s="929"/>
      <c r="P266" s="929"/>
      <c r="Q266" s="929"/>
      <c r="R266" s="929"/>
      <c r="S266" s="929"/>
      <c r="T266" s="929"/>
      <c r="U266" s="929"/>
      <c r="V266" s="929"/>
      <c r="W266" s="929"/>
      <c r="X266" s="929"/>
      <c r="Y266" s="929"/>
      <c r="Z266" s="929"/>
      <c r="AA266" s="12"/>
      <c r="AB266" s="12"/>
    </row>
    <row r="267" spans="2:28">
      <c r="B267" s="842"/>
      <c r="C267" s="12" t="s">
        <v>471</v>
      </c>
      <c r="D267" s="886" t="s">
        <v>472</v>
      </c>
      <c r="L267" s="7"/>
      <c r="R267" s="12"/>
      <c r="S267" s="12"/>
      <c r="T267" s="12"/>
      <c r="U267" s="12"/>
      <c r="V267" s="12"/>
      <c r="W267" s="12"/>
      <c r="X267" s="12"/>
      <c r="Y267" s="12"/>
      <c r="Z267" s="12"/>
      <c r="AA267" s="12"/>
      <c r="AB267" s="12"/>
    </row>
    <row r="268" spans="2:28">
      <c r="B268" s="842" t="s">
        <v>473</v>
      </c>
      <c r="C268" s="519">
        <v>2</v>
      </c>
      <c r="D268" s="728">
        <v>1.5</v>
      </c>
      <c r="E268" s="12"/>
      <c r="F268" s="12"/>
      <c r="G268" s="12"/>
      <c r="H268" s="12"/>
      <c r="I268" s="12"/>
      <c r="J268" s="12"/>
      <c r="K268" s="12"/>
      <c r="L268" s="12"/>
      <c r="R268" s="12"/>
      <c r="S268" s="12"/>
      <c r="T268" s="12"/>
      <c r="U268" s="12"/>
      <c r="V268" s="12"/>
      <c r="W268" s="12"/>
      <c r="X268" s="12"/>
      <c r="Y268" s="12"/>
      <c r="Z268" s="12"/>
      <c r="AA268" s="12"/>
      <c r="AB268" s="12"/>
    </row>
    <row r="269" spans="2:28">
      <c r="B269" s="842"/>
      <c r="C269" s="12"/>
      <c r="D269" s="907"/>
      <c r="L269" s="7"/>
      <c r="R269" s="12"/>
      <c r="S269" s="12"/>
      <c r="T269" s="12"/>
      <c r="U269" s="12"/>
      <c r="V269" s="12"/>
      <c r="W269" s="12"/>
      <c r="X269" s="12"/>
      <c r="Y269" s="12"/>
      <c r="Z269" s="12"/>
      <c r="AA269" s="12"/>
      <c r="AB269" s="12"/>
    </row>
    <row r="270" spans="2:28">
      <c r="B270" s="842" t="s">
        <v>157</v>
      </c>
      <c r="C270" s="12"/>
      <c r="D270" s="907"/>
      <c r="E270" s="888">
        <f>IF(E243="[retail]",E249,E249/$D$268)</f>
        <v>6193.2149131439101</v>
      </c>
      <c r="F270" s="888">
        <f>IF(F243="[retail]",F249,F249/$D$268)</f>
        <v>6575.340803869617</v>
      </c>
      <c r="G270" s="888">
        <f>IF(G243="[retail]",G249,G249/$D$268)</f>
        <v>6545.6621445599994</v>
      </c>
      <c r="H270" s="888">
        <f>IF(H243="[retail]",H249,H249/$D$268)</f>
        <v>8392.7214053600001</v>
      </c>
      <c r="I270" s="888">
        <f>IF(I243="[retail]",I249,I249/$D$268)</f>
        <v>9137.4088787199998</v>
      </c>
      <c r="J270" s="888">
        <f>IF(J243="[retail]",J249,J249/$D$268)</f>
        <v>6108.8602380800003</v>
      </c>
      <c r="K270" s="888">
        <f>IF(K243="[retail]",K249,K249/$D$268)</f>
        <v>31874.442157317393</v>
      </c>
      <c r="L270" s="888">
        <f>IF(L243="[retail]",L249,L249/$D$268)</f>
        <v>41349.247934220257</v>
      </c>
      <c r="M270" s="888">
        <f>IF(M243="[retail]",M249,M249/$D$268)</f>
        <v>8374.3543195199982</v>
      </c>
      <c r="N270" s="888"/>
      <c r="R270" s="12"/>
      <c r="S270" s="12"/>
      <c r="T270" s="12"/>
      <c r="U270" s="12"/>
      <c r="V270" s="12"/>
      <c r="W270" s="12"/>
      <c r="X270" s="12"/>
      <c r="Y270" s="12"/>
      <c r="Z270" s="12"/>
      <c r="AA270" s="12"/>
      <c r="AB270" s="12"/>
    </row>
    <row r="271" spans="2:28">
      <c r="B271" s="842" t="s">
        <v>155</v>
      </c>
      <c r="C271" s="12" t="s">
        <v>161</v>
      </c>
      <c r="D271" s="889">
        <f>SUM(E271:XN271)</f>
        <v>163545.67138699998</v>
      </c>
      <c r="E271" s="888">
        <f>IF(E243="[retail]",E272-1/(E260-E257)*(E259-E257)*E270,E272-(1/3)/(E260-E257)*(E259-E257)*E272)</f>
        <v>11808.669280386839</v>
      </c>
      <c r="F271" s="888">
        <f>IF(F243="[retail]",F272-1/(F260-F257)*(F259-F257)*F270,F272-(1/3)/(F260-F257)*(F259-F257)*F272)</f>
        <v>12593.267184179458</v>
      </c>
      <c r="G271" s="888">
        <f>IF(G243="[retail]",G272-1/(G260-G257)*(G259-G257)*G270,G272-(1/3)/(G260-G257)*(G259-G257)*G272)</f>
        <v>11598.42493873664</v>
      </c>
      <c r="H271" s="888">
        <f>IF(H243="[retail]",H272-1/(H260-H257)*(H259-H257)*H270,H272-(1/3)/(H260-H257)*(H259-H257)*H272)</f>
        <v>14873.352140206163</v>
      </c>
      <c r="I271" s="888">
        <f>IF(I243="[retail]",I272-1/(I260-I257)*(I259-I257)*I270,I272-(1/3)/(I260-I257)*(I259-I257)*I272)</f>
        <v>16189.746443469912</v>
      </c>
      <c r="J271" s="888">
        <f>IF(J243="[retail]",J272-1/(J260-J257)*(J259-J257)*J270,J272-(1/3)/(J260-J257)*(J259-J257)*J272)</f>
        <v>10817.904281688869</v>
      </c>
      <c r="K271" s="888">
        <f>IF(K243="[retail]",K272-1/(K260-K257)*(K259-K257)*K270,K272-(1/3)/(K260-K257)*(K259-K257)*K272)</f>
        <v>31874.442157317397</v>
      </c>
      <c r="L271" s="888">
        <f>IF(L243="[retail]",L272-1/(L260-L257)*(L259-L257)*L270,L272-(1/3)/(L260-L257)*(L259-L257)*L272)</f>
        <v>41349.247934220257</v>
      </c>
      <c r="M271" s="888">
        <f>IF(M243="[retail]",M272-1/(M260-M257)*(M259-M257)*M270,M272-(1/3)/(M260-M257)*(M259-M257)*M272)</f>
        <v>12440.617026794444</v>
      </c>
      <c r="N271" s="888"/>
      <c r="R271" s="12"/>
      <c r="S271" s="12"/>
      <c r="T271" s="12"/>
      <c r="U271" s="12"/>
      <c r="V271" s="12"/>
      <c r="W271" s="12"/>
      <c r="X271" s="12"/>
      <c r="Y271" s="12"/>
      <c r="Z271" s="12"/>
      <c r="AA271" s="12"/>
      <c r="AB271" s="12"/>
    </row>
    <row r="272" spans="2:28">
      <c r="B272" s="842" t="s">
        <v>156</v>
      </c>
      <c r="C272" s="12"/>
      <c r="D272" s="886"/>
      <c r="E272" s="888">
        <f>IF(E243="[retail]",E249*$C$268,E249)</f>
        <v>12386.42982628782</v>
      </c>
      <c r="F272" s="888">
        <f>IF(F243="[retail]",F249*$C$268,F249)</f>
        <v>13150.681607739234</v>
      </c>
      <c r="G272" s="888">
        <f>IF(G243="[retail]",G249*$C$268,G249)</f>
        <v>13091.324289119999</v>
      </c>
      <c r="H272" s="888">
        <f>IF(H243="[retail]",H249*$C$268,H249)</f>
        <v>16785.44281072</v>
      </c>
      <c r="I272" s="888">
        <f>IF(I243="[retail]",I249*$C$268,I249)</f>
        <v>18274.81775744</v>
      </c>
      <c r="J272" s="888">
        <f>IF(J243="[retail]",J249*$C$268,J249)</f>
        <v>12217.720476160001</v>
      </c>
      <c r="K272" s="888">
        <f>IF(K243="[retail]",K249*$C$268,K249)</f>
        <v>47811.663235976092</v>
      </c>
      <c r="L272" s="888">
        <f>IF(L243="[retail]",L249*$C$268,L249)</f>
        <v>62023.871901330385</v>
      </c>
      <c r="M272" s="888">
        <f>IF(M243="[retail]",M249*$C$268,M249)</f>
        <v>16748.708639039996</v>
      </c>
      <c r="N272" s="888"/>
      <c r="R272" s="12"/>
      <c r="S272" s="12"/>
      <c r="T272" s="12"/>
      <c r="U272" s="12"/>
      <c r="V272" s="12"/>
      <c r="W272" s="12"/>
      <c r="X272" s="12"/>
      <c r="Y272" s="12"/>
      <c r="Z272" s="12"/>
      <c r="AA272" s="12"/>
      <c r="AB272" s="12"/>
    </row>
    <row r="273" spans="1:34">
      <c r="B273" s="873" t="s">
        <v>685</v>
      </c>
      <c r="C273" s="12"/>
      <c r="D273" s="931">
        <v>-0.02</v>
      </c>
      <c r="E273" s="888"/>
      <c r="F273" s="888"/>
      <c r="G273" s="888"/>
      <c r="H273" s="888"/>
      <c r="I273" s="888"/>
      <c r="J273" s="888"/>
      <c r="K273" s="888"/>
      <c r="L273" s="888"/>
      <c r="M273" s="888"/>
      <c r="N273" s="888"/>
      <c r="R273" s="12"/>
      <c r="S273" s="12"/>
      <c r="T273" s="12"/>
      <c r="U273" s="12"/>
      <c r="V273" s="12"/>
      <c r="W273" s="12"/>
      <c r="X273" s="12"/>
      <c r="Y273" s="12"/>
      <c r="Z273" s="12"/>
      <c r="AA273" s="12"/>
      <c r="AB273" s="12"/>
    </row>
    <row r="274" spans="1:34">
      <c r="B274" s="873" t="s">
        <v>684</v>
      </c>
      <c r="C274" s="908"/>
      <c r="D274" s="928">
        <f>(D271-SUM(E249:XN249))/SUM(E249:XN249)</f>
        <v>1.4783617207439521E-2</v>
      </c>
      <c r="E274" s="768"/>
      <c r="F274" s="12"/>
      <c r="G274" s="12"/>
      <c r="H274" s="12"/>
      <c r="I274" s="12"/>
      <c r="J274" s="892"/>
      <c r="K274" s="12"/>
      <c r="L274" s="12"/>
      <c r="M274" s="768"/>
      <c r="N274" s="12"/>
      <c r="R274" s="12"/>
      <c r="S274" s="12"/>
      <c r="T274" s="12"/>
      <c r="U274" s="12"/>
      <c r="V274" s="12"/>
      <c r="W274" s="12"/>
      <c r="X274" s="12"/>
      <c r="Y274" s="12"/>
      <c r="Z274" s="12"/>
      <c r="AA274" s="12"/>
      <c r="AB274" s="12"/>
    </row>
    <row r="275" spans="1:34">
      <c r="B275" s="873" t="s">
        <v>686</v>
      </c>
      <c r="C275" s="908"/>
      <c r="D275" s="931">
        <v>0.02</v>
      </c>
      <c r="E275" s="768"/>
      <c r="F275" s="12"/>
      <c r="G275" s="12"/>
      <c r="H275" s="12"/>
      <c r="I275" s="12"/>
      <c r="J275" s="892"/>
      <c r="K275" s="12"/>
      <c r="L275" s="12"/>
      <c r="M275" s="768"/>
      <c r="N275" s="12"/>
      <c r="R275" s="12"/>
      <c r="S275" s="12"/>
      <c r="T275" s="12"/>
      <c r="U275" s="12"/>
      <c r="V275" s="12"/>
      <c r="W275" s="12"/>
      <c r="X275" s="12"/>
      <c r="Y275" s="12"/>
      <c r="Z275" s="12"/>
      <c r="AA275" s="12"/>
      <c r="AB275" s="12"/>
    </row>
    <row r="276" spans="1:34">
      <c r="B276" s="842" t="s">
        <v>111</v>
      </c>
      <c r="C276" s="12" t="s">
        <v>154</v>
      </c>
      <c r="D276" s="909">
        <f>SUM(E276:XN276)</f>
        <v>869736.07179507427</v>
      </c>
      <c r="E276" s="442">
        <f>(E259-E264)*E271</f>
        <v>78722.641034917891</v>
      </c>
      <c r="F276" s="442">
        <f>(F259-F264)*F271</f>
        <v>84333.422111207707</v>
      </c>
      <c r="G276" s="442">
        <f>(G259-G264)*G271</f>
        <v>71890.066584343367</v>
      </c>
      <c r="H276" s="442">
        <f>(H259-H264)*H271</f>
        <v>92176.043967375328</v>
      </c>
      <c r="I276" s="442">
        <f>(I259-I264)*I271</f>
        <v>100354.85173398041</v>
      </c>
      <c r="J276" s="442">
        <f>(J259-J264)*J271</f>
        <v>67092.73226081529</v>
      </c>
      <c r="K276" s="442">
        <f>(K259-K264)*K271</f>
        <v>135147.63474702576</v>
      </c>
      <c r="L276" s="442">
        <f>(L259-L264)*L271</f>
        <v>175320.81124109391</v>
      </c>
      <c r="M276" s="442">
        <f>(M259-M264)*M271</f>
        <v>64697.868114314595</v>
      </c>
      <c r="N276" s="290"/>
      <c r="O276" s="885"/>
      <c r="P276" s="816"/>
      <c r="R276" s="12"/>
      <c r="S276" s="12"/>
      <c r="T276" s="12"/>
      <c r="U276" s="12"/>
      <c r="V276" s="12"/>
      <c r="W276" s="12"/>
      <c r="X276" s="12"/>
      <c r="Y276" s="12"/>
      <c r="Z276" s="12"/>
      <c r="AA276" s="12"/>
      <c r="AB276" s="12"/>
    </row>
    <row r="277" spans="1:34">
      <c r="B277" s="842" t="s">
        <v>677</v>
      </c>
      <c r="C277" s="12"/>
      <c r="D277" s="923"/>
      <c r="E277" s="890"/>
      <c r="F277" s="306"/>
      <c r="G277" s="306"/>
      <c r="H277" s="306"/>
      <c r="I277" s="896"/>
      <c r="J277" s="12"/>
      <c r="K277" s="12"/>
      <c r="L277" s="12"/>
      <c r="M277" s="893"/>
      <c r="N277" s="306"/>
      <c r="O277" s="885"/>
      <c r="P277" s="816"/>
      <c r="R277" s="12"/>
      <c r="S277" s="12"/>
      <c r="T277" s="12"/>
      <c r="U277" s="12"/>
      <c r="V277" s="12"/>
      <c r="W277" s="12"/>
      <c r="X277" s="12"/>
      <c r="Y277" s="12"/>
      <c r="Z277" s="12"/>
      <c r="AA277" s="12"/>
      <c r="AB277" s="12"/>
    </row>
    <row r="278" spans="1:34" ht="12" thickBot="1">
      <c r="B278" s="897" t="s">
        <v>170</v>
      </c>
      <c r="C278" s="853" t="s">
        <v>154</v>
      </c>
      <c r="D278" s="898">
        <f>D276-D277</f>
        <v>869736.07179507427</v>
      </c>
      <c r="E278" s="899"/>
      <c r="F278" s="900"/>
      <c r="G278" s="900"/>
      <c r="H278" s="900"/>
      <c r="I278" s="901"/>
      <c r="J278" s="853"/>
      <c r="K278" s="853"/>
      <c r="L278" s="853"/>
      <c r="M278" s="899"/>
      <c r="N278" s="900"/>
      <c r="O278" s="885"/>
      <c r="P278" s="816"/>
      <c r="R278" s="12"/>
      <c r="S278" s="12"/>
      <c r="T278" s="12"/>
      <c r="U278" s="12"/>
      <c r="V278" s="12"/>
      <c r="W278" s="12"/>
      <c r="X278" s="12"/>
      <c r="Y278" s="12"/>
      <c r="Z278" s="12"/>
      <c r="AA278" s="12"/>
      <c r="AB278" s="12"/>
    </row>
    <row r="279" spans="1:34">
      <c r="B279" s="46" t="s">
        <v>687</v>
      </c>
      <c r="C279" s="908"/>
      <c r="D279" s="768"/>
      <c r="E279" s="930">
        <f>IF(E242="","",IF(E266,"",IF(E243="[retail]",E271/(SUMIFS($E$271:$XN$271,$E$266:$XN$266,FALSE,$E$243:$XN$243,"[retail]")),E271/SUMIFS($E$271:$XN$271,$E$243:$XN$243,"[wholesale]"))))</f>
        <v>0.15162381130934471</v>
      </c>
      <c r="F279" s="930">
        <f>IF(F242="","",IF(F266,"",IF(F243="[retail]",F271/(SUMIFS($E$271:$XN$271,$E$266:$XN$266,FALSE,$E$243:$XN$243,"[retail]")),F271/SUMIFS($E$271:$XN$271,$E$243:$XN$243,"[wholesale]"))))</f>
        <v>0.16169808146575831</v>
      </c>
      <c r="G279" s="930">
        <f>IF(G242="","",IF(G266,"",IF(G243="[retail]",G271/(SUMIFS($E$271:$XN$271,$E$266:$XN$266,FALSE,$E$243:$XN$243,"[retail]")),G271/SUMIFS($E$271:$XN$271,$E$243:$XN$243,"[wholesale]"))))</f>
        <v>0.14892426510051202</v>
      </c>
      <c r="H279" s="930">
        <f>IF(H242="","",IF(H266,"",IF(H243="[retail]",H271/(SUMIFS($E$271:$XN$271,$E$266:$XN$266,FALSE,$E$243:$XN$243,"[retail]")),H271/SUMIFS($E$271:$XN$271,$E$243:$XN$243,"[wholesale]"))))</f>
        <v>0.19097446840938043</v>
      </c>
      <c r="I279" s="930">
        <f>IF(I242="","",IF(I266,"",IF(I243="[retail]",I271/(SUMIFS($E$271:$XN$271,$E$266:$XN$266,FALSE,$E$243:$XN$243,"[retail]")),I271/SUMIFS($E$271:$XN$271,$E$243:$XN$243,"[wholesale]"))))</f>
        <v>0.2078770267508416</v>
      </c>
      <c r="J279" s="930">
        <f>IF(J242="","",IF(J266,"",IF(J243="[retail]",J271/(SUMIFS($E$271:$XN$271,$E$266:$XN$266,FALSE,$E$243:$XN$243,"[retail]")),J271/SUMIFS($E$271:$XN$271,$E$243:$XN$243,"[wholesale]"))))</f>
        <v>0.13890234696416295</v>
      </c>
      <c r="K279" s="930">
        <f>IF(K242="","",IF(K266,"",IF(K243="[retail]",K271/(SUMIFS($E$271:$XN$271,$E$266:$XN$266,FALSE,$E$243:$XN$243,"[retail]")),K271/SUMIFS($E$271:$XN$271,$E$243:$XN$243,"[wholesale]"))))</f>
        <v>0.43530231974748662</v>
      </c>
      <c r="L279" s="930">
        <f>IF(L242="","",IF(L266,"",IF(L243="[retail]",L271/(SUMIFS($E$271:$XN$271,$E$266:$XN$266,FALSE,$E$243:$XN$243,"[retail]")),L271/SUMIFS($E$271:$XN$271,$E$243:$XN$243,"[wholesale]"))))</f>
        <v>0.56469768025251321</v>
      </c>
      <c r="M279" s="930" t="str">
        <f>IF(M242="","",IF(M266,"",IF(M243="[retail]",M271/(SUMIFS($E$271:$XN$271,$E$266:$XN$266,FALSE,$E$243:$XN$243,"[retail]")),M271/SUMIFS($E$271:$XN$271,$E$243:$XN$243,"[wholesale]"))))</f>
        <v/>
      </c>
      <c r="N279" s="930"/>
      <c r="O279" s="930"/>
      <c r="P279" s="930"/>
      <c r="Q279" s="930"/>
      <c r="R279" s="930"/>
      <c r="S279" s="930"/>
      <c r="T279" s="930"/>
      <c r="U279" s="930"/>
      <c r="V279" s="930"/>
      <c r="W279" s="930"/>
      <c r="X279" s="930"/>
      <c r="Y279" s="930"/>
      <c r="Z279" s="930"/>
      <c r="AA279" s="12"/>
      <c r="AB279" s="12"/>
    </row>
    <row r="280" spans="1:34">
      <c r="B280" s="46"/>
      <c r="C280" s="908"/>
      <c r="D280" s="768"/>
      <c r="E280" s="12"/>
      <c r="F280" s="12"/>
      <c r="G280" s="12"/>
      <c r="H280" s="12"/>
      <c r="I280" s="910"/>
      <c r="J280" s="12"/>
      <c r="K280" s="12"/>
      <c r="M280" s="12"/>
      <c r="N280" s="12"/>
      <c r="R280" s="12"/>
      <c r="S280" s="12"/>
      <c r="T280" s="12"/>
      <c r="U280" s="12"/>
      <c r="V280" s="12"/>
      <c r="W280" s="12"/>
      <c r="X280" s="12"/>
      <c r="Y280" s="12"/>
      <c r="Z280" s="12"/>
      <c r="AA280" s="12"/>
      <c r="AB280" s="12"/>
    </row>
    <row r="281" spans="1:34">
      <c r="B281" s="46"/>
      <c r="C281" s="908"/>
      <c r="D281" s="768"/>
      <c r="E281" s="421"/>
      <c r="F281" s="12"/>
      <c r="G281" s="12"/>
      <c r="H281" s="12"/>
      <c r="I281" s="910"/>
      <c r="J281" s="12"/>
      <c r="K281" s="12"/>
      <c r="M281" s="12"/>
      <c r="N281" s="12"/>
      <c r="R281" s="12"/>
      <c r="S281" s="12"/>
      <c r="T281" s="12"/>
      <c r="U281" s="12"/>
      <c r="V281" s="12"/>
      <c r="W281" s="12"/>
      <c r="X281" s="12"/>
      <c r="Y281" s="12"/>
      <c r="Z281" s="12"/>
      <c r="AA281" s="12"/>
      <c r="AB281" s="12"/>
    </row>
    <row r="282" spans="1:34">
      <c r="B282" s="46"/>
      <c r="C282" s="908"/>
      <c r="D282" s="768"/>
      <c r="E282" s="12"/>
      <c r="F282" s="12"/>
      <c r="G282" s="12"/>
      <c r="H282" s="12"/>
      <c r="I282" s="910"/>
      <c r="J282" s="12"/>
      <c r="K282" s="12"/>
      <c r="M282" s="12"/>
      <c r="N282" s="12"/>
      <c r="R282" s="12"/>
      <c r="S282" s="12"/>
      <c r="T282" s="12"/>
      <c r="U282" s="12"/>
      <c r="V282" s="12"/>
      <c r="W282" s="12"/>
      <c r="X282" s="12"/>
      <c r="Y282" s="12"/>
      <c r="Z282" s="12"/>
      <c r="AA282" s="12"/>
      <c r="AB282" s="12"/>
    </row>
    <row r="283" spans="1:34" ht="15.75">
      <c r="A283" s="178">
        <v>5</v>
      </c>
      <c r="B283" s="122" t="s">
        <v>697</v>
      </c>
      <c r="C283" s="122"/>
      <c r="D283" s="122"/>
      <c r="E283" s="12"/>
      <c r="F283" s="12"/>
      <c r="G283" s="12"/>
      <c r="H283" s="12"/>
      <c r="I283" s="12"/>
      <c r="J283" s="12"/>
      <c r="K283" s="12"/>
      <c r="M283" s="12"/>
      <c r="N283" s="12"/>
      <c r="R283" s="12"/>
      <c r="S283" s="12"/>
      <c r="T283" s="12"/>
      <c r="U283" s="12"/>
      <c r="V283" s="12"/>
      <c r="W283" s="12"/>
      <c r="X283" s="12"/>
      <c r="Y283" s="12"/>
      <c r="Z283" s="12"/>
      <c r="AA283" s="12"/>
      <c r="AB283" s="12"/>
    </row>
    <row r="284" spans="1:34">
      <c r="B284" s="12"/>
      <c r="C284" s="12"/>
      <c r="D284" s="12"/>
      <c r="E284" s="12"/>
      <c r="F284" s="12"/>
      <c r="G284" s="12"/>
      <c r="H284" s="12"/>
      <c r="J284" s="12"/>
      <c r="K284" s="12"/>
      <c r="M284" s="12"/>
      <c r="N284" s="12"/>
      <c r="R284" s="12"/>
      <c r="S284" s="12"/>
      <c r="T284" s="12"/>
      <c r="U284" s="12"/>
      <c r="V284" s="12"/>
      <c r="W284" s="12"/>
      <c r="X284" s="12"/>
      <c r="Y284" s="12"/>
      <c r="Z284" s="12"/>
      <c r="AA284" s="12"/>
      <c r="AB284" s="12"/>
    </row>
    <row r="285" spans="1:34">
      <c r="B285" s="12"/>
      <c r="C285" s="12"/>
      <c r="D285" s="12"/>
      <c r="E285" s="12"/>
      <c r="F285" s="12"/>
      <c r="G285" s="12"/>
      <c r="H285" s="12"/>
      <c r="I285" s="35" t="str">
        <f>"Cycle used for MCS:  "&amp;MCSCycleCurrent&amp;"       Total iterations:  "&amp;MCSRun&amp;"       Current Interaction:  "&amp;MCSInt</f>
        <v>Cycle used for MCS:  4       Total iterations:  30       Current Interaction:  0</v>
      </c>
      <c r="J285" s="12"/>
      <c r="K285" s="12"/>
      <c r="M285" s="12"/>
      <c r="N285" s="12"/>
      <c r="R285" s="12"/>
      <c r="S285" s="12"/>
      <c r="T285" s="12"/>
      <c r="U285" s="12"/>
      <c r="V285" s="12"/>
      <c r="W285" s="12"/>
      <c r="X285" s="12"/>
      <c r="Y285" s="12"/>
      <c r="Z285" s="12"/>
      <c r="AA285" s="12"/>
      <c r="AB285" s="12"/>
    </row>
    <row r="286" spans="1:34">
      <c r="B286" s="12"/>
      <c r="C286" s="12"/>
      <c r="D286" s="12"/>
      <c r="E286" s="12"/>
      <c r="F286" s="12"/>
      <c r="G286" s="12"/>
      <c r="H286" s="12"/>
      <c r="I286" s="12"/>
      <c r="J286" s="12"/>
      <c r="K286" s="12"/>
      <c r="M286" s="12"/>
      <c r="N286" s="12"/>
      <c r="R286" s="12"/>
      <c r="S286" s="12"/>
      <c r="T286" s="12"/>
      <c r="U286" s="12"/>
      <c r="V286" s="12"/>
      <c r="W286" s="12"/>
      <c r="X286" s="12"/>
      <c r="Y286" s="12"/>
      <c r="Z286" s="12"/>
      <c r="AA286" s="12"/>
      <c r="AB286" s="12"/>
      <c r="AC286" s="911"/>
      <c r="AD286" s="911"/>
      <c r="AE286" s="911"/>
      <c r="AF286" s="911"/>
      <c r="AG286" s="911"/>
      <c r="AH286" s="911"/>
    </row>
    <row r="287" spans="1:34" s="421" customFormat="1" ht="15" customHeight="1">
      <c r="A287" s="7"/>
      <c r="B287" s="12"/>
      <c r="C287" s="12"/>
      <c r="D287" s="12"/>
      <c r="E287" s="12"/>
      <c r="F287" s="12"/>
      <c r="G287" s="12"/>
      <c r="H287" s="12"/>
      <c r="I287" s="1194" t="s">
        <v>153</v>
      </c>
      <c r="J287" s="1194"/>
      <c r="K287" s="421">
        <v>4</v>
      </c>
      <c r="L287" s="932"/>
      <c r="M287" s="932"/>
      <c r="N287" s="932"/>
      <c r="O287" s="932"/>
      <c r="P287" s="932"/>
      <c r="Q287" s="932"/>
      <c r="R287" s="932"/>
      <c r="S287" s="932"/>
      <c r="T287" s="932"/>
      <c r="U287" s="932"/>
    </row>
    <row r="288" spans="1:34" s="908" customFormat="1" ht="15" customHeight="1">
      <c r="A288" s="7"/>
      <c r="B288" s="12"/>
      <c r="C288" s="12"/>
      <c r="D288" s="12"/>
      <c r="E288" s="12"/>
      <c r="F288" s="12"/>
      <c r="G288" s="12"/>
      <c r="H288" s="12"/>
      <c r="I288" s="1194" t="s">
        <v>714</v>
      </c>
      <c r="J288" s="1194"/>
      <c r="K288" s="441">
        <v>136178.97263345716</v>
      </c>
      <c r="L288" s="441"/>
      <c r="M288" s="441"/>
      <c r="N288" s="441"/>
      <c r="O288" s="441"/>
      <c r="P288" s="441"/>
      <c r="Q288" s="441"/>
      <c r="R288" s="441"/>
      <c r="S288" s="441"/>
      <c r="T288" s="441"/>
      <c r="U288" s="441"/>
    </row>
    <row r="289" spans="1:34" s="912" customFormat="1" ht="15" customHeight="1">
      <c r="A289" s="7"/>
      <c r="B289" s="12"/>
      <c r="C289" s="12"/>
      <c r="D289" s="12"/>
      <c r="E289" s="12"/>
      <c r="F289" s="12"/>
      <c r="G289" s="12"/>
      <c r="H289" s="12"/>
      <c r="I289" s="1194" t="s">
        <v>616</v>
      </c>
      <c r="J289" s="1194"/>
      <c r="K289" s="943">
        <v>0</v>
      </c>
      <c r="L289" s="943"/>
      <c r="M289" s="943"/>
      <c r="N289" s="943"/>
      <c r="O289" s="943"/>
      <c r="P289" s="943"/>
      <c r="Q289" s="943"/>
      <c r="R289" s="943"/>
      <c r="S289" s="943"/>
      <c r="T289" s="943"/>
      <c r="U289" s="943"/>
    </row>
    <row r="290" spans="1:34" ht="15" customHeight="1">
      <c r="B290" s="12"/>
      <c r="C290" s="12"/>
      <c r="D290" s="12"/>
      <c r="E290" s="12"/>
      <c r="F290" s="12"/>
      <c r="G290" s="12"/>
      <c r="H290" s="12"/>
      <c r="I290" s="1194" t="s">
        <v>692</v>
      </c>
      <c r="J290" s="1194"/>
      <c r="K290" s="944">
        <v>28016.121705244725</v>
      </c>
      <c r="L290" s="441"/>
      <c r="M290" s="441"/>
      <c r="N290" s="441"/>
      <c r="O290" s="441"/>
      <c r="P290" s="441"/>
      <c r="Q290" s="441"/>
      <c r="R290" s="441"/>
      <c r="S290" s="441"/>
      <c r="T290" s="441"/>
      <c r="U290" s="441"/>
      <c r="V290" s="12"/>
      <c r="W290" s="12"/>
      <c r="X290" s="12"/>
      <c r="Y290" s="12"/>
      <c r="Z290" s="12"/>
      <c r="AA290" s="12"/>
      <c r="AB290" s="12"/>
      <c r="AC290" s="911"/>
      <c r="AD290" s="911"/>
      <c r="AE290" s="911"/>
      <c r="AF290" s="911"/>
      <c r="AG290" s="911"/>
      <c r="AH290" s="911"/>
    </row>
    <row r="291" spans="1:34">
      <c r="B291" s="12"/>
      <c r="C291" s="12"/>
      <c r="D291" s="12"/>
      <c r="E291" s="12"/>
      <c r="F291" s="12"/>
      <c r="G291" s="12"/>
      <c r="H291" s="12"/>
      <c r="I291" s="12"/>
      <c r="J291" s="12"/>
      <c r="K291" s="441"/>
      <c r="L291" s="441"/>
      <c r="M291" s="441"/>
      <c r="N291" s="441"/>
      <c r="O291" s="441"/>
      <c r="P291" s="441"/>
      <c r="Q291" s="441"/>
      <c r="R291" s="441"/>
      <c r="S291" s="441"/>
      <c r="T291" s="441"/>
      <c r="U291" s="441"/>
      <c r="V291" s="12"/>
      <c r="W291" s="12"/>
      <c r="X291" s="12"/>
      <c r="Y291" s="12"/>
      <c r="Z291" s="12"/>
      <c r="AA291" s="12"/>
      <c r="AB291" s="12"/>
      <c r="AC291" s="911"/>
      <c r="AD291" s="911"/>
      <c r="AE291" s="911"/>
      <c r="AF291" s="911"/>
      <c r="AG291" s="911"/>
      <c r="AH291" s="911"/>
    </row>
    <row r="292" spans="1:34">
      <c r="B292" s="12"/>
      <c r="C292" s="12"/>
      <c r="D292" s="12"/>
      <c r="E292" s="12"/>
      <c r="F292" s="12"/>
      <c r="G292" s="12"/>
      <c r="H292" s="12"/>
      <c r="I292" s="12"/>
      <c r="J292" s="12"/>
      <c r="K292" s="441"/>
      <c r="L292" s="441"/>
      <c r="M292" s="441"/>
      <c r="N292" s="441"/>
      <c r="O292" s="441"/>
      <c r="P292" s="441"/>
      <c r="Q292" s="441"/>
      <c r="R292" s="441"/>
      <c r="S292" s="441"/>
      <c r="T292" s="441"/>
      <c r="U292" s="441"/>
      <c r="V292" s="12"/>
      <c r="W292" s="12"/>
      <c r="X292" s="12"/>
      <c r="Y292" s="12"/>
      <c r="Z292" s="12"/>
      <c r="AA292" s="12"/>
      <c r="AB292" s="12"/>
      <c r="AC292" s="911"/>
      <c r="AD292" s="911"/>
      <c r="AE292" s="911"/>
      <c r="AF292" s="911"/>
      <c r="AG292" s="911"/>
      <c r="AH292" s="911"/>
    </row>
    <row r="293" spans="1:34">
      <c r="B293" s="12"/>
      <c r="C293" s="12"/>
      <c r="D293" s="12"/>
      <c r="E293" s="12"/>
      <c r="F293" s="12"/>
      <c r="G293" s="12"/>
      <c r="H293" s="12"/>
      <c r="I293" s="12"/>
      <c r="J293" s="12"/>
      <c r="K293" s="441"/>
      <c r="L293" s="441"/>
      <c r="M293" s="441"/>
      <c r="N293" s="441"/>
      <c r="O293" s="441"/>
      <c r="P293" s="441"/>
      <c r="Q293" s="441"/>
      <c r="R293" s="441"/>
      <c r="S293" s="441"/>
      <c r="T293" s="441"/>
      <c r="U293" s="441"/>
      <c r="V293" s="12"/>
      <c r="W293" s="12"/>
      <c r="X293" s="12"/>
      <c r="Y293" s="12"/>
      <c r="Z293" s="12"/>
      <c r="AA293" s="12"/>
      <c r="AB293" s="12"/>
      <c r="AC293" s="911"/>
      <c r="AD293" s="911"/>
      <c r="AE293" s="911"/>
      <c r="AF293" s="911"/>
      <c r="AG293" s="911"/>
      <c r="AH293" s="911"/>
    </row>
    <row r="294" spans="1:34">
      <c r="B294" s="12"/>
      <c r="C294" s="12"/>
      <c r="D294" s="12"/>
      <c r="E294" s="12"/>
      <c r="F294" s="12"/>
      <c r="G294" s="12"/>
      <c r="H294" s="12"/>
      <c r="I294" s="12"/>
      <c r="J294" s="12"/>
      <c r="K294" s="441"/>
      <c r="L294" s="441"/>
      <c r="M294" s="441"/>
      <c r="N294" s="441"/>
      <c r="O294" s="441"/>
      <c r="P294" s="441"/>
      <c r="Q294" s="441"/>
      <c r="R294" s="441"/>
      <c r="S294" s="441"/>
      <c r="T294" s="441"/>
      <c r="U294" s="441"/>
      <c r="V294" s="12"/>
      <c r="W294" s="12"/>
      <c r="X294" s="12"/>
      <c r="Y294" s="12"/>
      <c r="Z294" s="12"/>
      <c r="AA294" s="12"/>
      <c r="AB294" s="12"/>
      <c r="AC294" s="911"/>
      <c r="AD294" s="911"/>
      <c r="AE294" s="911"/>
      <c r="AF294" s="911"/>
      <c r="AG294" s="911"/>
      <c r="AH294" s="911"/>
    </row>
    <row r="295" spans="1:34">
      <c r="B295" s="12"/>
      <c r="C295" s="12"/>
      <c r="D295" s="12"/>
      <c r="E295" s="12"/>
      <c r="F295" s="12"/>
      <c r="G295" s="12"/>
      <c r="H295" s="12"/>
      <c r="I295" s="12"/>
      <c r="J295" s="12"/>
      <c r="K295" s="441"/>
      <c r="L295" s="441"/>
      <c r="M295" s="441"/>
      <c r="N295" s="441"/>
      <c r="O295" s="441"/>
      <c r="P295" s="441"/>
      <c r="Q295" s="441"/>
      <c r="R295" s="441"/>
      <c r="S295" s="441"/>
      <c r="T295" s="441"/>
      <c r="U295" s="441"/>
      <c r="V295" s="12"/>
      <c r="W295" s="12"/>
      <c r="X295" s="12"/>
      <c r="Y295" s="12"/>
      <c r="Z295" s="12"/>
      <c r="AA295" s="12"/>
      <c r="AB295" s="12"/>
      <c r="AC295" s="911"/>
      <c r="AD295" s="911"/>
      <c r="AE295" s="911"/>
      <c r="AF295" s="911"/>
      <c r="AG295" s="911"/>
      <c r="AH295" s="911"/>
    </row>
    <row r="296" spans="1:34">
      <c r="B296" s="12"/>
      <c r="C296" s="12"/>
      <c r="D296" s="12"/>
      <c r="E296" s="12"/>
      <c r="F296" s="12"/>
      <c r="G296" s="12"/>
      <c r="H296" s="12"/>
      <c r="I296" s="12"/>
      <c r="J296" s="12"/>
      <c r="K296" s="441"/>
      <c r="L296" s="441"/>
      <c r="M296" s="441"/>
      <c r="N296" s="441"/>
      <c r="O296" s="441"/>
      <c r="P296" s="441"/>
      <c r="Q296" s="441"/>
      <c r="R296" s="441"/>
      <c r="S296" s="441"/>
      <c r="T296" s="441"/>
      <c r="U296" s="441"/>
      <c r="V296" s="12"/>
      <c r="W296" s="12"/>
      <c r="X296" s="12"/>
      <c r="Y296" s="12"/>
      <c r="Z296" s="12"/>
      <c r="AA296" s="12"/>
      <c r="AB296" s="12"/>
      <c r="AC296" s="911"/>
      <c r="AD296" s="911"/>
      <c r="AE296" s="911"/>
      <c r="AF296" s="911"/>
      <c r="AG296" s="911"/>
      <c r="AH296" s="911"/>
    </row>
    <row r="297" spans="1:34">
      <c r="B297" s="12"/>
      <c r="C297" s="12"/>
      <c r="D297" s="12"/>
      <c r="E297" s="12"/>
      <c r="F297" s="12"/>
      <c r="G297" s="12"/>
      <c r="H297" s="12"/>
      <c r="I297" s="12"/>
      <c r="J297" s="12"/>
      <c r="K297" s="441"/>
      <c r="L297" s="441"/>
      <c r="M297" s="441"/>
      <c r="N297" s="441"/>
      <c r="O297" s="441"/>
      <c r="P297" s="441"/>
      <c r="Q297" s="441"/>
      <c r="R297" s="441"/>
      <c r="S297" s="441"/>
      <c r="T297" s="441"/>
      <c r="U297" s="441"/>
      <c r="V297" s="12"/>
      <c r="W297" s="12"/>
      <c r="X297" s="12"/>
      <c r="Y297" s="12"/>
      <c r="Z297" s="12"/>
      <c r="AA297" s="12"/>
      <c r="AB297" s="12"/>
      <c r="AC297" s="911"/>
      <c r="AD297" s="911"/>
      <c r="AE297" s="911"/>
      <c r="AF297" s="911"/>
      <c r="AG297" s="911"/>
      <c r="AH297" s="911"/>
    </row>
    <row r="298" spans="1:34">
      <c r="B298" s="12"/>
      <c r="C298" s="12"/>
      <c r="D298" s="12"/>
      <c r="E298" s="12"/>
      <c r="F298" s="12"/>
      <c r="G298" s="12"/>
      <c r="H298" s="12"/>
      <c r="I298" s="12"/>
      <c r="J298" s="12"/>
      <c r="K298" s="441"/>
      <c r="L298" s="441"/>
      <c r="M298" s="441"/>
      <c r="N298" s="441"/>
      <c r="O298" s="441"/>
      <c r="P298" s="441"/>
      <c r="Q298" s="441"/>
      <c r="R298" s="441"/>
      <c r="S298" s="441"/>
      <c r="T298" s="441"/>
      <c r="U298" s="441"/>
      <c r="V298" s="12"/>
      <c r="W298" s="12"/>
      <c r="X298" s="12"/>
      <c r="Y298" s="12"/>
      <c r="Z298" s="12"/>
      <c r="AA298" s="12"/>
      <c r="AB298" s="12"/>
      <c r="AC298" s="911"/>
      <c r="AD298" s="911"/>
      <c r="AE298" s="911"/>
      <c r="AF298" s="911"/>
      <c r="AG298" s="911"/>
      <c r="AH298" s="911"/>
    </row>
    <row r="299" spans="1:34">
      <c r="B299" s="12"/>
      <c r="C299" s="12"/>
      <c r="D299" s="12"/>
      <c r="E299" s="12"/>
      <c r="F299" s="12"/>
      <c r="G299" s="12"/>
      <c r="H299" s="12"/>
      <c r="I299" s="12"/>
      <c r="J299" s="12"/>
      <c r="K299" s="441"/>
      <c r="L299" s="441"/>
      <c r="M299" s="441"/>
      <c r="N299" s="441"/>
      <c r="O299" s="441"/>
      <c r="P299" s="441"/>
      <c r="Q299" s="441"/>
      <c r="R299" s="441"/>
      <c r="S299" s="441"/>
      <c r="T299" s="441"/>
      <c r="U299" s="441"/>
      <c r="V299" s="12"/>
      <c r="W299" s="12"/>
      <c r="X299" s="12"/>
      <c r="Y299" s="12"/>
      <c r="Z299" s="12"/>
      <c r="AA299" s="12"/>
      <c r="AB299" s="12"/>
      <c r="AC299" s="911"/>
      <c r="AD299" s="911"/>
      <c r="AE299" s="911"/>
      <c r="AF299" s="911"/>
      <c r="AG299" s="911"/>
      <c r="AH299" s="911"/>
    </row>
    <row r="300" spans="1:34">
      <c r="B300" s="12"/>
      <c r="C300" s="12"/>
      <c r="D300" s="12"/>
      <c r="E300" s="12"/>
      <c r="F300" s="12"/>
      <c r="G300" s="12"/>
      <c r="H300" s="12"/>
      <c r="I300" s="12"/>
      <c r="J300" s="12"/>
      <c r="K300" s="441"/>
      <c r="L300" s="441"/>
      <c r="M300" s="441"/>
      <c r="N300" s="441"/>
      <c r="O300" s="441"/>
      <c r="P300" s="441"/>
      <c r="Q300" s="441"/>
      <c r="R300" s="441"/>
      <c r="S300" s="441"/>
      <c r="T300" s="441"/>
      <c r="U300" s="441"/>
      <c r="V300" s="12"/>
      <c r="W300" s="12"/>
      <c r="X300" s="12"/>
      <c r="Y300" s="12"/>
      <c r="Z300" s="12"/>
      <c r="AA300" s="12"/>
      <c r="AB300" s="12"/>
      <c r="AC300" s="911"/>
      <c r="AD300" s="911"/>
      <c r="AE300" s="911"/>
      <c r="AF300" s="911"/>
      <c r="AG300" s="911"/>
      <c r="AH300" s="911"/>
    </row>
    <row r="301" spans="1:34">
      <c r="B301" s="12"/>
      <c r="C301" s="12"/>
      <c r="D301" s="12"/>
      <c r="E301" s="12"/>
      <c r="F301" s="12"/>
      <c r="G301" s="12"/>
      <c r="H301" s="12"/>
      <c r="I301" s="12"/>
      <c r="J301" s="12"/>
      <c r="K301" s="441"/>
      <c r="L301" s="441"/>
      <c r="M301" s="441"/>
      <c r="N301" s="441"/>
      <c r="O301" s="441"/>
      <c r="P301" s="441"/>
      <c r="Q301" s="441"/>
      <c r="R301" s="441"/>
      <c r="S301" s="441"/>
      <c r="T301" s="441"/>
      <c r="U301" s="441"/>
      <c r="V301" s="12"/>
      <c r="W301" s="12"/>
      <c r="X301" s="12"/>
      <c r="Y301" s="12"/>
      <c r="Z301" s="12"/>
      <c r="AA301" s="12"/>
      <c r="AB301" s="12"/>
      <c r="AC301" s="911"/>
      <c r="AD301" s="911"/>
      <c r="AE301" s="911"/>
      <c r="AF301" s="911"/>
      <c r="AG301" s="911"/>
      <c r="AH301" s="911"/>
    </row>
    <row r="302" spans="1:34">
      <c r="B302" s="12"/>
      <c r="C302" s="12"/>
      <c r="D302" s="12"/>
      <c r="E302" s="12"/>
      <c r="F302" s="12"/>
      <c r="G302" s="12"/>
      <c r="H302" s="12"/>
      <c r="I302" s="12"/>
      <c r="J302" s="12"/>
      <c r="K302" s="441"/>
      <c r="L302" s="441"/>
      <c r="M302" s="441"/>
      <c r="N302" s="441"/>
      <c r="O302" s="441"/>
      <c r="P302" s="441"/>
      <c r="Q302" s="441"/>
      <c r="R302" s="441"/>
      <c r="S302" s="441"/>
      <c r="T302" s="441"/>
      <c r="U302" s="441"/>
      <c r="V302" s="12"/>
      <c r="W302" s="12"/>
      <c r="X302" s="12"/>
      <c r="Y302" s="12"/>
      <c r="Z302" s="12"/>
      <c r="AA302" s="12"/>
      <c r="AB302" s="12"/>
      <c r="AC302" s="911"/>
      <c r="AD302" s="911"/>
      <c r="AE302" s="911"/>
      <c r="AF302" s="911"/>
      <c r="AG302" s="911"/>
      <c r="AH302" s="911"/>
    </row>
    <row r="303" spans="1:34">
      <c r="B303" s="12"/>
      <c r="C303" s="12"/>
      <c r="D303" s="12"/>
      <c r="E303" s="12"/>
      <c r="F303" s="12"/>
      <c r="G303" s="12"/>
      <c r="H303" s="12"/>
      <c r="I303" s="12"/>
      <c r="J303" s="12"/>
      <c r="K303" s="441"/>
      <c r="L303" s="441"/>
      <c r="M303" s="441"/>
      <c r="N303" s="441"/>
      <c r="O303" s="441"/>
      <c r="P303" s="441"/>
      <c r="Q303" s="441"/>
      <c r="R303" s="441"/>
      <c r="S303" s="441"/>
      <c r="T303" s="441"/>
      <c r="U303" s="441"/>
      <c r="V303" s="12"/>
      <c r="W303" s="12"/>
      <c r="X303" s="12"/>
      <c r="Y303" s="12"/>
      <c r="Z303" s="12"/>
      <c r="AA303" s="12"/>
      <c r="AB303" s="12"/>
      <c r="AC303" s="911"/>
      <c r="AD303" s="911"/>
      <c r="AE303" s="911"/>
      <c r="AF303" s="911"/>
      <c r="AG303" s="911"/>
      <c r="AH303" s="911"/>
    </row>
    <row r="304" spans="1:34">
      <c r="B304" s="12"/>
      <c r="C304" s="12"/>
      <c r="D304" s="12"/>
      <c r="E304" s="12"/>
      <c r="F304" s="12"/>
      <c r="G304" s="12"/>
      <c r="H304" s="12"/>
      <c r="I304" s="12"/>
      <c r="J304" s="12"/>
      <c r="K304" s="441"/>
      <c r="L304" s="441"/>
      <c r="M304" s="441"/>
      <c r="N304" s="441"/>
      <c r="O304" s="441"/>
      <c r="P304" s="441"/>
      <c r="Q304" s="441"/>
      <c r="R304" s="441"/>
      <c r="S304" s="441"/>
      <c r="T304" s="441"/>
      <c r="U304" s="441"/>
      <c r="V304" s="12"/>
      <c r="W304" s="12"/>
      <c r="X304" s="12"/>
      <c r="Y304" s="12"/>
      <c r="Z304" s="12"/>
      <c r="AA304" s="12"/>
      <c r="AB304" s="12"/>
      <c r="AC304" s="911"/>
      <c r="AD304" s="911"/>
      <c r="AE304" s="911"/>
      <c r="AF304" s="911"/>
      <c r="AG304" s="911"/>
      <c r="AH304" s="911"/>
    </row>
    <row r="305" spans="1:34">
      <c r="B305" s="12"/>
      <c r="C305" s="12"/>
      <c r="D305" s="12"/>
      <c r="E305" s="12"/>
      <c r="F305" s="12"/>
      <c r="G305" s="12"/>
      <c r="H305" s="12"/>
      <c r="I305" s="12"/>
      <c r="J305" s="12"/>
      <c r="K305" s="441"/>
      <c r="L305" s="441"/>
      <c r="M305" s="441"/>
      <c r="N305" s="441"/>
      <c r="O305" s="441"/>
      <c r="P305" s="441"/>
      <c r="Q305" s="441"/>
      <c r="R305" s="441"/>
      <c r="S305" s="441"/>
      <c r="T305" s="441"/>
      <c r="U305" s="441"/>
      <c r="V305" s="12"/>
      <c r="W305" s="12"/>
      <c r="X305" s="12"/>
      <c r="Y305" s="12"/>
      <c r="Z305" s="12"/>
      <c r="AA305" s="12"/>
      <c r="AB305" s="12"/>
      <c r="AC305" s="911"/>
      <c r="AD305" s="911"/>
      <c r="AE305" s="911"/>
      <c r="AF305" s="911"/>
      <c r="AG305" s="911"/>
      <c r="AH305" s="911"/>
    </row>
    <row r="306" spans="1:34">
      <c r="B306" s="12"/>
      <c r="C306" s="12"/>
      <c r="D306" s="12"/>
      <c r="E306" s="12"/>
      <c r="F306" s="12"/>
      <c r="G306" s="12"/>
      <c r="H306" s="12"/>
      <c r="I306" s="12"/>
      <c r="J306" s="12"/>
      <c r="K306" s="441"/>
      <c r="L306" s="441"/>
      <c r="M306" s="441"/>
      <c r="N306" s="441"/>
      <c r="O306" s="441"/>
      <c r="P306" s="441"/>
      <c r="Q306" s="441"/>
      <c r="R306" s="441"/>
      <c r="S306" s="441"/>
      <c r="T306" s="441"/>
      <c r="U306" s="441"/>
      <c r="V306" s="12"/>
      <c r="W306" s="12"/>
      <c r="X306" s="12"/>
      <c r="Y306" s="12"/>
      <c r="Z306" s="12"/>
      <c r="AA306" s="12"/>
      <c r="AB306" s="12"/>
      <c r="AC306" s="911"/>
      <c r="AD306" s="911"/>
      <c r="AE306" s="911"/>
      <c r="AF306" s="911"/>
      <c r="AG306" s="911"/>
      <c r="AH306" s="911"/>
    </row>
    <row r="307" spans="1:34">
      <c r="B307" s="12"/>
      <c r="C307" s="12"/>
      <c r="D307" s="12"/>
      <c r="E307" s="12"/>
      <c r="F307" s="12"/>
      <c r="G307" s="12"/>
      <c r="H307" s="12"/>
      <c r="I307" s="12"/>
      <c r="J307" s="12"/>
      <c r="K307" s="441"/>
      <c r="L307" s="441"/>
      <c r="M307" s="441"/>
      <c r="N307" s="441"/>
      <c r="O307" s="441"/>
      <c r="P307" s="441"/>
      <c r="Q307" s="441"/>
      <c r="R307" s="441"/>
      <c r="S307" s="441"/>
      <c r="T307" s="441"/>
      <c r="U307" s="441"/>
      <c r="V307" s="12"/>
      <c r="W307" s="12"/>
      <c r="X307" s="12"/>
      <c r="Y307" s="12"/>
      <c r="Z307" s="12"/>
      <c r="AA307" s="12"/>
      <c r="AB307" s="12"/>
      <c r="AC307" s="911"/>
      <c r="AD307" s="911"/>
      <c r="AE307" s="911"/>
      <c r="AF307" s="911"/>
      <c r="AG307" s="911"/>
      <c r="AH307" s="911"/>
    </row>
    <row r="308" spans="1:34">
      <c r="B308" s="12"/>
      <c r="C308" s="12"/>
      <c r="D308" s="12"/>
      <c r="E308" s="12"/>
      <c r="F308" s="12"/>
      <c r="G308" s="12"/>
      <c r="H308" s="12"/>
      <c r="I308" s="12"/>
      <c r="J308" s="12"/>
      <c r="K308" s="441"/>
      <c r="L308" s="441"/>
      <c r="M308" s="441"/>
      <c r="N308" s="441"/>
      <c r="O308" s="441"/>
      <c r="P308" s="441"/>
      <c r="Q308" s="441"/>
      <c r="R308" s="441"/>
      <c r="S308" s="441"/>
      <c r="T308" s="441"/>
      <c r="U308" s="441"/>
      <c r="V308" s="12"/>
      <c r="W308" s="12"/>
      <c r="X308" s="12"/>
      <c r="Y308" s="12"/>
      <c r="Z308" s="12"/>
      <c r="AA308" s="12"/>
      <c r="AB308" s="12"/>
      <c r="AC308" s="911"/>
      <c r="AD308" s="911"/>
      <c r="AE308" s="911"/>
      <c r="AF308" s="911"/>
      <c r="AG308" s="911"/>
      <c r="AH308" s="911"/>
    </row>
    <row r="309" spans="1:34">
      <c r="B309" s="12"/>
      <c r="C309" s="12"/>
      <c r="D309" s="12"/>
      <c r="E309" s="12"/>
      <c r="F309" s="12"/>
      <c r="G309" s="12"/>
      <c r="H309" s="12"/>
      <c r="I309" s="12"/>
      <c r="J309" s="12"/>
      <c r="K309" s="441"/>
      <c r="L309" s="441"/>
      <c r="M309" s="441"/>
      <c r="N309" s="441"/>
      <c r="O309" s="441"/>
      <c r="P309" s="441"/>
      <c r="Q309" s="441"/>
      <c r="R309" s="441"/>
      <c r="S309" s="441"/>
      <c r="T309" s="441"/>
      <c r="U309" s="441"/>
      <c r="V309" s="12"/>
      <c r="W309" s="12"/>
      <c r="X309" s="12"/>
      <c r="Y309" s="12"/>
      <c r="Z309" s="12"/>
      <c r="AA309" s="12"/>
      <c r="AB309" s="12"/>
      <c r="AC309" s="911"/>
      <c r="AD309" s="911"/>
      <c r="AE309" s="911"/>
      <c r="AF309" s="911"/>
      <c r="AG309" s="911"/>
      <c r="AH309" s="911"/>
    </row>
    <row r="310" spans="1:34">
      <c r="B310" s="12"/>
      <c r="C310" s="12"/>
      <c r="D310" s="12"/>
      <c r="E310" s="12"/>
      <c r="F310" s="12"/>
      <c r="G310" s="12"/>
      <c r="H310" s="12"/>
      <c r="I310" s="12"/>
      <c r="J310" s="12"/>
      <c r="K310" s="441"/>
      <c r="L310" s="441"/>
      <c r="M310" s="441"/>
      <c r="N310" s="441"/>
      <c r="O310" s="441"/>
      <c r="P310" s="441"/>
      <c r="Q310" s="441"/>
      <c r="R310" s="441"/>
      <c r="S310" s="441"/>
      <c r="T310" s="441"/>
      <c r="U310" s="441"/>
      <c r="V310" s="12"/>
      <c r="W310" s="12"/>
      <c r="X310" s="12"/>
      <c r="Y310" s="12"/>
      <c r="Z310" s="12"/>
      <c r="AA310" s="12"/>
      <c r="AB310" s="12"/>
      <c r="AC310" s="911"/>
      <c r="AD310" s="911"/>
      <c r="AE310" s="911"/>
      <c r="AF310" s="911"/>
      <c r="AG310" s="911"/>
      <c r="AH310" s="911"/>
    </row>
    <row r="311" spans="1:34" s="421" customFormat="1" ht="15" customHeight="1">
      <c r="A311" s="7"/>
      <c r="B311" s="12"/>
      <c r="C311" s="12"/>
      <c r="D311" s="12"/>
      <c r="E311" s="12"/>
      <c r="F311" s="12"/>
      <c r="G311" s="12"/>
      <c r="H311" s="12"/>
      <c r="I311" s="1194" t="s">
        <v>153</v>
      </c>
      <c r="J311" s="1194"/>
      <c r="K311" s="441">
        <v>4</v>
      </c>
      <c r="L311" s="441"/>
      <c r="M311" s="441"/>
      <c r="N311" s="441"/>
      <c r="O311" s="441"/>
      <c r="P311" s="441"/>
      <c r="Q311" s="441"/>
      <c r="R311" s="441"/>
      <c r="S311" s="441"/>
      <c r="T311" s="441"/>
      <c r="U311" s="441"/>
    </row>
    <row r="312" spans="1:34" s="908" customFormat="1" ht="15" customHeight="1">
      <c r="A312" s="7"/>
      <c r="B312" s="12"/>
      <c r="C312" s="12"/>
      <c r="D312" s="12"/>
      <c r="E312" s="12"/>
      <c r="F312" s="12"/>
      <c r="G312" s="12"/>
      <c r="H312" s="12"/>
      <c r="I312" s="1194" t="s">
        <v>714</v>
      </c>
      <c r="J312" s="1194"/>
      <c r="K312" s="441">
        <v>133039.46379995917</v>
      </c>
      <c r="L312" s="441"/>
      <c r="M312" s="441"/>
      <c r="N312" s="441"/>
      <c r="O312" s="441"/>
      <c r="P312" s="441"/>
      <c r="Q312" s="441"/>
      <c r="R312" s="441"/>
      <c r="S312" s="441"/>
      <c r="T312" s="441"/>
      <c r="U312" s="441"/>
    </row>
    <row r="313" spans="1:34" s="912" customFormat="1" ht="15" customHeight="1">
      <c r="A313" s="7"/>
      <c r="B313" s="12"/>
      <c r="C313" s="12"/>
      <c r="D313" s="12"/>
      <c r="E313" s="12"/>
      <c r="F313" s="12"/>
      <c r="G313" s="12"/>
      <c r="H313" s="12"/>
      <c r="I313" s="1194" t="s">
        <v>616</v>
      </c>
      <c r="J313" s="1194"/>
      <c r="K313" s="912">
        <v>0</v>
      </c>
    </row>
    <row r="314" spans="1:34">
      <c r="B314" s="12"/>
      <c r="C314" s="12"/>
      <c r="D314" s="12"/>
      <c r="E314" s="12"/>
      <c r="F314" s="12"/>
      <c r="G314" s="12"/>
      <c r="H314" s="12"/>
      <c r="I314" s="1194" t="s">
        <v>692</v>
      </c>
      <c r="J314" s="1194"/>
      <c r="K314" s="944">
        <v>25777.104418567513</v>
      </c>
      <c r="L314" s="441"/>
      <c r="M314" s="441"/>
      <c r="N314" s="441"/>
      <c r="O314" s="441"/>
      <c r="P314" s="441"/>
      <c r="Q314" s="441"/>
      <c r="R314" s="441"/>
      <c r="S314" s="441"/>
      <c r="T314" s="441"/>
      <c r="U314" s="441"/>
      <c r="V314" s="12"/>
      <c r="W314" s="12"/>
      <c r="X314" s="12"/>
      <c r="Y314" s="12"/>
      <c r="Z314" s="12"/>
      <c r="AA314" s="12"/>
      <c r="AB314" s="12"/>
      <c r="AC314" s="911"/>
      <c r="AD314" s="911"/>
      <c r="AE314" s="911"/>
      <c r="AF314" s="911"/>
      <c r="AG314" s="911"/>
      <c r="AH314" s="911"/>
    </row>
    <row r="315" spans="1:34">
      <c r="B315" s="12"/>
      <c r="C315" s="12"/>
      <c r="D315" s="12"/>
      <c r="E315" s="12"/>
      <c r="F315" s="12"/>
      <c r="G315" s="12"/>
      <c r="H315" s="12"/>
      <c r="I315" s="12"/>
      <c r="J315" s="12"/>
      <c r="K315" s="441"/>
      <c r="L315" s="441"/>
      <c r="M315" s="441"/>
      <c r="N315" s="441"/>
      <c r="O315" s="441"/>
      <c r="P315" s="441"/>
      <c r="Q315" s="441"/>
      <c r="R315" s="441"/>
      <c r="S315" s="441"/>
      <c r="T315" s="441"/>
      <c r="U315" s="441"/>
      <c r="V315" s="12"/>
      <c r="W315" s="12"/>
      <c r="X315" s="12"/>
      <c r="Y315" s="12"/>
      <c r="Z315" s="12"/>
      <c r="AA315" s="12"/>
      <c r="AB315" s="12"/>
      <c r="AC315" s="911"/>
      <c r="AD315" s="911"/>
      <c r="AE315" s="911"/>
      <c r="AF315" s="911"/>
      <c r="AG315" s="911"/>
      <c r="AH315" s="911"/>
    </row>
    <row r="316" spans="1:34">
      <c r="B316" s="12"/>
      <c r="C316" s="12"/>
      <c r="D316" s="12"/>
      <c r="E316" s="12"/>
      <c r="F316" s="12"/>
      <c r="G316" s="12"/>
      <c r="H316" s="12"/>
      <c r="I316" s="12"/>
      <c r="J316" s="12"/>
      <c r="K316" s="441"/>
      <c r="L316" s="441"/>
      <c r="M316" s="441"/>
      <c r="N316" s="441"/>
      <c r="O316" s="441"/>
      <c r="P316" s="441"/>
      <c r="Q316" s="441"/>
      <c r="R316" s="441"/>
      <c r="S316" s="441"/>
      <c r="T316" s="441"/>
      <c r="U316" s="441"/>
      <c r="V316" s="12"/>
      <c r="W316" s="12"/>
      <c r="X316" s="12"/>
      <c r="Y316" s="12"/>
      <c r="Z316" s="12"/>
      <c r="AA316" s="12"/>
      <c r="AB316" s="12"/>
      <c r="AC316" s="911"/>
      <c r="AD316" s="911"/>
      <c r="AE316" s="911"/>
      <c r="AF316" s="911"/>
      <c r="AG316" s="911"/>
      <c r="AH316" s="911"/>
    </row>
    <row r="317" spans="1:34">
      <c r="B317" s="12"/>
      <c r="C317" s="12"/>
      <c r="D317" s="12"/>
      <c r="E317" s="12"/>
      <c r="F317" s="12"/>
      <c r="G317" s="12"/>
      <c r="H317" s="12"/>
      <c r="I317" s="12"/>
      <c r="J317" s="12"/>
      <c r="K317" s="441"/>
      <c r="L317" s="441"/>
      <c r="M317" s="441"/>
      <c r="N317" s="441"/>
      <c r="O317" s="441"/>
      <c r="P317" s="441"/>
      <c r="Q317" s="441"/>
      <c r="R317" s="441"/>
      <c r="S317" s="441"/>
      <c r="T317" s="441"/>
      <c r="U317" s="441"/>
      <c r="V317" s="12"/>
      <c r="W317" s="12"/>
      <c r="X317" s="12"/>
      <c r="Y317" s="12"/>
      <c r="Z317" s="12"/>
      <c r="AA317" s="12"/>
      <c r="AB317" s="12"/>
      <c r="AC317" s="911"/>
      <c r="AD317" s="911"/>
      <c r="AE317" s="911"/>
      <c r="AF317" s="911"/>
      <c r="AG317" s="911"/>
      <c r="AH317" s="911"/>
    </row>
    <row r="318" spans="1:34">
      <c r="B318" s="12"/>
      <c r="C318" s="12"/>
      <c r="D318" s="12"/>
      <c r="E318" s="12"/>
      <c r="F318" s="12"/>
      <c r="G318" s="12"/>
      <c r="H318" s="12"/>
      <c r="I318" s="12"/>
      <c r="J318" s="12"/>
      <c r="K318" s="441"/>
      <c r="L318" s="441"/>
      <c r="M318" s="441"/>
      <c r="N318" s="441"/>
      <c r="O318" s="441"/>
      <c r="P318" s="441"/>
      <c r="Q318" s="441"/>
      <c r="R318" s="441"/>
      <c r="S318" s="441"/>
      <c r="T318" s="441"/>
      <c r="U318" s="441"/>
      <c r="V318" s="12"/>
      <c r="W318" s="12"/>
      <c r="X318" s="12"/>
      <c r="Y318" s="12"/>
      <c r="Z318" s="12"/>
      <c r="AA318" s="12"/>
      <c r="AB318" s="12"/>
      <c r="AC318" s="911"/>
      <c r="AD318" s="911"/>
      <c r="AE318" s="911"/>
      <c r="AF318" s="911"/>
      <c r="AG318" s="911"/>
      <c r="AH318" s="911"/>
    </row>
    <row r="319" spans="1:34">
      <c r="B319" s="12"/>
      <c r="C319" s="12"/>
      <c r="D319" s="12"/>
      <c r="E319" s="12"/>
      <c r="F319" s="12"/>
      <c r="G319" s="12"/>
      <c r="H319" s="12"/>
      <c r="I319" s="12"/>
      <c r="J319" s="12"/>
      <c r="K319" s="441"/>
      <c r="L319" s="441"/>
      <c r="M319" s="441"/>
      <c r="N319" s="441"/>
      <c r="O319" s="441"/>
      <c r="P319" s="441"/>
      <c r="Q319" s="441"/>
      <c r="R319" s="441"/>
      <c r="S319" s="441"/>
      <c r="T319" s="441"/>
      <c r="U319" s="441"/>
      <c r="V319" s="12"/>
      <c r="W319" s="12"/>
      <c r="X319" s="12"/>
      <c r="Y319" s="12"/>
      <c r="Z319" s="12"/>
      <c r="AA319" s="12"/>
      <c r="AB319" s="12"/>
      <c r="AC319" s="911"/>
      <c r="AD319" s="911"/>
      <c r="AE319" s="911"/>
      <c r="AF319" s="911"/>
      <c r="AG319" s="911"/>
      <c r="AH319" s="911"/>
    </row>
    <row r="320" spans="1:34">
      <c r="B320" s="12"/>
      <c r="C320" s="12"/>
      <c r="D320" s="12"/>
      <c r="E320" s="12"/>
      <c r="F320" s="12"/>
      <c r="G320" s="12"/>
      <c r="H320" s="12"/>
      <c r="I320" s="12"/>
      <c r="J320" s="12"/>
      <c r="K320" s="441"/>
      <c r="L320" s="441"/>
      <c r="M320" s="441"/>
      <c r="N320" s="441"/>
      <c r="O320" s="441"/>
      <c r="P320" s="441"/>
      <c r="Q320" s="441"/>
      <c r="R320" s="441"/>
      <c r="S320" s="441"/>
      <c r="T320" s="441"/>
      <c r="U320" s="441"/>
      <c r="V320" s="12"/>
      <c r="W320" s="12"/>
      <c r="X320" s="12"/>
      <c r="Y320" s="12"/>
      <c r="Z320" s="12"/>
      <c r="AA320" s="12"/>
      <c r="AB320" s="12"/>
      <c r="AC320" s="911"/>
      <c r="AD320" s="911"/>
      <c r="AE320" s="911"/>
      <c r="AF320" s="911"/>
      <c r="AG320" s="911"/>
      <c r="AH320" s="911"/>
    </row>
    <row r="321" spans="1:34">
      <c r="B321" s="12"/>
      <c r="C321" s="12"/>
      <c r="D321" s="12"/>
      <c r="E321" s="12"/>
      <c r="F321" s="12"/>
      <c r="G321" s="12"/>
      <c r="H321" s="12"/>
      <c r="I321" s="12"/>
      <c r="J321" s="12"/>
      <c r="K321" s="441"/>
      <c r="L321" s="441"/>
      <c r="M321" s="441"/>
      <c r="N321" s="441"/>
      <c r="O321" s="441"/>
      <c r="P321" s="441"/>
      <c r="Q321" s="441"/>
      <c r="R321" s="441"/>
      <c r="S321" s="441"/>
      <c r="T321" s="441"/>
      <c r="U321" s="441"/>
      <c r="V321" s="12"/>
      <c r="W321" s="12"/>
      <c r="X321" s="12"/>
      <c r="Y321" s="12"/>
      <c r="Z321" s="12"/>
      <c r="AA321" s="12"/>
      <c r="AB321" s="12"/>
      <c r="AC321" s="911"/>
      <c r="AD321" s="911"/>
      <c r="AE321" s="911"/>
      <c r="AF321" s="911"/>
      <c r="AG321" s="911"/>
      <c r="AH321" s="911"/>
    </row>
    <row r="322" spans="1:34">
      <c r="B322" s="12"/>
      <c r="C322" s="12"/>
      <c r="D322" s="12"/>
      <c r="E322" s="12"/>
      <c r="F322" s="12"/>
      <c r="G322" s="12"/>
      <c r="H322" s="12"/>
      <c r="I322" s="12"/>
      <c r="J322" s="12"/>
      <c r="K322" s="441"/>
      <c r="L322" s="441"/>
      <c r="M322" s="441"/>
      <c r="N322" s="441"/>
      <c r="O322" s="441"/>
      <c r="P322" s="441"/>
      <c r="Q322" s="441"/>
      <c r="R322" s="441"/>
      <c r="S322" s="441"/>
      <c r="T322" s="441"/>
      <c r="U322" s="441"/>
      <c r="V322" s="12"/>
      <c r="W322" s="12"/>
      <c r="X322" s="12"/>
      <c r="Y322" s="12"/>
      <c r="Z322" s="12"/>
      <c r="AA322" s="12"/>
      <c r="AB322" s="12"/>
      <c r="AC322" s="911"/>
      <c r="AD322" s="911"/>
      <c r="AE322" s="911"/>
      <c r="AF322" s="911"/>
      <c r="AG322" s="911"/>
      <c r="AH322" s="911"/>
    </row>
    <row r="323" spans="1:34">
      <c r="B323" s="12"/>
      <c r="C323" s="12"/>
      <c r="D323" s="12"/>
      <c r="E323" s="12"/>
      <c r="F323" s="12"/>
      <c r="G323" s="12"/>
      <c r="H323" s="12"/>
      <c r="I323" s="12"/>
      <c r="J323" s="12"/>
      <c r="K323" s="441"/>
      <c r="L323" s="441"/>
      <c r="M323" s="441"/>
      <c r="N323" s="441"/>
      <c r="O323" s="441"/>
      <c r="P323" s="441"/>
      <c r="Q323" s="441"/>
      <c r="R323" s="441"/>
      <c r="S323" s="441"/>
      <c r="T323" s="441"/>
      <c r="U323" s="441"/>
      <c r="V323" s="12"/>
      <c r="W323" s="12"/>
      <c r="X323" s="12"/>
      <c r="Y323" s="12"/>
      <c r="Z323" s="12"/>
      <c r="AA323" s="12"/>
      <c r="AB323" s="12"/>
      <c r="AC323" s="911"/>
      <c r="AD323" s="911"/>
      <c r="AE323" s="911"/>
      <c r="AF323" s="911"/>
      <c r="AG323" s="911"/>
      <c r="AH323" s="911"/>
    </row>
    <row r="324" spans="1:34">
      <c r="B324" s="12"/>
      <c r="C324" s="12"/>
      <c r="D324" s="12"/>
      <c r="E324" s="12"/>
      <c r="F324" s="12"/>
      <c r="G324" s="12"/>
      <c r="H324" s="12"/>
      <c r="I324" s="12"/>
      <c r="J324" s="12"/>
      <c r="K324" s="441"/>
      <c r="L324" s="441"/>
      <c r="M324" s="441"/>
      <c r="N324" s="441"/>
      <c r="O324" s="441"/>
      <c r="P324" s="441"/>
      <c r="Q324" s="441"/>
      <c r="R324" s="441"/>
      <c r="S324" s="441"/>
      <c r="T324" s="441"/>
      <c r="U324" s="441"/>
      <c r="V324" s="12"/>
      <c r="W324" s="12"/>
      <c r="X324" s="12"/>
      <c r="Y324" s="12"/>
      <c r="Z324" s="12"/>
      <c r="AA324" s="12"/>
      <c r="AB324" s="12"/>
      <c r="AC324" s="911"/>
      <c r="AD324" s="911"/>
      <c r="AE324" s="911"/>
      <c r="AF324" s="911"/>
      <c r="AG324" s="911"/>
      <c r="AH324" s="911"/>
    </row>
    <row r="325" spans="1:34">
      <c r="B325" s="12"/>
      <c r="C325" s="12"/>
      <c r="D325" s="12"/>
      <c r="E325" s="12"/>
      <c r="F325" s="12"/>
      <c r="G325" s="12"/>
      <c r="H325" s="12"/>
      <c r="I325" s="12"/>
      <c r="J325" s="12"/>
      <c r="K325" s="441"/>
      <c r="L325" s="441"/>
      <c r="M325" s="441"/>
      <c r="N325" s="441"/>
      <c r="O325" s="441"/>
      <c r="P325" s="441"/>
      <c r="Q325" s="441"/>
      <c r="R325" s="441"/>
      <c r="S325" s="441"/>
      <c r="T325" s="441"/>
      <c r="U325" s="441"/>
      <c r="V325" s="12"/>
      <c r="W325" s="12"/>
      <c r="X325" s="12"/>
      <c r="Y325" s="12"/>
      <c r="Z325" s="12"/>
      <c r="AA325" s="12"/>
      <c r="AB325" s="12"/>
      <c r="AC325" s="911"/>
      <c r="AD325" s="911"/>
      <c r="AE325" s="911"/>
      <c r="AF325" s="911"/>
      <c r="AG325" s="911"/>
      <c r="AH325" s="911"/>
    </row>
    <row r="326" spans="1:34">
      <c r="B326" s="12"/>
      <c r="C326" s="12"/>
      <c r="D326" s="12"/>
      <c r="E326" s="12"/>
      <c r="F326" s="12"/>
      <c r="G326" s="12"/>
      <c r="H326" s="12"/>
      <c r="I326" s="12"/>
      <c r="J326" s="12"/>
      <c r="K326" s="441"/>
      <c r="L326" s="441"/>
      <c r="M326" s="441"/>
      <c r="N326" s="441"/>
      <c r="O326" s="441"/>
      <c r="P326" s="441"/>
      <c r="Q326" s="441"/>
      <c r="R326" s="441"/>
      <c r="S326" s="441"/>
      <c r="T326" s="441"/>
      <c r="U326" s="441"/>
      <c r="V326" s="12"/>
      <c r="W326" s="12"/>
      <c r="X326" s="12"/>
      <c r="Y326" s="12"/>
      <c r="Z326" s="12"/>
      <c r="AA326" s="12"/>
      <c r="AB326" s="12"/>
      <c r="AC326" s="911"/>
      <c r="AD326" s="911"/>
      <c r="AE326" s="911"/>
      <c r="AF326" s="911"/>
      <c r="AG326" s="911"/>
      <c r="AH326" s="911"/>
    </row>
    <row r="327" spans="1:34">
      <c r="B327" s="12"/>
      <c r="C327" s="12"/>
      <c r="D327" s="12"/>
      <c r="E327" s="12"/>
      <c r="F327" s="12"/>
      <c r="G327" s="12"/>
      <c r="H327" s="12"/>
      <c r="I327" s="12"/>
      <c r="J327" s="12"/>
      <c r="K327" s="441"/>
      <c r="L327" s="441"/>
      <c r="M327" s="441"/>
      <c r="N327" s="441"/>
      <c r="O327" s="441"/>
      <c r="P327" s="441"/>
      <c r="Q327" s="441"/>
      <c r="R327" s="441"/>
      <c r="S327" s="441"/>
      <c r="T327" s="441"/>
      <c r="U327" s="441"/>
      <c r="V327" s="12"/>
      <c r="W327" s="12"/>
      <c r="X327" s="12"/>
      <c r="Y327" s="12"/>
      <c r="Z327" s="12"/>
      <c r="AA327" s="12"/>
      <c r="AB327" s="12"/>
      <c r="AC327" s="911"/>
      <c r="AD327" s="911"/>
      <c r="AE327" s="911"/>
      <c r="AF327" s="911"/>
      <c r="AG327" s="911"/>
      <c r="AH327" s="911"/>
    </row>
    <row r="328" spans="1:34">
      <c r="B328" s="12"/>
      <c r="C328" s="12"/>
      <c r="D328" s="12"/>
      <c r="E328" s="12"/>
      <c r="F328" s="12"/>
      <c r="G328" s="12"/>
      <c r="H328" s="12"/>
      <c r="I328" s="12"/>
      <c r="J328" s="12"/>
      <c r="K328" s="441"/>
      <c r="L328" s="441"/>
      <c r="M328" s="441"/>
      <c r="N328" s="441"/>
      <c r="O328" s="441"/>
      <c r="P328" s="441"/>
      <c r="Q328" s="441"/>
      <c r="R328" s="441"/>
      <c r="S328" s="441"/>
      <c r="T328" s="441"/>
      <c r="U328" s="441"/>
      <c r="V328" s="12"/>
      <c r="W328" s="12"/>
      <c r="X328" s="12"/>
      <c r="Y328" s="12"/>
      <c r="Z328" s="12"/>
      <c r="AA328" s="12"/>
      <c r="AB328" s="12"/>
      <c r="AC328" s="911"/>
      <c r="AD328" s="911"/>
      <c r="AE328" s="911"/>
      <c r="AF328" s="911"/>
      <c r="AG328" s="911"/>
      <c r="AH328" s="911"/>
    </row>
    <row r="329" spans="1:34">
      <c r="B329" s="12"/>
      <c r="C329" s="12"/>
      <c r="D329" s="12"/>
      <c r="E329" s="12"/>
      <c r="F329" s="12"/>
      <c r="G329" s="12"/>
      <c r="H329" s="12"/>
      <c r="I329" s="12"/>
      <c r="J329" s="12"/>
      <c r="K329" s="441"/>
      <c r="L329" s="441"/>
      <c r="M329" s="441"/>
      <c r="N329" s="441"/>
      <c r="O329" s="441"/>
      <c r="P329" s="441"/>
      <c r="Q329" s="441"/>
      <c r="R329" s="441"/>
      <c r="S329" s="441"/>
      <c r="T329" s="441"/>
      <c r="U329" s="441"/>
      <c r="V329" s="12"/>
      <c r="W329" s="12"/>
      <c r="X329" s="12"/>
      <c r="Y329" s="12"/>
      <c r="Z329" s="12"/>
      <c r="AA329" s="12"/>
      <c r="AB329" s="12"/>
      <c r="AC329" s="911"/>
      <c r="AD329" s="911"/>
      <c r="AE329" s="911"/>
      <c r="AF329" s="911"/>
      <c r="AG329" s="911"/>
      <c r="AH329" s="911"/>
    </row>
    <row r="330" spans="1:34">
      <c r="B330" s="12"/>
      <c r="C330" s="12"/>
      <c r="D330" s="12"/>
      <c r="E330" s="12"/>
      <c r="F330" s="12"/>
      <c r="G330" s="12"/>
      <c r="H330" s="12"/>
      <c r="I330" s="12"/>
      <c r="J330" s="12"/>
      <c r="K330" s="441"/>
      <c r="L330" s="441"/>
      <c r="M330" s="441"/>
      <c r="N330" s="441"/>
      <c r="O330" s="441"/>
      <c r="P330" s="441"/>
      <c r="Q330" s="441"/>
      <c r="R330" s="441"/>
      <c r="S330" s="441"/>
      <c r="T330" s="441"/>
      <c r="U330" s="441"/>
      <c r="V330" s="12"/>
      <c r="W330" s="12"/>
      <c r="X330" s="12"/>
      <c r="Y330" s="12"/>
      <c r="Z330" s="12"/>
      <c r="AA330" s="12"/>
      <c r="AB330" s="12"/>
      <c r="AC330" s="911"/>
      <c r="AD330" s="911"/>
      <c r="AE330" s="911"/>
      <c r="AF330" s="911"/>
      <c r="AG330" s="911"/>
      <c r="AH330" s="911"/>
    </row>
    <row r="331" spans="1:34">
      <c r="B331" s="12"/>
      <c r="C331" s="12"/>
      <c r="D331" s="12"/>
      <c r="E331" s="12"/>
      <c r="F331" s="12"/>
      <c r="G331" s="12"/>
      <c r="H331" s="12"/>
      <c r="I331" s="12"/>
      <c r="J331" s="12"/>
      <c r="K331" s="441"/>
      <c r="L331" s="441"/>
      <c r="M331" s="441"/>
      <c r="N331" s="441"/>
      <c r="O331" s="441"/>
      <c r="P331" s="441"/>
      <c r="Q331" s="441"/>
      <c r="R331" s="441"/>
      <c r="S331" s="441"/>
      <c r="T331" s="441"/>
      <c r="U331" s="441"/>
      <c r="V331" s="12"/>
      <c r="W331" s="12"/>
      <c r="X331" s="12"/>
      <c r="Y331" s="12"/>
      <c r="Z331" s="12"/>
      <c r="AA331" s="12"/>
      <c r="AB331" s="12"/>
      <c r="AC331" s="911"/>
      <c r="AD331" s="911"/>
      <c r="AE331" s="911"/>
      <c r="AF331" s="911"/>
      <c r="AG331" s="911"/>
      <c r="AH331" s="911"/>
    </row>
    <row r="332" spans="1:34">
      <c r="B332" s="12"/>
      <c r="C332" s="12"/>
      <c r="D332" s="12"/>
      <c r="E332" s="12"/>
      <c r="F332" s="12"/>
      <c r="G332" s="12"/>
      <c r="H332" s="12"/>
      <c r="I332" s="12"/>
      <c r="J332" s="12"/>
      <c r="K332" s="441"/>
      <c r="L332" s="441"/>
      <c r="M332" s="441"/>
      <c r="N332" s="441"/>
      <c r="O332" s="441"/>
      <c r="P332" s="441"/>
      <c r="Q332" s="441"/>
      <c r="R332" s="441"/>
      <c r="S332" s="441"/>
      <c r="T332" s="441"/>
      <c r="U332" s="441"/>
      <c r="V332" s="12"/>
      <c r="W332" s="12"/>
      <c r="X332" s="12"/>
      <c r="Y332" s="12"/>
      <c r="Z332" s="12"/>
      <c r="AA332" s="12"/>
      <c r="AB332" s="12"/>
      <c r="AC332" s="911"/>
      <c r="AD332" s="911"/>
      <c r="AE332" s="911"/>
      <c r="AF332" s="911"/>
      <c r="AG332" s="911"/>
      <c r="AH332" s="911"/>
    </row>
    <row r="333" spans="1:34">
      <c r="B333" s="12"/>
      <c r="C333" s="12"/>
      <c r="D333" s="12"/>
      <c r="E333" s="12"/>
      <c r="F333" s="12"/>
      <c r="G333" s="12"/>
      <c r="H333" s="12"/>
      <c r="I333" s="12"/>
      <c r="J333" s="12"/>
      <c r="K333" s="441"/>
      <c r="L333" s="441"/>
      <c r="M333" s="441"/>
      <c r="N333" s="441"/>
      <c r="O333" s="441"/>
      <c r="P333" s="441"/>
      <c r="Q333" s="441"/>
      <c r="R333" s="441"/>
      <c r="S333" s="441"/>
      <c r="T333" s="441"/>
      <c r="U333" s="441"/>
      <c r="V333" s="12"/>
      <c r="W333" s="12"/>
      <c r="X333" s="12"/>
      <c r="Y333" s="12"/>
      <c r="Z333" s="12"/>
      <c r="AA333" s="12"/>
      <c r="AB333" s="12"/>
      <c r="AC333" s="911"/>
      <c r="AD333" s="911"/>
      <c r="AE333" s="911"/>
      <c r="AF333" s="911"/>
      <c r="AG333" s="911"/>
      <c r="AH333" s="911"/>
    </row>
    <row r="334" spans="1:34">
      <c r="B334" s="12"/>
      <c r="C334" s="12"/>
      <c r="D334" s="12"/>
      <c r="E334" s="12"/>
      <c r="F334" s="12"/>
      <c r="G334" s="12"/>
      <c r="H334" s="12"/>
      <c r="I334" s="12"/>
      <c r="J334" s="12"/>
      <c r="K334" s="441"/>
      <c r="L334" s="441"/>
      <c r="M334" s="441"/>
      <c r="N334" s="441"/>
      <c r="O334" s="441"/>
      <c r="P334" s="441"/>
      <c r="Q334" s="441"/>
      <c r="R334" s="441"/>
      <c r="S334" s="441"/>
      <c r="T334" s="441"/>
      <c r="U334" s="441"/>
      <c r="V334" s="12"/>
      <c r="W334" s="12"/>
      <c r="X334" s="12"/>
      <c r="Y334" s="12"/>
      <c r="Z334" s="12"/>
      <c r="AA334" s="12"/>
      <c r="AB334" s="12"/>
      <c r="AC334" s="911"/>
      <c r="AD334" s="911"/>
      <c r="AE334" s="911"/>
      <c r="AF334" s="911"/>
      <c r="AG334" s="911"/>
      <c r="AH334" s="911"/>
    </row>
    <row r="335" spans="1:34" s="421" customFormat="1" ht="15" customHeight="1">
      <c r="A335" s="7"/>
      <c r="B335" s="12"/>
      <c r="C335" s="12"/>
      <c r="D335" s="12"/>
      <c r="E335" s="12"/>
      <c r="F335" s="12"/>
      <c r="G335" s="12"/>
      <c r="H335" s="12"/>
      <c r="I335" s="1194" t="s">
        <v>153</v>
      </c>
      <c r="J335" s="1194"/>
      <c r="K335" s="441">
        <v>4</v>
      </c>
      <c r="L335" s="441"/>
      <c r="M335" s="441"/>
      <c r="N335" s="441"/>
      <c r="O335" s="441"/>
      <c r="P335" s="441"/>
      <c r="Q335" s="441"/>
      <c r="R335" s="441"/>
      <c r="S335" s="441"/>
      <c r="T335" s="441"/>
      <c r="U335" s="441"/>
    </row>
    <row r="336" spans="1:34" s="908" customFormat="1" ht="15" customHeight="1">
      <c r="A336" s="7"/>
      <c r="B336" s="12"/>
      <c r="C336" s="12"/>
      <c r="D336" s="12"/>
      <c r="E336" s="12"/>
      <c r="F336" s="12"/>
      <c r="G336" s="12"/>
      <c r="H336" s="12"/>
      <c r="I336" s="1194" t="s">
        <v>714</v>
      </c>
      <c r="J336" s="1194"/>
      <c r="K336" s="441">
        <v>140077.58179547422</v>
      </c>
      <c r="L336" s="441"/>
      <c r="M336" s="441"/>
      <c r="N336" s="441"/>
      <c r="O336" s="441"/>
      <c r="P336" s="441"/>
      <c r="Q336" s="441"/>
      <c r="R336" s="441"/>
      <c r="S336" s="441"/>
      <c r="T336" s="441"/>
      <c r="U336" s="441"/>
    </row>
    <row r="337" spans="1:34" s="912" customFormat="1" ht="15" customHeight="1">
      <c r="A337" s="7"/>
      <c r="B337" s="12"/>
      <c r="C337" s="12"/>
      <c r="D337" s="12"/>
      <c r="E337" s="12"/>
      <c r="F337" s="12"/>
      <c r="G337" s="12"/>
      <c r="H337" s="12"/>
      <c r="I337" s="1194" t="s">
        <v>616</v>
      </c>
      <c r="J337" s="1194"/>
      <c r="K337" s="943">
        <v>0</v>
      </c>
      <c r="L337" s="943"/>
      <c r="M337" s="943"/>
      <c r="N337" s="943"/>
      <c r="O337" s="943"/>
      <c r="P337" s="943"/>
      <c r="Q337" s="943"/>
      <c r="R337" s="943"/>
      <c r="S337" s="943"/>
      <c r="T337" s="943"/>
      <c r="U337" s="943"/>
    </row>
    <row r="338" spans="1:34">
      <c r="B338" s="12"/>
      <c r="C338" s="12"/>
      <c r="D338" s="12"/>
      <c r="E338" s="12"/>
      <c r="F338" s="12"/>
      <c r="G338" s="12"/>
      <c r="H338" s="12"/>
      <c r="I338" s="1194" t="s">
        <v>692</v>
      </c>
      <c r="J338" s="1194"/>
      <c r="K338" s="944">
        <v>36828.827683262891</v>
      </c>
      <c r="L338" s="441"/>
      <c r="M338" s="441"/>
      <c r="N338" s="441"/>
      <c r="O338" s="441"/>
      <c r="P338" s="441"/>
      <c r="Q338" s="441"/>
      <c r="R338" s="441"/>
      <c r="S338" s="441"/>
      <c r="T338" s="441"/>
      <c r="U338" s="441"/>
      <c r="V338" s="12"/>
      <c r="W338" s="12"/>
      <c r="X338" s="12"/>
      <c r="Y338" s="12"/>
      <c r="Z338" s="12"/>
      <c r="AA338" s="12"/>
      <c r="AB338" s="12"/>
      <c r="AC338" s="911"/>
      <c r="AD338" s="911"/>
      <c r="AE338" s="911"/>
      <c r="AF338" s="911"/>
      <c r="AG338" s="911"/>
      <c r="AH338" s="911"/>
    </row>
    <row r="339" spans="1:34">
      <c r="B339" s="12"/>
      <c r="C339" s="12"/>
      <c r="D339" s="12"/>
      <c r="E339" s="12"/>
      <c r="F339" s="12"/>
      <c r="G339" s="12"/>
      <c r="H339" s="12"/>
      <c r="I339" s="12"/>
      <c r="J339" s="12"/>
      <c r="K339" s="441"/>
      <c r="L339" s="441"/>
      <c r="M339" s="441"/>
      <c r="N339" s="441"/>
      <c r="O339" s="441"/>
      <c r="P339" s="441"/>
      <c r="Q339" s="441"/>
      <c r="R339" s="441"/>
      <c r="S339" s="441"/>
      <c r="T339" s="441"/>
      <c r="U339" s="441"/>
      <c r="V339" s="12"/>
      <c r="W339" s="12"/>
      <c r="X339" s="12"/>
      <c r="Y339" s="12"/>
      <c r="Z339" s="12"/>
      <c r="AA339" s="12"/>
      <c r="AB339" s="12"/>
      <c r="AC339" s="911"/>
      <c r="AD339" s="911"/>
      <c r="AE339" s="911"/>
      <c r="AF339" s="911"/>
      <c r="AG339" s="911"/>
      <c r="AH339" s="911"/>
    </row>
    <row r="340" spans="1:34">
      <c r="B340" s="12"/>
      <c r="C340" s="12"/>
      <c r="D340" s="12"/>
      <c r="E340" s="12"/>
      <c r="F340" s="12"/>
      <c r="G340" s="12"/>
      <c r="H340" s="12"/>
      <c r="I340" s="12"/>
      <c r="J340" s="12"/>
      <c r="K340" s="441"/>
      <c r="L340" s="441"/>
      <c r="M340" s="441"/>
      <c r="N340" s="441"/>
      <c r="O340" s="441"/>
      <c r="P340" s="441"/>
      <c r="Q340" s="441"/>
      <c r="R340" s="441"/>
      <c r="S340" s="441"/>
      <c r="T340" s="441"/>
      <c r="U340" s="441"/>
      <c r="V340" s="12"/>
      <c r="W340" s="12"/>
      <c r="X340" s="12"/>
      <c r="Y340" s="12"/>
      <c r="Z340" s="12"/>
      <c r="AA340" s="12"/>
      <c r="AB340" s="12"/>
      <c r="AC340" s="911"/>
      <c r="AD340" s="911"/>
      <c r="AE340" s="911"/>
      <c r="AF340" s="911"/>
      <c r="AG340" s="911"/>
      <c r="AH340" s="911"/>
    </row>
    <row r="341" spans="1:34">
      <c r="B341" s="12"/>
      <c r="C341" s="12"/>
      <c r="D341" s="12"/>
      <c r="E341" s="12"/>
      <c r="F341" s="12"/>
      <c r="G341" s="12"/>
      <c r="H341" s="12"/>
      <c r="I341" s="12"/>
      <c r="J341" s="12"/>
      <c r="K341" s="441"/>
      <c r="L341" s="441"/>
      <c r="M341" s="441"/>
      <c r="N341" s="441"/>
      <c r="O341" s="441"/>
      <c r="P341" s="441"/>
      <c r="Q341" s="441"/>
      <c r="R341" s="441"/>
      <c r="S341" s="441"/>
      <c r="T341" s="441"/>
      <c r="U341" s="441"/>
      <c r="V341" s="12"/>
      <c r="W341" s="12"/>
      <c r="X341" s="12"/>
      <c r="Y341" s="12"/>
      <c r="Z341" s="12"/>
      <c r="AA341" s="12"/>
      <c r="AB341" s="12"/>
      <c r="AC341" s="911"/>
      <c r="AD341" s="911"/>
      <c r="AE341" s="911"/>
      <c r="AF341" s="911"/>
      <c r="AG341" s="911"/>
      <c r="AH341" s="911"/>
    </row>
    <row r="342" spans="1:34">
      <c r="B342" s="12"/>
      <c r="C342" s="12"/>
      <c r="D342" s="12"/>
      <c r="E342" s="12"/>
      <c r="F342" s="12"/>
      <c r="G342" s="12"/>
      <c r="H342" s="12"/>
      <c r="I342" s="12"/>
      <c r="J342" s="12"/>
      <c r="K342" s="441"/>
      <c r="L342" s="441"/>
      <c r="M342" s="441"/>
      <c r="N342" s="441"/>
      <c r="O342" s="441"/>
      <c r="P342" s="441"/>
      <c r="Q342" s="441"/>
      <c r="R342" s="441"/>
      <c r="S342" s="441"/>
      <c r="T342" s="441"/>
      <c r="U342" s="441"/>
      <c r="V342" s="12"/>
      <c r="W342" s="12"/>
      <c r="X342" s="12"/>
      <c r="Y342" s="12"/>
      <c r="Z342" s="12"/>
      <c r="AA342" s="12"/>
      <c r="AB342" s="12"/>
      <c r="AC342" s="911"/>
      <c r="AD342" s="911"/>
      <c r="AE342" s="911"/>
      <c r="AF342" s="911"/>
      <c r="AG342" s="911"/>
      <c r="AH342" s="911"/>
    </row>
    <row r="343" spans="1:34">
      <c r="B343" s="12"/>
      <c r="C343" s="12"/>
      <c r="D343" s="12"/>
      <c r="E343" s="12"/>
      <c r="F343" s="12"/>
      <c r="G343" s="12"/>
      <c r="H343" s="12"/>
      <c r="I343" s="12"/>
      <c r="J343" s="12"/>
      <c r="K343" s="441"/>
      <c r="L343" s="441"/>
      <c r="M343" s="441"/>
      <c r="N343" s="441"/>
      <c r="O343" s="441"/>
      <c r="P343" s="441"/>
      <c r="Q343" s="441"/>
      <c r="R343" s="441"/>
      <c r="S343" s="441"/>
      <c r="T343" s="441"/>
      <c r="U343" s="441"/>
      <c r="V343" s="12"/>
      <c r="W343" s="12"/>
      <c r="X343" s="12"/>
      <c r="Y343" s="12"/>
      <c r="Z343" s="12"/>
      <c r="AA343" s="12"/>
      <c r="AB343" s="12"/>
      <c r="AC343" s="911"/>
      <c r="AD343" s="911"/>
      <c r="AE343" s="911"/>
      <c r="AF343" s="911"/>
      <c r="AG343" s="911"/>
      <c r="AH343" s="911"/>
    </row>
    <row r="344" spans="1:34">
      <c r="B344" s="12"/>
      <c r="C344" s="12"/>
      <c r="D344" s="12"/>
      <c r="E344" s="12"/>
      <c r="F344" s="12"/>
      <c r="G344" s="12"/>
      <c r="H344" s="12"/>
      <c r="I344" s="12"/>
      <c r="J344" s="12"/>
      <c r="K344" s="441"/>
      <c r="L344" s="441"/>
      <c r="M344" s="441"/>
      <c r="N344" s="441"/>
      <c r="O344" s="441"/>
      <c r="P344" s="441"/>
      <c r="Q344" s="441"/>
      <c r="R344" s="441"/>
      <c r="S344" s="441"/>
      <c r="T344" s="441"/>
      <c r="U344" s="441"/>
      <c r="V344" s="12"/>
      <c r="W344" s="12"/>
      <c r="X344" s="12"/>
      <c r="Y344" s="12"/>
      <c r="Z344" s="12"/>
      <c r="AA344" s="12"/>
      <c r="AB344" s="12"/>
      <c r="AC344" s="911"/>
      <c r="AD344" s="911"/>
      <c r="AE344" s="911"/>
      <c r="AF344" s="911"/>
      <c r="AG344" s="911"/>
      <c r="AH344" s="911"/>
    </row>
    <row r="345" spans="1:34">
      <c r="B345" s="12"/>
      <c r="C345" s="12"/>
      <c r="D345" s="12"/>
      <c r="E345" s="12"/>
      <c r="F345" s="12"/>
      <c r="G345" s="12"/>
      <c r="H345" s="12"/>
      <c r="I345" s="12"/>
      <c r="J345" s="12"/>
      <c r="K345" s="441"/>
      <c r="L345" s="441"/>
      <c r="M345" s="441"/>
      <c r="N345" s="441"/>
      <c r="O345" s="441"/>
      <c r="P345" s="441"/>
      <c r="Q345" s="441"/>
      <c r="R345" s="441"/>
      <c r="S345" s="441"/>
      <c r="T345" s="441"/>
      <c r="U345" s="441"/>
      <c r="V345" s="12"/>
      <c r="W345" s="12"/>
      <c r="X345" s="12"/>
      <c r="Y345" s="12"/>
      <c r="Z345" s="12"/>
      <c r="AA345" s="12"/>
      <c r="AB345" s="12"/>
      <c r="AC345" s="911"/>
      <c r="AD345" s="911"/>
      <c r="AE345" s="911"/>
      <c r="AF345" s="911"/>
      <c r="AG345" s="911"/>
      <c r="AH345" s="911"/>
    </row>
    <row r="346" spans="1:34">
      <c r="B346" s="12"/>
      <c r="C346" s="12"/>
      <c r="D346" s="12"/>
      <c r="E346" s="12"/>
      <c r="F346" s="12"/>
      <c r="G346" s="12"/>
      <c r="H346" s="12"/>
      <c r="I346" s="12"/>
      <c r="J346" s="12"/>
      <c r="K346" s="441"/>
      <c r="L346" s="441"/>
      <c r="M346" s="441"/>
      <c r="N346" s="441"/>
      <c r="O346" s="441"/>
      <c r="P346" s="441"/>
      <c r="Q346" s="441"/>
      <c r="R346" s="441"/>
      <c r="S346" s="441"/>
      <c r="T346" s="441"/>
      <c r="U346" s="441"/>
      <c r="V346" s="12"/>
      <c r="W346" s="12"/>
      <c r="X346" s="12"/>
      <c r="Y346" s="12"/>
      <c r="Z346" s="12"/>
      <c r="AA346" s="12"/>
      <c r="AB346" s="12"/>
      <c r="AC346" s="911"/>
      <c r="AD346" s="911"/>
      <c r="AE346" s="911"/>
      <c r="AF346" s="911"/>
      <c r="AG346" s="911"/>
      <c r="AH346" s="911"/>
    </row>
    <row r="347" spans="1:34">
      <c r="B347" s="12"/>
      <c r="C347" s="12"/>
      <c r="D347" s="12"/>
      <c r="E347" s="12"/>
      <c r="F347" s="12"/>
      <c r="G347" s="12"/>
      <c r="H347" s="12"/>
      <c r="I347" s="12"/>
      <c r="J347" s="12"/>
      <c r="K347" s="441"/>
      <c r="L347" s="441"/>
      <c r="M347" s="441"/>
      <c r="N347" s="441"/>
      <c r="O347" s="441"/>
      <c r="P347" s="441"/>
      <c r="Q347" s="441"/>
      <c r="R347" s="441"/>
      <c r="S347" s="441"/>
      <c r="T347" s="441"/>
      <c r="U347" s="441"/>
      <c r="V347" s="12"/>
      <c r="W347" s="12"/>
      <c r="X347" s="12"/>
      <c r="Y347" s="12"/>
      <c r="Z347" s="12"/>
      <c r="AA347" s="12"/>
      <c r="AB347" s="12"/>
      <c r="AC347" s="911"/>
      <c r="AD347" s="911"/>
      <c r="AE347" s="911"/>
      <c r="AF347" s="911"/>
      <c r="AG347" s="911"/>
      <c r="AH347" s="911"/>
    </row>
    <row r="348" spans="1:34">
      <c r="B348" s="12"/>
      <c r="C348" s="12"/>
      <c r="D348" s="12"/>
      <c r="E348" s="12"/>
      <c r="F348" s="12"/>
      <c r="G348" s="12"/>
      <c r="H348" s="12"/>
      <c r="I348" s="12"/>
      <c r="J348" s="12"/>
      <c r="K348" s="441"/>
      <c r="L348" s="441"/>
      <c r="M348" s="441"/>
      <c r="N348" s="441"/>
      <c r="O348" s="441"/>
      <c r="P348" s="441"/>
      <c r="Q348" s="441"/>
      <c r="R348" s="441"/>
      <c r="S348" s="441"/>
      <c r="T348" s="441"/>
      <c r="U348" s="441"/>
      <c r="V348" s="12"/>
      <c r="W348" s="12"/>
      <c r="X348" s="12"/>
      <c r="Y348" s="12"/>
      <c r="Z348" s="12"/>
      <c r="AA348" s="12"/>
      <c r="AB348" s="12"/>
      <c r="AC348" s="911"/>
      <c r="AD348" s="911"/>
      <c r="AE348" s="911"/>
      <c r="AF348" s="911"/>
      <c r="AG348" s="911"/>
      <c r="AH348" s="911"/>
    </row>
    <row r="349" spans="1:34">
      <c r="B349" s="12"/>
      <c r="C349" s="12"/>
      <c r="D349" s="12"/>
      <c r="E349" s="12"/>
      <c r="F349" s="12"/>
      <c r="G349" s="12"/>
      <c r="H349" s="12"/>
      <c r="I349" s="12"/>
      <c r="J349" s="12"/>
      <c r="K349" s="441"/>
      <c r="L349" s="441"/>
      <c r="M349" s="441"/>
      <c r="N349" s="441"/>
      <c r="O349" s="441"/>
      <c r="P349" s="441"/>
      <c r="Q349" s="441"/>
      <c r="R349" s="441"/>
      <c r="S349" s="441"/>
      <c r="T349" s="441"/>
      <c r="U349" s="441"/>
      <c r="V349" s="12"/>
      <c r="W349" s="12"/>
      <c r="X349" s="12"/>
      <c r="Y349" s="12"/>
      <c r="Z349" s="12"/>
      <c r="AA349" s="12"/>
      <c r="AB349" s="12"/>
      <c r="AC349" s="911"/>
      <c r="AD349" s="911"/>
      <c r="AE349" s="911"/>
      <c r="AF349" s="911"/>
      <c r="AG349" s="911"/>
      <c r="AH349" s="911"/>
    </row>
    <row r="350" spans="1:34">
      <c r="B350" s="12"/>
      <c r="C350" s="12"/>
      <c r="D350" s="12"/>
      <c r="E350" s="12"/>
      <c r="F350" s="12"/>
      <c r="G350" s="12"/>
      <c r="H350" s="12"/>
      <c r="I350" s="12"/>
      <c r="J350" s="12"/>
      <c r="K350" s="441"/>
      <c r="L350" s="441"/>
      <c r="M350" s="441"/>
      <c r="N350" s="441"/>
      <c r="O350" s="441"/>
      <c r="P350" s="441"/>
      <c r="Q350" s="441"/>
      <c r="R350" s="441"/>
      <c r="S350" s="441"/>
      <c r="T350" s="441"/>
      <c r="U350" s="441"/>
      <c r="V350" s="12"/>
      <c r="W350" s="12"/>
      <c r="X350" s="12"/>
      <c r="Y350" s="12"/>
      <c r="Z350" s="12"/>
      <c r="AA350" s="12"/>
      <c r="AB350" s="12"/>
      <c r="AC350" s="911"/>
      <c r="AD350" s="911"/>
      <c r="AE350" s="911"/>
      <c r="AF350" s="911"/>
      <c r="AG350" s="911"/>
      <c r="AH350" s="911"/>
    </row>
    <row r="351" spans="1:34">
      <c r="B351" s="12"/>
      <c r="C351" s="12"/>
      <c r="D351" s="12"/>
      <c r="E351" s="12"/>
      <c r="F351" s="12"/>
      <c r="G351" s="12"/>
      <c r="H351" s="12"/>
      <c r="I351" s="12"/>
      <c r="J351" s="12"/>
      <c r="K351" s="441"/>
      <c r="L351" s="441"/>
      <c r="M351" s="441"/>
      <c r="N351" s="441"/>
      <c r="O351" s="441"/>
      <c r="P351" s="441"/>
      <c r="Q351" s="441"/>
      <c r="R351" s="441"/>
      <c r="S351" s="441"/>
      <c r="T351" s="441"/>
      <c r="U351" s="441"/>
      <c r="V351" s="12"/>
      <c r="W351" s="12"/>
      <c r="X351" s="12"/>
      <c r="Y351" s="12"/>
      <c r="Z351" s="12"/>
      <c r="AA351" s="12"/>
      <c r="AB351" s="12"/>
      <c r="AC351" s="911"/>
      <c r="AD351" s="911"/>
      <c r="AE351" s="911"/>
      <c r="AF351" s="911"/>
      <c r="AG351" s="911"/>
      <c r="AH351" s="911"/>
    </row>
    <row r="352" spans="1:34">
      <c r="B352" s="12"/>
      <c r="C352" s="12"/>
      <c r="D352" s="12"/>
      <c r="E352" s="12"/>
      <c r="F352" s="12"/>
      <c r="G352" s="12"/>
      <c r="H352" s="12"/>
      <c r="I352" s="12"/>
      <c r="J352" s="12"/>
      <c r="K352" s="441"/>
      <c r="L352" s="441"/>
      <c r="M352" s="441"/>
      <c r="N352" s="441"/>
      <c r="O352" s="441"/>
      <c r="P352" s="441"/>
      <c r="Q352" s="441"/>
      <c r="R352" s="441"/>
      <c r="S352" s="441"/>
      <c r="T352" s="441"/>
      <c r="U352" s="441"/>
      <c r="V352" s="12"/>
      <c r="W352" s="12"/>
      <c r="X352" s="12"/>
      <c r="Y352" s="12"/>
      <c r="Z352" s="12"/>
      <c r="AA352" s="12"/>
      <c r="AB352" s="12"/>
      <c r="AC352" s="911"/>
      <c r="AD352" s="911"/>
      <c r="AE352" s="911"/>
      <c r="AF352" s="911"/>
      <c r="AG352" s="911"/>
      <c r="AH352" s="911"/>
    </row>
    <row r="353" spans="1:34">
      <c r="B353" s="12"/>
      <c r="C353" s="12"/>
      <c r="D353" s="12"/>
      <c r="E353" s="12"/>
      <c r="F353" s="12"/>
      <c r="G353" s="12"/>
      <c r="H353" s="12"/>
      <c r="I353" s="12"/>
      <c r="J353" s="12"/>
      <c r="K353" s="441"/>
      <c r="L353" s="441"/>
      <c r="M353" s="441"/>
      <c r="N353" s="441"/>
      <c r="O353" s="441"/>
      <c r="P353" s="441"/>
      <c r="Q353" s="441"/>
      <c r="R353" s="441"/>
      <c r="S353" s="441"/>
      <c r="T353" s="441"/>
      <c r="U353" s="441"/>
      <c r="V353" s="12"/>
      <c r="W353" s="12"/>
      <c r="X353" s="12"/>
      <c r="Y353" s="12"/>
      <c r="Z353" s="12"/>
      <c r="AA353" s="12"/>
      <c r="AB353" s="12"/>
      <c r="AC353" s="911"/>
      <c r="AD353" s="911"/>
      <c r="AE353" s="911"/>
      <c r="AF353" s="911"/>
      <c r="AG353" s="911"/>
      <c r="AH353" s="911"/>
    </row>
    <row r="354" spans="1:34">
      <c r="B354" s="12"/>
      <c r="C354" s="12"/>
      <c r="D354" s="12"/>
      <c r="E354" s="12"/>
      <c r="F354" s="12"/>
      <c r="G354" s="12"/>
      <c r="H354" s="12"/>
      <c r="I354" s="12"/>
      <c r="J354" s="12"/>
      <c r="K354" s="441"/>
      <c r="L354" s="441"/>
      <c r="M354" s="441"/>
      <c r="N354" s="441"/>
      <c r="O354" s="441"/>
      <c r="P354" s="441"/>
      <c r="Q354" s="441"/>
      <c r="R354" s="441"/>
      <c r="S354" s="441"/>
      <c r="T354" s="441"/>
      <c r="U354" s="441"/>
      <c r="V354" s="12"/>
      <c r="W354" s="12"/>
      <c r="X354" s="12"/>
      <c r="Y354" s="12"/>
      <c r="Z354" s="12"/>
      <c r="AA354" s="12"/>
      <c r="AB354" s="12"/>
      <c r="AC354" s="911"/>
      <c r="AD354" s="911"/>
      <c r="AE354" s="911"/>
      <c r="AF354" s="911"/>
      <c r="AG354" s="911"/>
      <c r="AH354" s="911"/>
    </row>
    <row r="355" spans="1:34">
      <c r="B355" s="12"/>
      <c r="C355" s="12"/>
      <c r="D355" s="12"/>
      <c r="E355" s="12"/>
      <c r="F355" s="12"/>
      <c r="G355" s="12"/>
      <c r="H355" s="12"/>
      <c r="I355" s="12"/>
      <c r="J355" s="12"/>
      <c r="K355" s="441"/>
      <c r="L355" s="441"/>
      <c r="M355" s="441"/>
      <c r="N355" s="441"/>
      <c r="O355" s="441"/>
      <c r="P355" s="441"/>
      <c r="Q355" s="441"/>
      <c r="R355" s="441"/>
      <c r="S355" s="441"/>
      <c r="T355" s="441"/>
      <c r="U355" s="441"/>
      <c r="V355" s="12"/>
      <c r="W355" s="12"/>
      <c r="X355" s="12"/>
      <c r="Y355" s="12"/>
      <c r="Z355" s="12"/>
      <c r="AA355" s="12"/>
      <c r="AB355" s="12"/>
      <c r="AC355" s="911"/>
      <c r="AD355" s="911"/>
      <c r="AE355" s="911"/>
      <c r="AF355" s="911"/>
      <c r="AG355" s="911"/>
      <c r="AH355" s="911"/>
    </row>
    <row r="356" spans="1:34">
      <c r="B356" s="12"/>
      <c r="C356" s="12"/>
      <c r="D356" s="12"/>
      <c r="E356" s="12"/>
      <c r="F356" s="12"/>
      <c r="G356" s="12"/>
      <c r="H356" s="12"/>
      <c r="I356" s="12"/>
      <c r="J356" s="12"/>
      <c r="K356" s="441"/>
      <c r="L356" s="441"/>
      <c r="M356" s="441"/>
      <c r="N356" s="441"/>
      <c r="O356" s="441"/>
      <c r="P356" s="441"/>
      <c r="Q356" s="441"/>
      <c r="R356" s="441"/>
      <c r="S356" s="441"/>
      <c r="T356" s="441"/>
      <c r="U356" s="441"/>
      <c r="V356" s="12"/>
      <c r="W356" s="12"/>
      <c r="X356" s="12"/>
      <c r="Y356" s="12"/>
      <c r="Z356" s="12"/>
      <c r="AA356" s="12"/>
      <c r="AB356" s="12"/>
      <c r="AC356" s="911"/>
      <c r="AD356" s="911"/>
      <c r="AE356" s="911"/>
      <c r="AF356" s="911"/>
      <c r="AG356" s="911"/>
      <c r="AH356" s="911"/>
    </row>
    <row r="357" spans="1:34">
      <c r="B357" s="12"/>
      <c r="C357" s="12"/>
      <c r="D357" s="12"/>
      <c r="E357" s="12"/>
      <c r="F357" s="12"/>
      <c r="G357" s="12"/>
      <c r="H357" s="12"/>
      <c r="I357" s="12"/>
      <c r="J357" s="12"/>
      <c r="K357" s="441"/>
      <c r="L357" s="441"/>
      <c r="M357" s="441"/>
      <c r="N357" s="441"/>
      <c r="O357" s="441"/>
      <c r="P357" s="441"/>
      <c r="Q357" s="441"/>
      <c r="R357" s="441"/>
      <c r="S357" s="441"/>
      <c r="T357" s="441"/>
      <c r="U357" s="441"/>
      <c r="V357" s="12"/>
      <c r="W357" s="12"/>
      <c r="X357" s="12"/>
      <c r="Y357" s="12"/>
      <c r="Z357" s="12"/>
      <c r="AA357" s="12"/>
      <c r="AB357" s="12"/>
      <c r="AC357" s="911"/>
      <c r="AD357" s="911"/>
      <c r="AE357" s="911"/>
      <c r="AF357" s="911"/>
      <c r="AG357" s="911"/>
      <c r="AH357" s="911"/>
    </row>
    <row r="358" spans="1:34">
      <c r="B358" s="12"/>
      <c r="C358" s="12"/>
      <c r="D358" s="12"/>
      <c r="E358" s="12"/>
      <c r="F358" s="12"/>
      <c r="G358" s="12"/>
      <c r="H358" s="12"/>
      <c r="I358" s="12"/>
      <c r="J358" s="12"/>
      <c r="K358" s="441"/>
      <c r="L358" s="441"/>
      <c r="M358" s="441"/>
      <c r="N358" s="441"/>
      <c r="O358" s="441"/>
      <c r="P358" s="441"/>
      <c r="Q358" s="441"/>
      <c r="R358" s="441"/>
      <c r="S358" s="441"/>
      <c r="T358" s="441"/>
      <c r="U358" s="441"/>
      <c r="V358" s="12"/>
      <c r="W358" s="12"/>
      <c r="X358" s="12"/>
      <c r="Y358" s="12"/>
      <c r="Z358" s="12"/>
      <c r="AA358" s="12"/>
      <c r="AB358" s="12"/>
      <c r="AC358" s="911"/>
      <c r="AD358" s="911"/>
      <c r="AE358" s="911"/>
      <c r="AF358" s="911"/>
      <c r="AG358" s="911"/>
      <c r="AH358" s="911"/>
    </row>
    <row r="359" spans="1:34" s="421" customFormat="1" ht="15" customHeight="1">
      <c r="A359" s="7"/>
      <c r="B359" s="12"/>
      <c r="C359" s="12"/>
      <c r="D359" s="12"/>
      <c r="E359" s="12"/>
      <c r="F359" s="12"/>
      <c r="G359" s="12"/>
      <c r="H359" s="12"/>
      <c r="I359" s="1194" t="s">
        <v>153</v>
      </c>
      <c r="J359" s="1194"/>
      <c r="K359" s="441">
        <v>4</v>
      </c>
      <c r="L359" s="441"/>
      <c r="M359" s="441"/>
      <c r="N359" s="441"/>
      <c r="O359" s="441"/>
      <c r="P359" s="441"/>
      <c r="Q359" s="441"/>
      <c r="R359" s="441"/>
      <c r="S359" s="441"/>
      <c r="T359" s="441"/>
      <c r="U359" s="441"/>
    </row>
    <row r="360" spans="1:34" s="908" customFormat="1" ht="15" customHeight="1">
      <c r="A360" s="7"/>
      <c r="B360" s="12"/>
      <c r="C360" s="12"/>
      <c r="D360" s="12"/>
      <c r="E360" s="12"/>
      <c r="F360" s="12"/>
      <c r="G360" s="12"/>
      <c r="H360" s="12"/>
      <c r="I360" s="1194" t="s">
        <v>714</v>
      </c>
      <c r="J360" s="1194"/>
      <c r="K360" s="441">
        <v>409296.01799999998</v>
      </c>
      <c r="L360" s="441"/>
      <c r="M360" s="441"/>
      <c r="N360" s="441"/>
      <c r="O360" s="441"/>
      <c r="P360" s="441"/>
      <c r="Q360" s="441"/>
      <c r="R360" s="441"/>
      <c r="S360" s="441"/>
      <c r="T360" s="441"/>
      <c r="U360" s="441"/>
    </row>
    <row r="361" spans="1:34" s="912" customFormat="1" ht="15" customHeight="1">
      <c r="A361" s="7"/>
      <c r="B361" s="12"/>
      <c r="C361" s="12"/>
      <c r="D361" s="12"/>
      <c r="E361" s="12"/>
      <c r="F361" s="12"/>
      <c r="G361" s="12"/>
      <c r="H361" s="12"/>
      <c r="I361" s="1194" t="s">
        <v>616</v>
      </c>
      <c r="J361" s="1194"/>
      <c r="K361" s="943">
        <v>0</v>
      </c>
      <c r="L361" s="943"/>
      <c r="M361" s="943"/>
      <c r="N361" s="943"/>
      <c r="O361" s="943"/>
      <c r="P361" s="943"/>
      <c r="Q361" s="943"/>
      <c r="R361" s="943"/>
      <c r="S361" s="943"/>
      <c r="T361" s="943"/>
      <c r="U361" s="943"/>
    </row>
    <row r="362" spans="1:34" s="912" customFormat="1">
      <c r="A362" s="7"/>
      <c r="B362" s="12"/>
      <c r="C362" s="12"/>
      <c r="D362" s="12"/>
      <c r="E362" s="12"/>
      <c r="F362" s="12"/>
      <c r="G362" s="12"/>
      <c r="H362" s="12"/>
      <c r="I362" s="1194" t="s">
        <v>637</v>
      </c>
      <c r="J362" s="1194"/>
      <c r="K362" s="441">
        <v>52771.465734961072</v>
      </c>
      <c r="L362" s="441"/>
      <c r="M362" s="441"/>
      <c r="N362" s="441"/>
      <c r="O362" s="441"/>
      <c r="P362" s="441"/>
      <c r="Q362" s="441"/>
      <c r="R362" s="441"/>
      <c r="S362" s="441"/>
      <c r="T362" s="441"/>
      <c r="U362" s="441"/>
    </row>
    <row r="363" spans="1:34">
      <c r="B363" s="12"/>
      <c r="C363" s="12"/>
      <c r="D363" s="12"/>
      <c r="E363" s="12"/>
      <c r="F363" s="12"/>
      <c r="G363" s="12"/>
      <c r="H363" s="12"/>
      <c r="I363" s="1194" t="s">
        <v>715</v>
      </c>
      <c r="J363" s="1194"/>
      <c r="K363" s="930">
        <v>0.73184280118612921</v>
      </c>
      <c r="L363" s="930"/>
      <c r="M363" s="930"/>
      <c r="N363" s="930"/>
      <c r="O363" s="930"/>
      <c r="P363" s="930"/>
      <c r="Q363" s="930"/>
      <c r="R363" s="930"/>
      <c r="S363" s="930"/>
      <c r="T363" s="930"/>
      <c r="U363" s="930"/>
      <c r="V363" s="12"/>
      <c r="W363" s="12"/>
      <c r="X363" s="12"/>
      <c r="Y363" s="12"/>
      <c r="Z363" s="12"/>
      <c r="AA363" s="12"/>
      <c r="AB363" s="12"/>
      <c r="AC363" s="911"/>
      <c r="AD363" s="911"/>
      <c r="AE363" s="911"/>
      <c r="AF363" s="911"/>
      <c r="AG363" s="911"/>
      <c r="AH363" s="911"/>
    </row>
    <row r="364" spans="1:34">
      <c r="B364" s="12"/>
      <c r="C364" s="12"/>
      <c r="D364" s="12"/>
      <c r="E364" s="12"/>
      <c r="F364" s="12"/>
      <c r="G364" s="12"/>
      <c r="H364" s="12"/>
      <c r="I364" s="1194" t="s">
        <v>617</v>
      </c>
      <c r="J364" s="1194"/>
      <c r="K364" s="943">
        <v>0</v>
      </c>
      <c r="L364" s="943"/>
      <c r="M364" s="943"/>
      <c r="N364" s="943"/>
      <c r="O364" s="943"/>
      <c r="P364" s="943"/>
      <c r="Q364" s="943"/>
      <c r="R364" s="943"/>
      <c r="S364" s="943"/>
      <c r="T364" s="943"/>
      <c r="U364" s="943"/>
      <c r="V364" s="12"/>
      <c r="W364" s="12"/>
      <c r="X364" s="12"/>
      <c r="Y364" s="12"/>
      <c r="Z364" s="12"/>
      <c r="AA364" s="12"/>
      <c r="AB364" s="12"/>
      <c r="AC364" s="911"/>
      <c r="AD364" s="911"/>
      <c r="AE364" s="911"/>
      <c r="AF364" s="911"/>
      <c r="AG364" s="911"/>
      <c r="AH364" s="911"/>
    </row>
    <row r="365" spans="1:34">
      <c r="B365" s="12"/>
      <c r="C365" s="12"/>
      <c r="D365" s="12"/>
      <c r="E365" s="12"/>
      <c r="F365" s="12"/>
      <c r="G365" s="12"/>
      <c r="H365" s="12"/>
      <c r="I365" s="1194" t="s">
        <v>694</v>
      </c>
      <c r="J365" s="1194"/>
      <c r="K365" s="930">
        <v>0.13522566103215747</v>
      </c>
      <c r="L365" s="930"/>
      <c r="M365" s="930"/>
      <c r="N365" s="930"/>
      <c r="O365" s="930"/>
      <c r="P365" s="930"/>
      <c r="Q365" s="930"/>
      <c r="R365" s="930"/>
      <c r="S365" s="930"/>
      <c r="T365" s="930"/>
      <c r="U365" s="930"/>
      <c r="V365" s="12"/>
      <c r="W365" s="12"/>
      <c r="X365" s="12"/>
      <c r="Y365" s="12"/>
      <c r="Z365" s="12"/>
      <c r="AA365" s="12"/>
      <c r="AB365" s="12"/>
      <c r="AC365" s="911"/>
      <c r="AD365" s="911"/>
      <c r="AE365" s="911"/>
      <c r="AF365" s="911"/>
      <c r="AG365" s="911"/>
      <c r="AH365" s="911"/>
    </row>
    <row r="366" spans="1:34">
      <c r="B366" s="12"/>
      <c r="C366" s="12"/>
      <c r="D366" s="12"/>
      <c r="E366" s="12"/>
      <c r="F366" s="12"/>
      <c r="G366" s="12"/>
      <c r="H366" s="12"/>
      <c r="I366" s="12"/>
      <c r="J366" s="12"/>
      <c r="K366" s="12"/>
      <c r="M366" s="12"/>
      <c r="N366" s="12"/>
      <c r="R366" s="12"/>
      <c r="S366" s="12"/>
      <c r="T366" s="12"/>
      <c r="U366" s="12"/>
      <c r="V366" s="12"/>
      <c r="W366" s="12"/>
      <c r="X366" s="12"/>
      <c r="Y366" s="12"/>
      <c r="Z366" s="12"/>
      <c r="AA366" s="12"/>
      <c r="AB366" s="12"/>
      <c r="AC366" s="911"/>
      <c r="AD366" s="911"/>
      <c r="AE366" s="911"/>
      <c r="AF366" s="911"/>
      <c r="AG366" s="911"/>
      <c r="AH366" s="911"/>
    </row>
    <row r="367" spans="1:34">
      <c r="B367" s="12"/>
      <c r="C367" s="12"/>
      <c r="D367" s="12"/>
      <c r="E367" s="12"/>
      <c r="F367" s="12"/>
      <c r="G367" s="12"/>
      <c r="H367" s="12"/>
      <c r="I367" s="12"/>
      <c r="J367" s="12"/>
      <c r="K367" s="12"/>
      <c r="M367" s="12"/>
      <c r="N367" s="12"/>
      <c r="R367" s="12"/>
      <c r="S367" s="12"/>
      <c r="T367" s="12"/>
      <c r="U367" s="12"/>
      <c r="V367" s="12"/>
      <c r="W367" s="12"/>
      <c r="X367" s="12"/>
      <c r="Y367" s="12"/>
      <c r="Z367" s="12"/>
      <c r="AA367" s="12"/>
      <c r="AB367" s="12"/>
      <c r="AC367" s="911"/>
      <c r="AD367" s="911"/>
      <c r="AE367" s="911"/>
      <c r="AF367" s="911"/>
      <c r="AG367" s="911"/>
      <c r="AH367" s="911"/>
    </row>
    <row r="368" spans="1:34">
      <c r="B368" s="12"/>
      <c r="C368" s="12"/>
      <c r="D368" s="12"/>
      <c r="E368" s="12"/>
      <c r="F368" s="12"/>
      <c r="G368" s="12"/>
      <c r="H368" s="12"/>
      <c r="I368" s="12"/>
      <c r="J368" s="12"/>
      <c r="K368" s="12"/>
      <c r="M368" s="12"/>
      <c r="N368" s="12"/>
      <c r="R368" s="12"/>
      <c r="S368" s="12"/>
      <c r="T368" s="12"/>
      <c r="U368" s="12"/>
      <c r="V368" s="12"/>
      <c r="W368" s="12"/>
      <c r="X368" s="12"/>
      <c r="Y368" s="12"/>
      <c r="Z368" s="12"/>
      <c r="AA368" s="12"/>
      <c r="AB368" s="12"/>
      <c r="AC368" s="911"/>
      <c r="AD368" s="911"/>
      <c r="AE368" s="911"/>
      <c r="AF368" s="911"/>
      <c r="AG368" s="911"/>
      <c r="AH368" s="911"/>
    </row>
    <row r="369" spans="1:34">
      <c r="B369" s="12"/>
      <c r="C369" s="12"/>
      <c r="D369" s="12"/>
      <c r="E369" s="12"/>
      <c r="F369" s="12"/>
      <c r="G369" s="12"/>
      <c r="H369" s="12"/>
      <c r="I369" s="12"/>
      <c r="J369" s="12"/>
      <c r="K369" s="12"/>
      <c r="M369" s="12"/>
      <c r="N369" s="12"/>
      <c r="R369" s="12"/>
      <c r="S369" s="12"/>
      <c r="T369" s="12"/>
      <c r="U369" s="12"/>
      <c r="V369" s="12"/>
      <c r="W369" s="12"/>
      <c r="X369" s="12"/>
      <c r="Y369" s="12"/>
      <c r="Z369" s="12"/>
      <c r="AA369" s="12"/>
      <c r="AB369" s="12"/>
      <c r="AC369" s="911"/>
      <c r="AD369" s="911"/>
      <c r="AE369" s="911"/>
      <c r="AF369" s="911"/>
      <c r="AG369" s="911"/>
      <c r="AH369" s="911"/>
    </row>
    <row r="370" spans="1:34">
      <c r="B370" s="12"/>
      <c r="C370" s="12"/>
      <c r="D370" s="12"/>
      <c r="E370" s="12"/>
      <c r="F370" s="12"/>
      <c r="G370" s="12"/>
      <c r="H370" s="12"/>
      <c r="I370" s="50"/>
      <c r="J370" s="50"/>
      <c r="K370" s="12"/>
      <c r="M370" s="12"/>
      <c r="N370" s="12"/>
      <c r="R370" s="12"/>
      <c r="S370" s="12"/>
      <c r="T370" s="12"/>
      <c r="U370" s="12"/>
      <c r="V370" s="12"/>
      <c r="W370" s="12"/>
      <c r="X370" s="12"/>
      <c r="Y370" s="12"/>
      <c r="Z370" s="12"/>
      <c r="AA370" s="12"/>
      <c r="AB370" s="12"/>
      <c r="AC370" s="911"/>
      <c r="AD370" s="911"/>
      <c r="AE370" s="911"/>
      <c r="AF370" s="911"/>
      <c r="AG370" s="911"/>
      <c r="AH370" s="911"/>
    </row>
    <row r="371" spans="1:34">
      <c r="B371" s="12"/>
      <c r="C371" s="12"/>
      <c r="D371" s="12"/>
      <c r="E371" s="12"/>
      <c r="F371" s="12"/>
      <c r="G371" s="12"/>
      <c r="H371" s="12"/>
      <c r="I371" s="50"/>
      <c r="J371" s="50"/>
      <c r="K371" s="12"/>
      <c r="M371" s="12"/>
      <c r="N371" s="12"/>
      <c r="R371" s="12"/>
      <c r="S371" s="12"/>
      <c r="T371" s="12"/>
      <c r="U371" s="12"/>
      <c r="V371" s="12"/>
      <c r="W371" s="12"/>
      <c r="X371" s="12"/>
      <c r="Y371" s="12"/>
      <c r="Z371" s="12"/>
      <c r="AA371" s="12"/>
      <c r="AB371" s="12"/>
      <c r="AC371" s="911"/>
      <c r="AD371" s="911"/>
      <c r="AE371" s="911"/>
      <c r="AF371" s="911"/>
      <c r="AG371" s="911"/>
      <c r="AH371" s="911"/>
    </row>
    <row r="372" spans="1:34">
      <c r="B372" s="12"/>
      <c r="C372" s="12"/>
      <c r="D372" s="12"/>
      <c r="E372" s="12"/>
      <c r="F372" s="12"/>
      <c r="G372" s="12"/>
      <c r="H372" s="12"/>
      <c r="I372" s="50"/>
      <c r="J372" s="50"/>
      <c r="K372" s="12"/>
      <c r="M372" s="12"/>
      <c r="N372" s="12"/>
      <c r="R372" s="12"/>
      <c r="S372" s="12"/>
      <c r="T372" s="12"/>
      <c r="U372" s="12"/>
      <c r="V372" s="12"/>
      <c r="W372" s="12"/>
      <c r="X372" s="12"/>
      <c r="Y372" s="12"/>
      <c r="Z372" s="12"/>
      <c r="AA372" s="12"/>
      <c r="AB372" s="12"/>
      <c r="AC372" s="911"/>
      <c r="AD372" s="911"/>
      <c r="AE372" s="911"/>
      <c r="AF372" s="911"/>
      <c r="AG372" s="911"/>
      <c r="AH372" s="911"/>
    </row>
    <row r="373" spans="1:34">
      <c r="B373" s="12"/>
      <c r="C373" s="12"/>
      <c r="D373" s="12"/>
      <c r="E373" s="12"/>
      <c r="F373" s="12"/>
      <c r="G373" s="12"/>
      <c r="H373" s="12"/>
      <c r="I373" s="50"/>
      <c r="J373" s="50"/>
      <c r="K373" s="12"/>
      <c r="M373" s="12"/>
      <c r="N373" s="12"/>
      <c r="R373" s="12"/>
      <c r="S373" s="12"/>
      <c r="T373" s="12"/>
      <c r="U373" s="12"/>
      <c r="V373" s="12"/>
      <c r="W373" s="12"/>
      <c r="X373" s="12"/>
      <c r="Y373" s="12"/>
      <c r="Z373" s="12"/>
      <c r="AA373" s="12"/>
      <c r="AB373" s="12"/>
      <c r="AC373" s="911"/>
      <c r="AD373" s="911"/>
      <c r="AE373" s="911"/>
      <c r="AF373" s="911"/>
      <c r="AG373" s="911"/>
      <c r="AH373" s="911"/>
    </row>
    <row r="374" spans="1:34">
      <c r="B374" s="12"/>
      <c r="C374" s="12"/>
      <c r="D374" s="12"/>
      <c r="E374" s="12"/>
      <c r="F374" s="12"/>
      <c r="G374" s="12"/>
      <c r="H374" s="12"/>
      <c r="I374" s="50"/>
      <c r="J374" s="50"/>
      <c r="K374" s="12"/>
      <c r="M374" s="12"/>
      <c r="N374" s="12"/>
      <c r="R374" s="12"/>
      <c r="S374" s="12"/>
      <c r="T374" s="12"/>
      <c r="U374" s="12"/>
      <c r="V374" s="12"/>
      <c r="W374" s="12"/>
      <c r="X374" s="12"/>
      <c r="Y374" s="12"/>
      <c r="Z374" s="12"/>
      <c r="AA374" s="12"/>
      <c r="AB374" s="12"/>
      <c r="AC374" s="911"/>
      <c r="AD374" s="911"/>
      <c r="AE374" s="911"/>
      <c r="AF374" s="911"/>
      <c r="AG374" s="911"/>
      <c r="AH374" s="911"/>
    </row>
    <row r="375" spans="1:34">
      <c r="B375" s="12"/>
      <c r="C375" s="12"/>
      <c r="D375" s="12"/>
      <c r="E375" s="12"/>
      <c r="F375" s="12"/>
      <c r="G375" s="12"/>
      <c r="H375" s="12"/>
      <c r="I375" s="50"/>
      <c r="J375" s="50"/>
      <c r="K375" s="12"/>
      <c r="M375" s="12"/>
      <c r="N375" s="12"/>
      <c r="R375" s="12"/>
      <c r="S375" s="12"/>
      <c r="T375" s="12"/>
      <c r="U375" s="12"/>
      <c r="V375" s="12"/>
      <c r="W375" s="12"/>
      <c r="X375" s="12"/>
      <c r="Y375" s="12"/>
      <c r="Z375" s="12"/>
      <c r="AA375" s="12"/>
      <c r="AB375" s="12"/>
      <c r="AC375" s="911"/>
      <c r="AD375" s="911"/>
      <c r="AE375" s="911"/>
      <c r="AF375" s="911"/>
      <c r="AG375" s="911"/>
      <c r="AH375" s="911"/>
    </row>
    <row r="376" spans="1:34">
      <c r="B376" s="12"/>
      <c r="C376" s="12"/>
      <c r="D376" s="12"/>
      <c r="E376" s="12"/>
      <c r="F376" s="12"/>
      <c r="G376" s="12"/>
      <c r="H376" s="12"/>
      <c r="I376" s="50"/>
      <c r="J376" s="50"/>
      <c r="K376" s="12"/>
      <c r="M376" s="12"/>
      <c r="N376" s="12"/>
      <c r="R376" s="12"/>
      <c r="S376" s="12"/>
      <c r="T376" s="12"/>
      <c r="U376" s="12"/>
      <c r="V376" s="12"/>
      <c r="W376" s="12"/>
      <c r="X376" s="12"/>
      <c r="Y376" s="12"/>
      <c r="Z376" s="12"/>
      <c r="AA376" s="12"/>
      <c r="AB376" s="12"/>
      <c r="AC376" s="911"/>
      <c r="AD376" s="911"/>
      <c r="AE376" s="911"/>
      <c r="AF376" s="911"/>
      <c r="AG376" s="911"/>
      <c r="AH376" s="911"/>
    </row>
    <row r="377" spans="1:34">
      <c r="B377" s="12"/>
      <c r="C377" s="12"/>
      <c r="D377" s="12"/>
      <c r="E377" s="12"/>
      <c r="F377" s="12"/>
      <c r="G377" s="12"/>
      <c r="H377" s="12"/>
      <c r="I377" s="12"/>
      <c r="J377" s="12"/>
      <c r="K377" s="12"/>
      <c r="M377" s="12"/>
      <c r="N377" s="12"/>
      <c r="R377" s="12"/>
      <c r="S377" s="12"/>
      <c r="T377" s="12"/>
      <c r="U377" s="12"/>
      <c r="V377" s="12"/>
      <c r="W377" s="12"/>
      <c r="X377" s="12"/>
      <c r="Y377" s="12"/>
      <c r="Z377" s="12"/>
      <c r="AA377" s="12"/>
      <c r="AB377" s="12"/>
      <c r="AC377" s="911"/>
      <c r="AD377" s="911"/>
      <c r="AE377" s="911"/>
      <c r="AF377" s="911"/>
      <c r="AG377" s="911"/>
      <c r="AH377" s="911"/>
    </row>
    <row r="378" spans="1:34">
      <c r="B378" s="12"/>
      <c r="C378" s="12"/>
      <c r="D378" s="12"/>
      <c r="E378" s="12"/>
      <c r="F378" s="12"/>
      <c r="G378" s="12"/>
      <c r="H378" s="12"/>
      <c r="I378" s="12"/>
      <c r="J378" s="12"/>
      <c r="K378" s="12"/>
      <c r="M378" s="12"/>
      <c r="N378" s="12"/>
      <c r="R378" s="12"/>
      <c r="S378" s="12"/>
      <c r="T378" s="12"/>
      <c r="U378" s="12"/>
      <c r="V378" s="12"/>
      <c r="W378" s="12"/>
      <c r="X378" s="12"/>
      <c r="Y378" s="12"/>
      <c r="Z378" s="12"/>
      <c r="AA378" s="12"/>
      <c r="AB378" s="12"/>
      <c r="AC378" s="911"/>
      <c r="AD378" s="911"/>
      <c r="AE378" s="911"/>
      <c r="AF378" s="911"/>
      <c r="AG378" s="911"/>
      <c r="AH378" s="911"/>
    </row>
    <row r="379" spans="1:34">
      <c r="B379" s="12"/>
      <c r="C379" s="12"/>
      <c r="D379" s="12"/>
      <c r="E379" s="12"/>
      <c r="F379" s="12"/>
      <c r="G379" s="12"/>
      <c r="H379" s="12"/>
      <c r="I379" s="12"/>
      <c r="J379" s="12"/>
      <c r="K379" s="12"/>
      <c r="M379" s="12"/>
      <c r="N379" s="12"/>
      <c r="R379" s="12"/>
      <c r="S379" s="12"/>
      <c r="T379" s="12"/>
      <c r="U379" s="12"/>
      <c r="V379" s="12"/>
      <c r="W379" s="12"/>
      <c r="X379" s="12"/>
      <c r="Y379" s="12"/>
      <c r="Z379" s="12"/>
      <c r="AA379" s="12"/>
      <c r="AB379" s="12"/>
      <c r="AC379" s="911"/>
      <c r="AD379" s="911"/>
      <c r="AE379" s="911"/>
      <c r="AF379" s="911"/>
      <c r="AG379" s="911"/>
      <c r="AH379" s="911"/>
    </row>
    <row r="380" spans="1:34">
      <c r="B380" s="12"/>
      <c r="C380" s="12"/>
      <c r="D380" s="12"/>
      <c r="E380" s="12"/>
      <c r="F380" s="12"/>
      <c r="G380" s="12"/>
      <c r="H380" s="12"/>
      <c r="I380" s="12"/>
      <c r="J380" s="12"/>
      <c r="K380" s="12"/>
      <c r="M380" s="12"/>
      <c r="N380" s="12"/>
      <c r="R380" s="12"/>
      <c r="S380" s="12"/>
      <c r="T380" s="12"/>
      <c r="U380" s="12"/>
      <c r="V380" s="12"/>
      <c r="W380" s="12"/>
      <c r="X380" s="12"/>
      <c r="Y380" s="12"/>
      <c r="Z380" s="12"/>
      <c r="AA380" s="12"/>
      <c r="AB380" s="12"/>
      <c r="AC380" s="911"/>
      <c r="AD380" s="911"/>
      <c r="AE380" s="911"/>
      <c r="AF380" s="911"/>
      <c r="AG380" s="911"/>
      <c r="AH380" s="911"/>
    </row>
    <row r="381" spans="1:34">
      <c r="A381" s="12"/>
      <c r="B381" s="12"/>
      <c r="C381" s="12"/>
      <c r="D381" s="12"/>
      <c r="E381" s="12"/>
      <c r="F381" s="12"/>
      <c r="G381" s="12"/>
      <c r="H381" s="12"/>
      <c r="I381" s="12"/>
      <c r="J381" s="12"/>
      <c r="K381" s="12"/>
      <c r="M381" s="12"/>
      <c r="N381" s="12"/>
      <c r="R381" s="12"/>
      <c r="S381" s="12"/>
      <c r="T381" s="12"/>
      <c r="U381" s="12"/>
      <c r="V381" s="12"/>
      <c r="W381" s="12"/>
      <c r="X381" s="12"/>
      <c r="Y381" s="12"/>
      <c r="Z381" s="12"/>
      <c r="AA381" s="12"/>
      <c r="AB381" s="911"/>
      <c r="AC381" s="911"/>
      <c r="AD381" s="911"/>
      <c r="AE381" s="911"/>
      <c r="AF381" s="911"/>
      <c r="AG381" s="911"/>
    </row>
    <row r="382" spans="1:34">
      <c r="A382" s="12"/>
      <c r="B382" s="12"/>
      <c r="C382" s="12"/>
      <c r="D382" s="12"/>
      <c r="E382" s="12"/>
      <c r="F382" s="12"/>
      <c r="G382" s="12"/>
      <c r="H382" s="12"/>
      <c r="I382" s="12"/>
      <c r="J382" s="12"/>
      <c r="K382" s="12"/>
      <c r="M382" s="12"/>
      <c r="N382" s="12"/>
      <c r="R382" s="12"/>
      <c r="S382" s="12"/>
      <c r="T382" s="12"/>
      <c r="U382" s="12"/>
      <c r="V382" s="12"/>
      <c r="W382" s="12"/>
      <c r="X382" s="12"/>
      <c r="Y382" s="12"/>
      <c r="Z382" s="12"/>
      <c r="AA382" s="12"/>
      <c r="AB382" s="911"/>
      <c r="AC382" s="911"/>
      <c r="AD382" s="911"/>
      <c r="AE382" s="911"/>
      <c r="AF382" s="911"/>
      <c r="AG382" s="911"/>
    </row>
    <row r="383" spans="1:34">
      <c r="A383" s="12"/>
      <c r="B383" s="12"/>
      <c r="C383" s="12"/>
      <c r="D383" s="12"/>
      <c r="E383" s="12"/>
      <c r="F383" s="12"/>
      <c r="G383" s="12"/>
      <c r="H383" s="12"/>
      <c r="I383" s="12"/>
      <c r="J383" s="12"/>
      <c r="K383" s="12"/>
      <c r="M383" s="12"/>
      <c r="N383" s="12"/>
      <c r="R383" s="12"/>
      <c r="S383" s="12"/>
      <c r="T383" s="12"/>
      <c r="U383" s="12"/>
      <c r="V383" s="12"/>
      <c r="W383" s="12"/>
      <c r="X383" s="12"/>
      <c r="Y383" s="12"/>
      <c r="Z383" s="12"/>
      <c r="AA383" s="12"/>
      <c r="AB383" s="911"/>
      <c r="AC383" s="911"/>
      <c r="AD383" s="911"/>
      <c r="AE383" s="911"/>
      <c r="AF383" s="911"/>
      <c r="AG383" s="911"/>
    </row>
    <row r="384" spans="1:34">
      <c r="A384" s="12"/>
      <c r="B384" s="12"/>
      <c r="C384" s="12"/>
      <c r="D384" s="12"/>
      <c r="E384" s="12"/>
      <c r="F384" s="12"/>
      <c r="G384" s="12"/>
      <c r="H384" s="12"/>
      <c r="I384" s="12"/>
      <c r="J384" s="12"/>
      <c r="K384" s="12"/>
      <c r="M384" s="12"/>
      <c r="N384" s="12"/>
      <c r="R384" s="12"/>
      <c r="S384" s="12"/>
      <c r="T384" s="12"/>
      <c r="U384" s="12"/>
      <c r="V384" s="12"/>
      <c r="W384" s="12"/>
      <c r="X384" s="12"/>
      <c r="Y384" s="12"/>
      <c r="Z384" s="12"/>
      <c r="AA384" s="12"/>
      <c r="AB384" s="911"/>
      <c r="AC384" s="911"/>
      <c r="AD384" s="911"/>
      <c r="AE384" s="911"/>
      <c r="AF384" s="911"/>
      <c r="AG384" s="911"/>
    </row>
    <row r="385" spans="1:33">
      <c r="A385" s="12"/>
      <c r="B385" s="12"/>
      <c r="C385" s="12"/>
      <c r="D385" s="12"/>
      <c r="E385" s="12"/>
      <c r="F385" s="12"/>
      <c r="G385" s="12"/>
      <c r="H385" s="12"/>
      <c r="I385" s="12"/>
      <c r="J385" s="12"/>
      <c r="K385" s="12"/>
      <c r="M385" s="12"/>
      <c r="N385" s="12"/>
      <c r="R385" s="12"/>
      <c r="S385" s="12"/>
      <c r="T385" s="12"/>
      <c r="U385" s="12"/>
      <c r="V385" s="12"/>
      <c r="W385" s="12"/>
      <c r="X385" s="12"/>
      <c r="Y385" s="12"/>
      <c r="Z385" s="12"/>
      <c r="AA385" s="12"/>
      <c r="AB385" s="911"/>
      <c r="AC385" s="911"/>
      <c r="AD385" s="911"/>
      <c r="AE385" s="911"/>
      <c r="AF385" s="911"/>
      <c r="AG385" s="911"/>
    </row>
    <row r="386" spans="1:33">
      <c r="A386" s="12"/>
      <c r="B386" s="12"/>
      <c r="C386" s="12"/>
      <c r="D386" s="12"/>
      <c r="E386" s="12"/>
      <c r="F386" s="12"/>
      <c r="G386" s="12"/>
      <c r="H386" s="12"/>
      <c r="I386" s="12"/>
      <c r="J386" s="12"/>
      <c r="K386" s="12"/>
      <c r="M386" s="12"/>
      <c r="N386" s="12"/>
      <c r="R386" s="12"/>
      <c r="S386" s="12"/>
      <c r="T386" s="12"/>
      <c r="U386" s="12"/>
      <c r="V386" s="12"/>
      <c r="W386" s="12"/>
      <c r="X386" s="12"/>
      <c r="Y386" s="12"/>
      <c r="Z386" s="12"/>
      <c r="AA386" s="12"/>
      <c r="AB386" s="911"/>
      <c r="AC386" s="911"/>
      <c r="AD386" s="911"/>
      <c r="AE386" s="911"/>
      <c r="AF386" s="911"/>
      <c r="AG386" s="911"/>
    </row>
    <row r="387" spans="1:33">
      <c r="A387" s="12"/>
      <c r="B387" s="12"/>
      <c r="C387" s="12"/>
      <c r="D387" s="12"/>
      <c r="E387" s="12"/>
      <c r="F387" s="12"/>
      <c r="G387" s="12"/>
      <c r="H387" s="12"/>
      <c r="I387" s="12"/>
      <c r="J387" s="12"/>
      <c r="K387" s="12"/>
      <c r="M387" s="12"/>
      <c r="N387" s="12"/>
      <c r="R387" s="12"/>
      <c r="S387" s="12"/>
      <c r="T387" s="12"/>
      <c r="U387" s="12"/>
      <c r="V387" s="12"/>
      <c r="W387" s="12"/>
      <c r="X387" s="12"/>
      <c r="Y387" s="12"/>
      <c r="Z387" s="12"/>
      <c r="AA387" s="12"/>
      <c r="AB387" s="911"/>
      <c r="AC387" s="911"/>
      <c r="AD387" s="911"/>
      <c r="AE387" s="911"/>
      <c r="AF387" s="911"/>
      <c r="AG387" s="911"/>
    </row>
    <row r="388" spans="1:33">
      <c r="A388" s="12"/>
      <c r="B388" s="12"/>
      <c r="C388" s="12"/>
      <c r="D388" s="12"/>
      <c r="E388" s="12"/>
      <c r="F388" s="12"/>
      <c r="G388" s="12"/>
      <c r="H388" s="12"/>
      <c r="I388" s="12"/>
      <c r="J388" s="12"/>
      <c r="K388" s="12"/>
      <c r="M388" s="12"/>
      <c r="N388" s="12"/>
      <c r="R388" s="12"/>
      <c r="S388" s="12"/>
      <c r="T388" s="12"/>
      <c r="U388" s="12"/>
      <c r="V388" s="12"/>
      <c r="W388" s="12"/>
      <c r="X388" s="12"/>
      <c r="Y388" s="12"/>
      <c r="Z388" s="12"/>
      <c r="AA388" s="12"/>
      <c r="AB388" s="911"/>
      <c r="AC388" s="911"/>
      <c r="AD388" s="911"/>
      <c r="AE388" s="911"/>
      <c r="AF388" s="911"/>
      <c r="AG388" s="911"/>
    </row>
    <row r="389" spans="1:33">
      <c r="A389" s="12"/>
      <c r="B389" s="12"/>
      <c r="C389" s="12"/>
      <c r="D389" s="12"/>
      <c r="E389" s="12"/>
      <c r="F389" s="12"/>
      <c r="G389" s="12"/>
      <c r="H389" s="12"/>
      <c r="I389" s="12"/>
      <c r="J389" s="12"/>
      <c r="K389" s="12"/>
      <c r="M389" s="12"/>
      <c r="N389" s="12"/>
      <c r="R389" s="12"/>
      <c r="S389" s="12"/>
      <c r="T389" s="12"/>
      <c r="U389" s="12"/>
      <c r="V389" s="12"/>
      <c r="W389" s="12"/>
      <c r="X389" s="12"/>
      <c r="Y389" s="12"/>
      <c r="Z389" s="12"/>
      <c r="AA389" s="12"/>
      <c r="AB389" s="911"/>
      <c r="AC389" s="911"/>
      <c r="AD389" s="911"/>
      <c r="AE389" s="911"/>
      <c r="AF389" s="911"/>
      <c r="AG389" s="911"/>
    </row>
    <row r="390" spans="1:33">
      <c r="A390" s="12"/>
      <c r="B390" s="12"/>
      <c r="C390" s="12"/>
      <c r="D390" s="12"/>
      <c r="E390" s="12"/>
      <c r="F390" s="12"/>
      <c r="G390" s="12"/>
      <c r="H390" s="12"/>
      <c r="I390" s="12"/>
      <c r="J390" s="12"/>
      <c r="K390" s="12"/>
      <c r="M390" s="12"/>
      <c r="N390" s="12"/>
      <c r="R390" s="12"/>
      <c r="S390" s="12"/>
      <c r="T390" s="12"/>
      <c r="U390" s="12"/>
      <c r="V390" s="12"/>
      <c r="W390" s="12"/>
      <c r="X390" s="12"/>
      <c r="Y390" s="12"/>
      <c r="Z390" s="12"/>
      <c r="AA390" s="12"/>
      <c r="AB390" s="911"/>
      <c r="AC390" s="911"/>
      <c r="AD390" s="911"/>
      <c r="AE390" s="911"/>
      <c r="AF390" s="911"/>
      <c r="AG390" s="911"/>
    </row>
    <row r="391" spans="1:33">
      <c r="A391" s="12"/>
      <c r="B391" s="12"/>
      <c r="C391" s="12"/>
      <c r="D391" s="12"/>
      <c r="E391" s="12"/>
      <c r="F391" s="12"/>
      <c r="G391" s="12"/>
      <c r="H391" s="12"/>
      <c r="I391" s="12"/>
      <c r="J391" s="12"/>
      <c r="K391" s="12"/>
      <c r="M391" s="12"/>
      <c r="N391" s="12"/>
      <c r="R391" s="12"/>
      <c r="S391" s="12"/>
      <c r="T391" s="12"/>
      <c r="U391" s="12"/>
      <c r="V391" s="12"/>
      <c r="W391" s="12"/>
      <c r="X391" s="12"/>
      <c r="Y391" s="12"/>
      <c r="Z391" s="12"/>
      <c r="AA391" s="12"/>
      <c r="AB391" s="911"/>
      <c r="AC391" s="911"/>
      <c r="AD391" s="911"/>
      <c r="AE391" s="911"/>
      <c r="AF391" s="911"/>
      <c r="AG391" s="911"/>
    </row>
    <row r="392" spans="1:33">
      <c r="A392" s="12"/>
      <c r="B392" s="12"/>
      <c r="C392" s="12"/>
      <c r="D392" s="12"/>
      <c r="E392" s="12"/>
      <c r="F392" s="12"/>
      <c r="G392" s="12"/>
      <c r="H392" s="12"/>
      <c r="I392" s="12"/>
      <c r="J392" s="12"/>
      <c r="K392" s="12"/>
      <c r="M392" s="12"/>
      <c r="N392" s="12"/>
      <c r="R392" s="12"/>
      <c r="S392" s="12"/>
      <c r="T392" s="12"/>
      <c r="U392" s="12"/>
      <c r="V392" s="12"/>
      <c r="W392" s="12"/>
      <c r="X392" s="12"/>
      <c r="Y392" s="12"/>
      <c r="Z392" s="12"/>
      <c r="AA392" s="12"/>
      <c r="AB392" s="911"/>
      <c r="AC392" s="911"/>
      <c r="AD392" s="911"/>
      <c r="AE392" s="911"/>
      <c r="AF392" s="911"/>
      <c r="AG392" s="911"/>
    </row>
    <row r="393" spans="1:33">
      <c r="A393" s="12"/>
      <c r="B393" s="12"/>
      <c r="C393" s="12"/>
      <c r="D393" s="12"/>
      <c r="E393" s="12"/>
      <c r="F393" s="12"/>
      <c r="G393" s="12"/>
      <c r="H393" s="12"/>
      <c r="I393" s="12"/>
      <c r="J393" s="12"/>
      <c r="K393" s="12"/>
      <c r="M393" s="12"/>
      <c r="N393" s="12"/>
      <c r="R393" s="12"/>
      <c r="S393" s="12"/>
      <c r="T393" s="12"/>
      <c r="U393" s="12"/>
      <c r="V393" s="12"/>
      <c r="W393" s="12"/>
      <c r="X393" s="12"/>
      <c r="Y393" s="12"/>
      <c r="Z393" s="12"/>
      <c r="AA393" s="12"/>
      <c r="AB393" s="911"/>
      <c r="AC393" s="911"/>
      <c r="AD393" s="911"/>
      <c r="AE393" s="911"/>
      <c r="AF393" s="911"/>
      <c r="AG393" s="911"/>
    </row>
    <row r="394" spans="1:33">
      <c r="A394" s="12"/>
      <c r="B394" s="12"/>
      <c r="C394" s="12"/>
      <c r="D394" s="12"/>
      <c r="E394" s="12"/>
      <c r="F394" s="12"/>
      <c r="G394" s="12"/>
      <c r="H394" s="12"/>
      <c r="I394" s="12"/>
      <c r="J394" s="12"/>
      <c r="K394" s="12"/>
      <c r="M394" s="12"/>
      <c r="N394" s="12"/>
      <c r="R394" s="12"/>
      <c r="S394" s="12"/>
      <c r="T394" s="12"/>
      <c r="U394" s="12"/>
      <c r="V394" s="12"/>
      <c r="W394" s="12"/>
      <c r="X394" s="12"/>
      <c r="Y394" s="12"/>
      <c r="Z394" s="12"/>
      <c r="AA394" s="12"/>
      <c r="AB394" s="911"/>
      <c r="AC394" s="911"/>
      <c r="AD394" s="911"/>
      <c r="AE394" s="911"/>
      <c r="AF394" s="911"/>
      <c r="AG394" s="911"/>
    </row>
    <row r="395" spans="1:33">
      <c r="A395" s="12"/>
      <c r="B395" s="12"/>
      <c r="C395" s="12"/>
      <c r="D395" s="12"/>
      <c r="E395" s="12"/>
      <c r="F395" s="12"/>
      <c r="G395" s="12"/>
      <c r="H395" s="12"/>
      <c r="I395" s="12"/>
      <c r="J395" s="12"/>
      <c r="K395" s="12"/>
      <c r="M395" s="12"/>
      <c r="N395" s="12"/>
      <c r="R395" s="12"/>
      <c r="S395" s="12"/>
      <c r="T395" s="12"/>
      <c r="U395" s="12"/>
      <c r="V395" s="12"/>
      <c r="W395" s="12"/>
      <c r="X395" s="12"/>
      <c r="Y395" s="12"/>
      <c r="Z395" s="12"/>
      <c r="AA395" s="12"/>
      <c r="AB395" s="911"/>
      <c r="AC395" s="911"/>
      <c r="AD395" s="911"/>
      <c r="AE395" s="911"/>
      <c r="AF395" s="911"/>
      <c r="AG395" s="911"/>
    </row>
    <row r="396" spans="1:33">
      <c r="A396" s="12"/>
      <c r="B396" s="12"/>
      <c r="C396" s="12"/>
      <c r="D396" s="12"/>
      <c r="E396" s="12"/>
      <c r="F396" s="12"/>
      <c r="G396" s="12"/>
      <c r="H396" s="12"/>
      <c r="I396" s="12"/>
      <c r="J396" s="12"/>
      <c r="K396" s="12"/>
      <c r="M396" s="12"/>
      <c r="N396" s="12"/>
      <c r="R396" s="12"/>
      <c r="S396" s="12"/>
      <c r="T396" s="12"/>
      <c r="U396" s="12"/>
      <c r="V396" s="12"/>
      <c r="W396" s="12"/>
      <c r="X396" s="12"/>
      <c r="Y396" s="12"/>
      <c r="Z396" s="12"/>
      <c r="AA396" s="12"/>
      <c r="AB396" s="911"/>
      <c r="AC396" s="911"/>
      <c r="AD396" s="911"/>
      <c r="AE396" s="911"/>
      <c r="AF396" s="911"/>
      <c r="AG396" s="911"/>
    </row>
    <row r="397" spans="1:33">
      <c r="A397" s="12"/>
      <c r="B397" s="12"/>
      <c r="C397" s="12"/>
      <c r="D397" s="12"/>
      <c r="E397" s="12"/>
      <c r="F397" s="12"/>
      <c r="G397" s="12"/>
      <c r="H397" s="12"/>
      <c r="I397" s="12"/>
      <c r="J397" s="12"/>
      <c r="K397" s="12"/>
      <c r="M397" s="12"/>
      <c r="N397" s="12"/>
      <c r="R397" s="12"/>
      <c r="S397" s="12"/>
      <c r="T397" s="12"/>
      <c r="U397" s="12"/>
      <c r="V397" s="12"/>
      <c r="W397" s="12"/>
      <c r="X397" s="12"/>
      <c r="Y397" s="12"/>
      <c r="Z397" s="12"/>
      <c r="AA397" s="12"/>
      <c r="AB397" s="911"/>
      <c r="AC397" s="911"/>
      <c r="AD397" s="911"/>
      <c r="AE397" s="911"/>
      <c r="AF397" s="911"/>
      <c r="AG397" s="911"/>
    </row>
    <row r="398" spans="1:33">
      <c r="A398" s="12"/>
      <c r="B398" s="12"/>
      <c r="C398" s="12"/>
      <c r="D398" s="12"/>
      <c r="E398" s="12"/>
      <c r="F398" s="12"/>
      <c r="G398" s="12"/>
      <c r="H398" s="12"/>
      <c r="I398" s="12"/>
      <c r="J398" s="12"/>
      <c r="K398" s="12"/>
      <c r="M398" s="12"/>
      <c r="N398" s="12"/>
      <c r="R398" s="12"/>
      <c r="S398" s="12"/>
      <c r="T398" s="12"/>
      <c r="U398" s="12"/>
      <c r="V398" s="12"/>
      <c r="W398" s="12"/>
      <c r="X398" s="12"/>
      <c r="Y398" s="12"/>
      <c r="Z398" s="12"/>
      <c r="AA398" s="12"/>
      <c r="AB398" s="911"/>
      <c r="AC398" s="911"/>
      <c r="AD398" s="911"/>
      <c r="AE398" s="911"/>
      <c r="AF398" s="911"/>
      <c r="AG398" s="911"/>
    </row>
    <row r="399" spans="1:33">
      <c r="A399" s="12"/>
      <c r="B399" s="12"/>
      <c r="C399" s="12"/>
      <c r="D399" s="12"/>
      <c r="E399" s="12"/>
      <c r="F399" s="12"/>
      <c r="G399" s="12"/>
      <c r="H399" s="12"/>
      <c r="I399" s="12"/>
      <c r="J399" s="12"/>
      <c r="K399" s="12"/>
      <c r="M399" s="12"/>
      <c r="N399" s="12"/>
      <c r="R399" s="12"/>
      <c r="S399" s="12"/>
      <c r="T399" s="12"/>
      <c r="U399" s="12"/>
      <c r="V399" s="12"/>
      <c r="W399" s="12"/>
      <c r="X399" s="12"/>
      <c r="Y399" s="12"/>
      <c r="Z399" s="12"/>
      <c r="AA399" s="12"/>
      <c r="AB399" s="911"/>
      <c r="AC399" s="911"/>
      <c r="AD399" s="911"/>
      <c r="AE399" s="911"/>
      <c r="AF399" s="911"/>
      <c r="AG399" s="911"/>
    </row>
    <row r="400" spans="1:33">
      <c r="A400" s="12"/>
      <c r="B400" s="12"/>
      <c r="C400" s="12"/>
      <c r="D400" s="12"/>
      <c r="E400" s="12"/>
      <c r="F400" s="12"/>
      <c r="G400" s="12"/>
      <c r="H400" s="12"/>
      <c r="I400" s="12"/>
      <c r="J400" s="12"/>
      <c r="K400" s="12"/>
      <c r="M400" s="12"/>
      <c r="N400" s="12"/>
      <c r="R400" s="12"/>
      <c r="S400" s="12"/>
      <c r="T400" s="12"/>
      <c r="U400" s="12"/>
      <c r="V400" s="12"/>
      <c r="W400" s="12"/>
      <c r="X400" s="12"/>
      <c r="Y400" s="12"/>
      <c r="Z400" s="12"/>
      <c r="AA400" s="12"/>
      <c r="AB400" s="911"/>
      <c r="AC400" s="911"/>
      <c r="AD400" s="911"/>
      <c r="AE400" s="911"/>
      <c r="AF400" s="911"/>
      <c r="AG400" s="911"/>
    </row>
    <row r="401" spans="1:33">
      <c r="A401" s="12"/>
      <c r="B401" s="12"/>
      <c r="C401" s="12"/>
      <c r="D401" s="12"/>
      <c r="E401" s="12"/>
      <c r="F401" s="12"/>
      <c r="G401" s="12"/>
      <c r="H401" s="12"/>
      <c r="I401" s="12"/>
      <c r="J401" s="12"/>
      <c r="K401" s="12"/>
      <c r="M401" s="12"/>
      <c r="N401" s="12"/>
      <c r="R401" s="12"/>
      <c r="S401" s="12"/>
      <c r="T401" s="12"/>
      <c r="U401" s="12"/>
      <c r="V401" s="12"/>
      <c r="W401" s="12"/>
      <c r="X401" s="12"/>
      <c r="Y401" s="12"/>
      <c r="Z401" s="12"/>
      <c r="AA401" s="12"/>
      <c r="AB401" s="911"/>
      <c r="AC401" s="911"/>
      <c r="AD401" s="911"/>
      <c r="AE401" s="911"/>
      <c r="AF401" s="911"/>
      <c r="AG401" s="911"/>
    </row>
    <row r="402" spans="1:33">
      <c r="A402" s="12"/>
      <c r="B402" s="12"/>
      <c r="C402" s="12"/>
      <c r="D402" s="12"/>
      <c r="E402" s="12"/>
      <c r="F402" s="12"/>
      <c r="G402" s="12"/>
      <c r="H402" s="12"/>
      <c r="I402" s="12"/>
      <c r="J402" s="12"/>
      <c r="K402" s="12"/>
      <c r="M402" s="12"/>
      <c r="N402" s="12"/>
      <c r="R402" s="12"/>
      <c r="S402" s="12"/>
      <c r="T402" s="12"/>
      <c r="U402" s="12"/>
      <c r="V402" s="12"/>
      <c r="W402" s="12"/>
      <c r="X402" s="12"/>
      <c r="Y402" s="12"/>
      <c r="Z402" s="12"/>
      <c r="AA402" s="12"/>
      <c r="AB402" s="911"/>
      <c r="AC402" s="911"/>
      <c r="AD402" s="911"/>
      <c r="AE402" s="911"/>
      <c r="AF402" s="911"/>
      <c r="AG402" s="911"/>
    </row>
    <row r="403" spans="1:33">
      <c r="A403" s="12"/>
      <c r="B403" s="12"/>
      <c r="C403" s="12"/>
      <c r="D403" s="12"/>
      <c r="E403" s="12"/>
      <c r="F403" s="12"/>
      <c r="G403" s="12"/>
      <c r="H403" s="12"/>
      <c r="I403" s="12"/>
      <c r="J403" s="12"/>
      <c r="K403" s="12"/>
      <c r="M403" s="12"/>
      <c r="N403" s="12"/>
      <c r="R403" s="12"/>
      <c r="S403" s="12"/>
      <c r="T403" s="12"/>
      <c r="U403" s="12"/>
      <c r="V403" s="12"/>
      <c r="W403" s="12"/>
      <c r="X403" s="12"/>
      <c r="Y403" s="12"/>
      <c r="Z403" s="12"/>
      <c r="AA403" s="12"/>
      <c r="AB403" s="911"/>
      <c r="AC403" s="911"/>
      <c r="AD403" s="911"/>
      <c r="AE403" s="911"/>
      <c r="AF403" s="911"/>
      <c r="AG403" s="911"/>
    </row>
    <row r="404" spans="1:33">
      <c r="J404" s="911"/>
      <c r="K404" s="911"/>
      <c r="M404" s="911"/>
      <c r="N404" s="911"/>
      <c r="R404" s="911"/>
      <c r="S404" s="911"/>
      <c r="T404" s="911"/>
      <c r="U404" s="911"/>
      <c r="V404" s="911"/>
      <c r="W404" s="911"/>
      <c r="X404" s="911"/>
      <c r="Y404" s="911"/>
      <c r="Z404" s="911"/>
      <c r="AA404" s="911"/>
      <c r="AB404" s="911"/>
      <c r="AC404" s="911"/>
      <c r="AD404" s="911"/>
      <c r="AE404" s="911"/>
      <c r="AF404" s="911"/>
      <c r="AG404" s="911"/>
    </row>
    <row r="405" spans="1:33">
      <c r="J405" s="911"/>
      <c r="K405" s="911"/>
      <c r="M405" s="911"/>
      <c r="N405" s="911"/>
      <c r="R405" s="911"/>
      <c r="S405" s="911"/>
      <c r="T405" s="911"/>
      <c r="U405" s="911"/>
      <c r="V405" s="911"/>
      <c r="W405" s="911"/>
      <c r="X405" s="911"/>
      <c r="Y405" s="911"/>
      <c r="Z405" s="911"/>
      <c r="AA405" s="911"/>
      <c r="AB405" s="911"/>
      <c r="AC405" s="911"/>
      <c r="AD405" s="911"/>
      <c r="AE405" s="911"/>
      <c r="AF405" s="911"/>
      <c r="AG405" s="911"/>
    </row>
    <row r="406" spans="1:33">
      <c r="J406" s="911"/>
      <c r="K406" s="911"/>
      <c r="M406" s="911"/>
      <c r="N406" s="911"/>
      <c r="R406" s="911"/>
      <c r="S406" s="911"/>
      <c r="T406" s="911"/>
      <c r="U406" s="911"/>
      <c r="V406" s="911"/>
      <c r="W406" s="911"/>
      <c r="X406" s="911"/>
      <c r="Y406" s="911"/>
      <c r="Z406" s="911"/>
      <c r="AA406" s="911"/>
      <c r="AB406" s="911"/>
      <c r="AC406" s="911"/>
      <c r="AD406" s="911"/>
      <c r="AE406" s="911"/>
      <c r="AF406" s="911"/>
      <c r="AG406" s="911"/>
    </row>
    <row r="407" spans="1:33">
      <c r="J407" s="911"/>
      <c r="K407" s="911"/>
      <c r="M407" s="911"/>
      <c r="N407" s="911"/>
      <c r="R407" s="911"/>
      <c r="S407" s="911"/>
      <c r="T407" s="911"/>
      <c r="U407" s="911"/>
      <c r="V407" s="911"/>
      <c r="W407" s="911"/>
      <c r="X407" s="911"/>
      <c r="Y407" s="911"/>
      <c r="Z407" s="911"/>
      <c r="AA407" s="911"/>
      <c r="AB407" s="911"/>
      <c r="AC407" s="911"/>
      <c r="AD407" s="911"/>
      <c r="AE407" s="911"/>
      <c r="AF407" s="911"/>
      <c r="AG407" s="911"/>
    </row>
    <row r="408" spans="1:33">
      <c r="J408" s="911"/>
      <c r="K408" s="911"/>
      <c r="M408" s="911"/>
      <c r="N408" s="911"/>
      <c r="R408" s="911"/>
      <c r="S408" s="911"/>
      <c r="T408" s="911"/>
      <c r="U408" s="911"/>
      <c r="V408" s="911"/>
      <c r="W408" s="911"/>
      <c r="X408" s="911"/>
      <c r="Y408" s="911"/>
      <c r="Z408" s="911"/>
      <c r="AA408" s="911"/>
      <c r="AB408" s="911"/>
      <c r="AC408" s="911"/>
      <c r="AD408" s="911"/>
      <c r="AE408" s="911"/>
      <c r="AF408" s="911"/>
      <c r="AG408" s="911"/>
    </row>
    <row r="409" spans="1:33">
      <c r="J409" s="911"/>
      <c r="K409" s="911"/>
      <c r="M409" s="911"/>
      <c r="N409" s="911"/>
      <c r="R409" s="911"/>
      <c r="S409" s="911"/>
      <c r="T409" s="911"/>
      <c r="U409" s="911"/>
      <c r="V409" s="911"/>
      <c r="W409" s="911"/>
      <c r="X409" s="911"/>
      <c r="Y409" s="911"/>
      <c r="Z409" s="911"/>
      <c r="AA409" s="911"/>
      <c r="AB409" s="911"/>
      <c r="AC409" s="911"/>
      <c r="AD409" s="911"/>
      <c r="AE409" s="911"/>
      <c r="AF409" s="911"/>
      <c r="AG409" s="911"/>
    </row>
    <row r="410" spans="1:33">
      <c r="J410" s="911"/>
      <c r="K410" s="911"/>
      <c r="M410" s="911"/>
      <c r="N410" s="911"/>
      <c r="R410" s="911"/>
      <c r="S410" s="911"/>
      <c r="T410" s="911"/>
      <c r="U410" s="911"/>
      <c r="V410" s="911"/>
      <c r="W410" s="911"/>
      <c r="X410" s="911"/>
      <c r="Y410" s="911"/>
      <c r="Z410" s="911"/>
      <c r="AA410" s="911"/>
      <c r="AB410" s="911"/>
      <c r="AC410" s="911"/>
      <c r="AD410" s="911"/>
      <c r="AE410" s="911"/>
      <c r="AF410" s="911"/>
      <c r="AG410" s="911"/>
    </row>
    <row r="411" spans="1:33">
      <c r="J411" s="911"/>
      <c r="K411" s="911"/>
      <c r="M411" s="911"/>
      <c r="N411" s="911"/>
      <c r="R411" s="911"/>
      <c r="S411" s="911"/>
      <c r="T411" s="911"/>
      <c r="U411" s="911"/>
      <c r="V411" s="911"/>
      <c r="W411" s="911"/>
      <c r="X411" s="911"/>
      <c r="Y411" s="911"/>
      <c r="Z411" s="911"/>
      <c r="AA411" s="911"/>
      <c r="AB411" s="911"/>
      <c r="AC411" s="911"/>
      <c r="AD411" s="911"/>
      <c r="AE411" s="911"/>
      <c r="AF411" s="911"/>
      <c r="AG411" s="911"/>
    </row>
    <row r="412" spans="1:33">
      <c r="J412" s="911"/>
      <c r="K412" s="911"/>
      <c r="M412" s="911"/>
      <c r="N412" s="911"/>
      <c r="R412" s="911"/>
      <c r="S412" s="911"/>
      <c r="T412" s="911"/>
      <c r="U412" s="911"/>
      <c r="V412" s="911"/>
      <c r="W412" s="911"/>
      <c r="X412" s="911"/>
      <c r="Y412" s="911"/>
      <c r="Z412" s="911"/>
      <c r="AA412" s="911"/>
      <c r="AB412" s="911"/>
      <c r="AC412" s="911"/>
      <c r="AD412" s="911"/>
      <c r="AE412" s="911"/>
      <c r="AF412" s="911"/>
      <c r="AG412" s="911"/>
    </row>
    <row r="413" spans="1:33">
      <c r="J413" s="911"/>
      <c r="K413" s="911"/>
      <c r="M413" s="911"/>
      <c r="N413" s="911"/>
      <c r="R413" s="911"/>
      <c r="S413" s="911"/>
      <c r="T413" s="911"/>
      <c r="U413" s="911"/>
      <c r="V413" s="911"/>
      <c r="W413" s="911"/>
      <c r="X413" s="911"/>
      <c r="Y413" s="911"/>
      <c r="Z413" s="911"/>
      <c r="AA413" s="911"/>
      <c r="AB413" s="911"/>
      <c r="AC413" s="911"/>
      <c r="AD413" s="911"/>
      <c r="AE413" s="911"/>
      <c r="AF413" s="911"/>
      <c r="AG413" s="911"/>
    </row>
    <row r="414" spans="1:33">
      <c r="J414" s="911"/>
      <c r="K414" s="911"/>
      <c r="M414" s="911"/>
      <c r="N414" s="911"/>
      <c r="R414" s="911"/>
      <c r="S414" s="911"/>
      <c r="T414" s="911"/>
      <c r="U414" s="911"/>
      <c r="V414" s="911"/>
      <c r="W414" s="911"/>
      <c r="X414" s="911"/>
      <c r="Y414" s="911"/>
      <c r="Z414" s="911"/>
      <c r="AA414" s="911"/>
      <c r="AB414" s="911"/>
      <c r="AC414" s="911"/>
      <c r="AD414" s="911"/>
      <c r="AE414" s="911"/>
      <c r="AF414" s="911"/>
      <c r="AG414" s="911"/>
    </row>
    <row r="415" spans="1:33">
      <c r="J415" s="911"/>
      <c r="K415" s="911"/>
      <c r="M415" s="911"/>
      <c r="N415" s="911"/>
      <c r="R415" s="911"/>
      <c r="S415" s="911"/>
      <c r="T415" s="911"/>
      <c r="U415" s="911"/>
      <c r="V415" s="911"/>
      <c r="W415" s="911"/>
      <c r="X415" s="911"/>
      <c r="Y415" s="911"/>
      <c r="Z415" s="911"/>
      <c r="AA415" s="911"/>
      <c r="AB415" s="911"/>
      <c r="AC415" s="911"/>
      <c r="AD415" s="911"/>
      <c r="AE415" s="911"/>
      <c r="AF415" s="911"/>
      <c r="AG415" s="911"/>
    </row>
    <row r="416" spans="1:33">
      <c r="J416" s="911"/>
      <c r="K416" s="911"/>
      <c r="M416" s="911"/>
      <c r="N416" s="911"/>
      <c r="R416" s="911"/>
      <c r="S416" s="911"/>
      <c r="T416" s="911"/>
      <c r="U416" s="911"/>
      <c r="V416" s="911"/>
      <c r="W416" s="911"/>
      <c r="X416" s="911"/>
      <c r="Y416" s="911"/>
      <c r="Z416" s="911"/>
      <c r="AA416" s="911"/>
      <c r="AB416" s="911"/>
      <c r="AC416" s="911"/>
      <c r="AD416" s="911"/>
      <c r="AE416" s="911"/>
      <c r="AF416" s="911"/>
      <c r="AG416" s="911"/>
    </row>
    <row r="417" spans="10:33">
      <c r="J417" s="911"/>
      <c r="K417" s="911"/>
      <c r="M417" s="911"/>
      <c r="N417" s="911"/>
      <c r="R417" s="911"/>
      <c r="S417" s="911"/>
      <c r="T417" s="911"/>
      <c r="U417" s="911"/>
      <c r="V417" s="911"/>
      <c r="W417" s="911"/>
      <c r="X417" s="911"/>
      <c r="Y417" s="911"/>
      <c r="Z417" s="911"/>
      <c r="AA417" s="911"/>
      <c r="AB417" s="911"/>
      <c r="AC417" s="911"/>
      <c r="AD417" s="911"/>
      <c r="AE417" s="911"/>
      <c r="AF417" s="911"/>
      <c r="AG417" s="911"/>
    </row>
    <row r="418" spans="10:33">
      <c r="J418" s="911"/>
      <c r="K418" s="911"/>
      <c r="M418" s="911"/>
      <c r="N418" s="911"/>
      <c r="R418" s="911"/>
      <c r="S418" s="911"/>
      <c r="T418" s="911"/>
      <c r="U418" s="911"/>
      <c r="V418" s="911"/>
      <c r="W418" s="911"/>
      <c r="X418" s="911"/>
      <c r="Y418" s="911"/>
      <c r="Z418" s="911"/>
      <c r="AA418" s="911"/>
      <c r="AB418" s="911"/>
      <c r="AC418" s="911"/>
      <c r="AD418" s="911"/>
      <c r="AE418" s="911"/>
      <c r="AF418" s="911"/>
      <c r="AG418" s="911"/>
    </row>
    <row r="419" spans="10:33">
      <c r="J419" s="911"/>
      <c r="K419" s="911"/>
      <c r="M419" s="911"/>
      <c r="N419" s="911"/>
      <c r="R419" s="911"/>
      <c r="S419" s="911"/>
      <c r="T419" s="911"/>
      <c r="U419" s="911"/>
      <c r="V419" s="911"/>
      <c r="W419" s="911"/>
      <c r="X419" s="911"/>
      <c r="Y419" s="911"/>
      <c r="Z419" s="911"/>
      <c r="AA419" s="911"/>
      <c r="AB419" s="911"/>
      <c r="AC419" s="911"/>
      <c r="AD419" s="911"/>
      <c r="AE419" s="911"/>
      <c r="AF419" s="911"/>
      <c r="AG419" s="911"/>
    </row>
    <row r="420" spans="10:33">
      <c r="J420" s="911"/>
      <c r="K420" s="911"/>
      <c r="M420" s="911"/>
      <c r="N420" s="911"/>
      <c r="R420" s="911"/>
      <c r="S420" s="911"/>
      <c r="T420" s="911"/>
      <c r="U420" s="911"/>
      <c r="V420" s="911"/>
      <c r="W420" s="911"/>
      <c r="X420" s="911"/>
      <c r="Y420" s="911"/>
      <c r="Z420" s="911"/>
      <c r="AA420" s="911"/>
      <c r="AB420" s="911"/>
      <c r="AC420" s="911"/>
      <c r="AD420" s="911"/>
      <c r="AE420" s="911"/>
      <c r="AF420" s="911"/>
      <c r="AG420" s="911"/>
    </row>
    <row r="421" spans="10:33">
      <c r="J421" s="911"/>
      <c r="K421" s="911"/>
      <c r="M421" s="911"/>
      <c r="N421" s="911"/>
      <c r="R421" s="911"/>
      <c r="S421" s="911"/>
      <c r="T421" s="911"/>
      <c r="U421" s="911"/>
      <c r="V421" s="911"/>
      <c r="W421" s="911"/>
      <c r="X421" s="911"/>
      <c r="Y421" s="911"/>
      <c r="Z421" s="911"/>
      <c r="AA421" s="911"/>
      <c r="AB421" s="911"/>
      <c r="AC421" s="911"/>
      <c r="AD421" s="911"/>
      <c r="AE421" s="911"/>
      <c r="AF421" s="911"/>
      <c r="AG421" s="911"/>
    </row>
    <row r="422" spans="10:33">
      <c r="J422" s="911"/>
      <c r="K422" s="911"/>
      <c r="M422" s="911"/>
      <c r="N422" s="911"/>
      <c r="R422" s="911"/>
      <c r="S422" s="911"/>
      <c r="T422" s="911"/>
      <c r="U422" s="911"/>
      <c r="V422" s="911"/>
      <c r="W422" s="911"/>
      <c r="X422" s="911"/>
      <c r="Y422" s="911"/>
      <c r="Z422" s="911"/>
      <c r="AA422" s="911"/>
      <c r="AB422" s="911"/>
      <c r="AC422" s="911"/>
      <c r="AD422" s="911"/>
      <c r="AE422" s="911"/>
      <c r="AF422" s="911"/>
      <c r="AG422" s="911"/>
    </row>
    <row r="423" spans="10:33">
      <c r="J423" s="911"/>
      <c r="K423" s="911"/>
      <c r="M423" s="911"/>
      <c r="N423" s="911"/>
      <c r="R423" s="911"/>
      <c r="S423" s="911"/>
      <c r="T423" s="911"/>
      <c r="U423" s="911"/>
      <c r="V423" s="911"/>
      <c r="W423" s="911"/>
      <c r="X423" s="911"/>
      <c r="Y423" s="911"/>
      <c r="Z423" s="911"/>
      <c r="AA423" s="911"/>
      <c r="AB423" s="911"/>
      <c r="AC423" s="911"/>
      <c r="AD423" s="911"/>
      <c r="AE423" s="911"/>
      <c r="AF423" s="911"/>
      <c r="AG423" s="911"/>
    </row>
    <row r="424" spans="10:33">
      <c r="J424" s="911"/>
      <c r="K424" s="911"/>
      <c r="M424" s="911"/>
      <c r="N424" s="911"/>
      <c r="R424" s="911"/>
      <c r="S424" s="911"/>
      <c r="T424" s="911"/>
      <c r="U424" s="911"/>
      <c r="V424" s="911"/>
      <c r="W424" s="911"/>
      <c r="X424" s="911"/>
      <c r="Y424" s="911"/>
      <c r="Z424" s="911"/>
      <c r="AA424" s="911"/>
      <c r="AB424" s="911"/>
      <c r="AC424" s="911"/>
      <c r="AD424" s="911"/>
      <c r="AE424" s="911"/>
      <c r="AF424" s="911"/>
      <c r="AG424" s="911"/>
    </row>
    <row r="425" spans="10:33">
      <c r="J425" s="911"/>
      <c r="K425" s="911"/>
      <c r="M425" s="911"/>
      <c r="N425" s="911"/>
      <c r="R425" s="911"/>
      <c r="S425" s="911"/>
      <c r="T425" s="911"/>
      <c r="U425" s="911"/>
      <c r="V425" s="911"/>
      <c r="W425" s="911"/>
      <c r="X425" s="911"/>
      <c r="Y425" s="911"/>
      <c r="Z425" s="911"/>
      <c r="AA425" s="911"/>
      <c r="AB425" s="911"/>
      <c r="AC425" s="911"/>
      <c r="AD425" s="911"/>
      <c r="AE425" s="911"/>
      <c r="AF425" s="911"/>
      <c r="AG425" s="911"/>
    </row>
    <row r="426" spans="10:33">
      <c r="J426" s="911"/>
      <c r="K426" s="911"/>
      <c r="M426" s="911"/>
      <c r="N426" s="911"/>
      <c r="R426" s="911"/>
      <c r="S426" s="911"/>
      <c r="T426" s="911"/>
      <c r="U426" s="911"/>
      <c r="V426" s="911"/>
      <c r="W426" s="911"/>
      <c r="X426" s="911"/>
      <c r="Y426" s="911"/>
      <c r="Z426" s="911"/>
      <c r="AA426" s="911"/>
      <c r="AB426" s="911"/>
      <c r="AC426" s="911"/>
      <c r="AD426" s="911"/>
      <c r="AE426" s="911"/>
      <c r="AF426" s="911"/>
      <c r="AG426" s="911"/>
    </row>
    <row r="427" spans="10:33">
      <c r="J427" s="911"/>
      <c r="K427" s="911"/>
      <c r="M427" s="911"/>
      <c r="N427" s="911"/>
      <c r="R427" s="911"/>
      <c r="S427" s="911"/>
      <c r="T427" s="911"/>
      <c r="U427" s="911"/>
      <c r="V427" s="911"/>
      <c r="W427" s="911"/>
      <c r="X427" s="911"/>
      <c r="Y427" s="911"/>
      <c r="Z427" s="911"/>
      <c r="AA427" s="911"/>
      <c r="AB427" s="911"/>
      <c r="AC427" s="911"/>
      <c r="AD427" s="911"/>
      <c r="AE427" s="911"/>
      <c r="AF427" s="911"/>
      <c r="AG427" s="911"/>
    </row>
    <row r="428" spans="10:33">
      <c r="J428" s="911"/>
      <c r="K428" s="911"/>
      <c r="M428" s="911"/>
      <c r="N428" s="911"/>
      <c r="R428" s="911"/>
      <c r="S428" s="911"/>
      <c r="T428" s="911"/>
      <c r="U428" s="911"/>
      <c r="V428" s="911"/>
      <c r="W428" s="911"/>
      <c r="X428" s="911"/>
      <c r="Y428" s="911"/>
      <c r="Z428" s="911"/>
      <c r="AA428" s="911"/>
      <c r="AB428" s="911"/>
      <c r="AC428" s="911"/>
      <c r="AD428" s="911"/>
      <c r="AE428" s="911"/>
      <c r="AF428" s="911"/>
      <c r="AG428" s="911"/>
    </row>
    <row r="429" spans="10:33">
      <c r="J429" s="911"/>
      <c r="K429" s="911"/>
      <c r="M429" s="911"/>
      <c r="N429" s="911"/>
      <c r="R429" s="911"/>
      <c r="S429" s="911"/>
      <c r="T429" s="911"/>
      <c r="U429" s="911"/>
      <c r="V429" s="911"/>
      <c r="W429" s="911"/>
      <c r="X429" s="911"/>
      <c r="Y429" s="911"/>
      <c r="Z429" s="911"/>
      <c r="AA429" s="911"/>
      <c r="AB429" s="911"/>
      <c r="AC429" s="911"/>
      <c r="AD429" s="911"/>
      <c r="AE429" s="911"/>
      <c r="AF429" s="911"/>
      <c r="AG429" s="911"/>
    </row>
    <row r="430" spans="10:33">
      <c r="J430" s="911"/>
      <c r="K430" s="911"/>
      <c r="M430" s="911"/>
      <c r="N430" s="911"/>
      <c r="R430" s="911"/>
      <c r="S430" s="911"/>
      <c r="T430" s="911"/>
      <c r="U430" s="911"/>
      <c r="V430" s="911"/>
      <c r="W430" s="911"/>
      <c r="X430" s="911"/>
      <c r="Y430" s="911"/>
      <c r="Z430" s="911"/>
      <c r="AA430" s="911"/>
      <c r="AB430" s="911"/>
      <c r="AC430" s="911"/>
      <c r="AD430" s="911"/>
      <c r="AE430" s="911"/>
      <c r="AF430" s="911"/>
      <c r="AG430" s="911"/>
    </row>
    <row r="431" spans="10:33">
      <c r="J431" s="911"/>
      <c r="K431" s="911"/>
      <c r="M431" s="911"/>
      <c r="N431" s="911"/>
      <c r="R431" s="911"/>
      <c r="S431" s="911"/>
      <c r="T431" s="911"/>
      <c r="U431" s="911"/>
      <c r="V431" s="911"/>
      <c r="W431" s="911"/>
      <c r="X431" s="911"/>
      <c r="Y431" s="911"/>
      <c r="Z431" s="911"/>
      <c r="AA431" s="911"/>
      <c r="AB431" s="911"/>
      <c r="AC431" s="911"/>
      <c r="AD431" s="911"/>
      <c r="AE431" s="911"/>
      <c r="AF431" s="911"/>
      <c r="AG431" s="911"/>
    </row>
    <row r="432" spans="10:33">
      <c r="J432" s="911"/>
      <c r="K432" s="911"/>
      <c r="M432" s="911"/>
      <c r="N432" s="911"/>
      <c r="R432" s="911"/>
      <c r="S432" s="911"/>
      <c r="T432" s="911"/>
      <c r="U432" s="911"/>
      <c r="V432" s="911"/>
      <c r="W432" s="911"/>
      <c r="X432" s="911"/>
      <c r="Y432" s="911"/>
      <c r="Z432" s="911"/>
      <c r="AA432" s="911"/>
      <c r="AB432" s="911"/>
      <c r="AC432" s="911"/>
      <c r="AD432" s="911"/>
      <c r="AE432" s="911"/>
      <c r="AF432" s="911"/>
      <c r="AG432" s="911"/>
    </row>
    <row r="433" spans="10:33">
      <c r="J433" s="911"/>
      <c r="K433" s="911"/>
      <c r="M433" s="911"/>
      <c r="N433" s="911"/>
      <c r="R433" s="911"/>
      <c r="S433" s="911"/>
      <c r="T433" s="911"/>
      <c r="U433" s="911"/>
      <c r="V433" s="911"/>
      <c r="W433" s="911"/>
      <c r="X433" s="911"/>
      <c r="Y433" s="911"/>
      <c r="Z433" s="911"/>
      <c r="AA433" s="911"/>
      <c r="AB433" s="911"/>
      <c r="AC433" s="911"/>
      <c r="AD433" s="911"/>
      <c r="AE433" s="911"/>
      <c r="AF433" s="911"/>
      <c r="AG433" s="911"/>
    </row>
    <row r="434" spans="10:33">
      <c r="J434" s="911"/>
      <c r="K434" s="911"/>
      <c r="M434" s="911"/>
      <c r="N434" s="911"/>
      <c r="R434" s="911"/>
      <c r="S434" s="911"/>
      <c r="T434" s="911"/>
      <c r="U434" s="911"/>
      <c r="V434" s="911"/>
      <c r="W434" s="911"/>
      <c r="X434" s="911"/>
      <c r="Y434" s="911"/>
      <c r="Z434" s="911"/>
      <c r="AA434" s="911"/>
      <c r="AB434" s="911"/>
      <c r="AC434" s="911"/>
      <c r="AD434" s="911"/>
      <c r="AE434" s="911"/>
      <c r="AF434" s="911"/>
      <c r="AG434" s="911"/>
    </row>
    <row r="435" spans="10:33">
      <c r="J435" s="911"/>
      <c r="K435" s="911"/>
      <c r="M435" s="911"/>
      <c r="N435" s="911"/>
      <c r="R435" s="911"/>
      <c r="S435" s="911"/>
      <c r="T435" s="911"/>
      <c r="U435" s="911"/>
      <c r="V435" s="911"/>
      <c r="W435" s="911"/>
      <c r="X435" s="911"/>
      <c r="Y435" s="911"/>
      <c r="Z435" s="911"/>
      <c r="AA435" s="911"/>
      <c r="AB435" s="911"/>
      <c r="AC435" s="911"/>
      <c r="AD435" s="911"/>
      <c r="AE435" s="911"/>
      <c r="AF435" s="911"/>
      <c r="AG435" s="911"/>
    </row>
    <row r="436" spans="10:33">
      <c r="J436" s="911"/>
      <c r="K436" s="911"/>
      <c r="M436" s="911"/>
      <c r="N436" s="911"/>
      <c r="R436" s="911"/>
      <c r="S436" s="911"/>
      <c r="T436" s="911"/>
      <c r="U436" s="911"/>
      <c r="V436" s="911"/>
      <c r="W436" s="911"/>
      <c r="X436" s="911"/>
      <c r="Y436" s="911"/>
      <c r="Z436" s="911"/>
      <c r="AA436" s="911"/>
      <c r="AB436" s="911"/>
      <c r="AC436" s="911"/>
      <c r="AD436" s="911"/>
      <c r="AE436" s="911"/>
      <c r="AF436" s="911"/>
      <c r="AG436" s="911"/>
    </row>
    <row r="437" spans="10:33">
      <c r="J437" s="911"/>
      <c r="K437" s="911"/>
      <c r="M437" s="911"/>
      <c r="N437" s="911"/>
      <c r="R437" s="911"/>
      <c r="S437" s="911"/>
      <c r="T437" s="911"/>
      <c r="U437" s="911"/>
      <c r="V437" s="911"/>
      <c r="W437" s="911"/>
      <c r="X437" s="911"/>
      <c r="Y437" s="911"/>
      <c r="Z437" s="911"/>
      <c r="AA437" s="911"/>
      <c r="AB437" s="911"/>
      <c r="AC437" s="911"/>
      <c r="AD437" s="911"/>
      <c r="AE437" s="911"/>
      <c r="AF437" s="911"/>
      <c r="AG437" s="911"/>
    </row>
    <row r="438" spans="10:33">
      <c r="J438" s="911"/>
      <c r="K438" s="911"/>
      <c r="M438" s="911"/>
      <c r="N438" s="911"/>
      <c r="R438" s="911"/>
      <c r="S438" s="911"/>
      <c r="T438" s="911"/>
      <c r="U438" s="911"/>
      <c r="V438" s="911"/>
      <c r="W438" s="911"/>
      <c r="X438" s="911"/>
      <c r="Y438" s="911"/>
      <c r="Z438" s="911"/>
      <c r="AA438" s="911"/>
      <c r="AB438" s="911"/>
      <c r="AC438" s="911"/>
      <c r="AD438" s="911"/>
      <c r="AE438" s="911"/>
      <c r="AF438" s="911"/>
      <c r="AG438" s="911"/>
    </row>
    <row r="439" spans="10:33">
      <c r="J439" s="911"/>
      <c r="K439" s="911"/>
      <c r="M439" s="911"/>
      <c r="N439" s="911"/>
      <c r="R439" s="911"/>
      <c r="S439" s="911"/>
      <c r="T439" s="911"/>
      <c r="U439" s="911"/>
      <c r="V439" s="911"/>
      <c r="W439" s="911"/>
      <c r="X439" s="911"/>
      <c r="Y439" s="911"/>
      <c r="Z439" s="911"/>
      <c r="AA439" s="911"/>
      <c r="AB439" s="911"/>
      <c r="AC439" s="911"/>
      <c r="AD439" s="911"/>
      <c r="AE439" s="911"/>
      <c r="AF439" s="911"/>
      <c r="AG439" s="911"/>
    </row>
    <row r="440" spans="10:33">
      <c r="J440" s="911"/>
      <c r="K440" s="911"/>
      <c r="M440" s="911"/>
      <c r="N440" s="911"/>
      <c r="R440" s="911"/>
      <c r="S440" s="911"/>
      <c r="T440" s="911"/>
      <c r="U440" s="911"/>
      <c r="V440" s="911"/>
      <c r="W440" s="911"/>
      <c r="X440" s="911"/>
      <c r="Y440" s="911"/>
      <c r="Z440" s="911"/>
      <c r="AA440" s="911"/>
      <c r="AB440" s="911"/>
      <c r="AC440" s="911"/>
      <c r="AD440" s="911"/>
      <c r="AE440" s="911"/>
      <c r="AF440" s="911"/>
      <c r="AG440" s="911"/>
    </row>
    <row r="441" spans="10:33">
      <c r="J441" s="911"/>
      <c r="K441" s="911"/>
      <c r="M441" s="911"/>
      <c r="N441" s="911"/>
      <c r="R441" s="911"/>
      <c r="S441" s="911"/>
      <c r="T441" s="911"/>
      <c r="U441" s="911"/>
      <c r="V441" s="911"/>
      <c r="W441" s="911"/>
      <c r="X441" s="911"/>
      <c r="Y441" s="911"/>
      <c r="Z441" s="911"/>
      <c r="AA441" s="911"/>
      <c r="AB441" s="911"/>
      <c r="AC441" s="911"/>
      <c r="AD441" s="911"/>
      <c r="AE441" s="911"/>
      <c r="AF441" s="911"/>
      <c r="AG441" s="911"/>
    </row>
    <row r="442" spans="10:33">
      <c r="J442" s="911"/>
      <c r="K442" s="911"/>
      <c r="M442" s="911"/>
      <c r="N442" s="911"/>
      <c r="R442" s="911"/>
      <c r="S442" s="911"/>
      <c r="T442" s="911"/>
      <c r="U442" s="911"/>
      <c r="V442" s="911"/>
      <c r="W442" s="911"/>
      <c r="X442" s="911"/>
      <c r="Y442" s="911"/>
      <c r="Z442" s="911"/>
      <c r="AA442" s="911"/>
      <c r="AB442" s="911"/>
      <c r="AC442" s="911"/>
      <c r="AD442" s="911"/>
      <c r="AE442" s="911"/>
      <c r="AF442" s="911"/>
      <c r="AG442" s="911"/>
    </row>
    <row r="443" spans="10:33">
      <c r="J443" s="911"/>
      <c r="K443" s="911"/>
      <c r="M443" s="911"/>
      <c r="N443" s="911"/>
      <c r="R443" s="911"/>
      <c r="S443" s="911"/>
      <c r="T443" s="911"/>
      <c r="U443" s="911"/>
      <c r="V443" s="911"/>
      <c r="W443" s="911"/>
      <c r="X443" s="911"/>
      <c r="Y443" s="911"/>
      <c r="Z443" s="911"/>
      <c r="AA443" s="911"/>
      <c r="AB443" s="911"/>
      <c r="AC443" s="911"/>
      <c r="AD443" s="911"/>
      <c r="AE443" s="911"/>
      <c r="AF443" s="911"/>
      <c r="AG443" s="911"/>
    </row>
    <row r="444" spans="10:33">
      <c r="J444" s="911"/>
      <c r="K444" s="911"/>
      <c r="M444" s="911"/>
      <c r="N444" s="911"/>
      <c r="R444" s="911"/>
      <c r="S444" s="911"/>
      <c r="T444" s="911"/>
      <c r="U444" s="911"/>
      <c r="V444" s="911"/>
      <c r="W444" s="911"/>
      <c r="X444" s="911"/>
      <c r="Y444" s="911"/>
      <c r="Z444" s="911"/>
      <c r="AA444" s="911"/>
      <c r="AB444" s="911"/>
      <c r="AC444" s="911"/>
      <c r="AD444" s="911"/>
      <c r="AE444" s="911"/>
      <c r="AF444" s="911"/>
      <c r="AG444" s="911"/>
    </row>
    <row r="445" spans="10:33">
      <c r="J445" s="911"/>
      <c r="K445" s="911"/>
      <c r="M445" s="911"/>
      <c r="N445" s="911"/>
      <c r="R445" s="911"/>
      <c r="S445" s="911"/>
      <c r="T445" s="911"/>
      <c r="U445" s="911"/>
      <c r="V445" s="911"/>
      <c r="W445" s="911"/>
      <c r="X445" s="911"/>
      <c r="Y445" s="911"/>
      <c r="Z445" s="911"/>
      <c r="AA445" s="911"/>
      <c r="AB445" s="911"/>
      <c r="AC445" s="911"/>
      <c r="AD445" s="911"/>
      <c r="AE445" s="911"/>
      <c r="AF445" s="911"/>
      <c r="AG445" s="911"/>
    </row>
    <row r="446" spans="10:33">
      <c r="J446" s="911"/>
      <c r="K446" s="911"/>
      <c r="M446" s="911"/>
      <c r="N446" s="911"/>
      <c r="R446" s="911"/>
      <c r="S446" s="911"/>
      <c r="T446" s="911"/>
      <c r="U446" s="911"/>
      <c r="V446" s="911"/>
      <c r="W446" s="911"/>
      <c r="X446" s="911"/>
      <c r="Y446" s="911"/>
      <c r="Z446" s="911"/>
      <c r="AA446" s="911"/>
      <c r="AB446" s="911"/>
      <c r="AC446" s="911"/>
      <c r="AD446" s="911"/>
      <c r="AE446" s="911"/>
      <c r="AF446" s="911"/>
      <c r="AG446" s="911"/>
    </row>
    <row r="447" spans="10:33">
      <c r="J447" s="911"/>
      <c r="K447" s="911"/>
      <c r="M447" s="911"/>
      <c r="N447" s="911"/>
      <c r="R447" s="911"/>
      <c r="S447" s="911"/>
      <c r="T447" s="911"/>
      <c r="U447" s="911"/>
      <c r="V447" s="911"/>
      <c r="W447" s="911"/>
      <c r="X447" s="911"/>
      <c r="Y447" s="911"/>
      <c r="Z447" s="911"/>
      <c r="AA447" s="911"/>
      <c r="AB447" s="911"/>
      <c r="AC447" s="911"/>
      <c r="AD447" s="911"/>
      <c r="AE447" s="911"/>
      <c r="AF447" s="911"/>
      <c r="AG447" s="911"/>
    </row>
    <row r="448" spans="10:33">
      <c r="J448" s="911"/>
      <c r="K448" s="911"/>
      <c r="M448" s="911"/>
      <c r="N448" s="911"/>
      <c r="R448" s="911"/>
      <c r="S448" s="911"/>
      <c r="T448" s="911"/>
      <c r="U448" s="911"/>
      <c r="V448" s="911"/>
      <c r="W448" s="911"/>
      <c r="X448" s="911"/>
      <c r="Y448" s="911"/>
      <c r="Z448" s="911"/>
      <c r="AA448" s="911"/>
      <c r="AB448" s="911"/>
      <c r="AC448" s="911"/>
      <c r="AD448" s="911"/>
      <c r="AE448" s="911"/>
      <c r="AF448" s="911"/>
      <c r="AG448" s="911"/>
    </row>
    <row r="449" spans="10:33">
      <c r="J449" s="911"/>
      <c r="K449" s="911"/>
      <c r="M449" s="911"/>
      <c r="N449" s="911"/>
      <c r="R449" s="911"/>
      <c r="S449" s="911"/>
      <c r="T449" s="911"/>
      <c r="U449" s="911"/>
      <c r="V449" s="911"/>
      <c r="W449" s="911"/>
      <c r="X449" s="911"/>
      <c r="Y449" s="911"/>
      <c r="Z449" s="911"/>
      <c r="AA449" s="911"/>
      <c r="AB449" s="911"/>
      <c r="AC449" s="911"/>
      <c r="AD449" s="911"/>
      <c r="AE449" s="911"/>
      <c r="AF449" s="911"/>
      <c r="AG449" s="911"/>
    </row>
    <row r="450" spans="10:33">
      <c r="J450" s="911"/>
      <c r="K450" s="911"/>
      <c r="M450" s="911"/>
      <c r="N450" s="911"/>
      <c r="R450" s="911"/>
      <c r="S450" s="911"/>
      <c r="T450" s="911"/>
      <c r="U450" s="911"/>
      <c r="V450" s="911"/>
      <c r="W450" s="911"/>
      <c r="X450" s="911"/>
      <c r="Y450" s="911"/>
      <c r="Z450" s="911"/>
      <c r="AA450" s="911"/>
      <c r="AB450" s="911"/>
      <c r="AC450" s="911"/>
      <c r="AD450" s="911"/>
      <c r="AE450" s="911"/>
      <c r="AF450" s="911"/>
      <c r="AG450" s="911"/>
    </row>
    <row r="451" spans="10:33">
      <c r="J451" s="911"/>
      <c r="K451" s="911"/>
      <c r="M451" s="911"/>
      <c r="N451" s="911"/>
      <c r="R451" s="911"/>
      <c r="S451" s="911"/>
      <c r="T451" s="911"/>
      <c r="U451" s="911"/>
      <c r="V451" s="911"/>
      <c r="W451" s="911"/>
      <c r="X451" s="911"/>
      <c r="Y451" s="911"/>
      <c r="Z451" s="911"/>
      <c r="AA451" s="911"/>
      <c r="AB451" s="911"/>
      <c r="AC451" s="911"/>
      <c r="AD451" s="911"/>
      <c r="AE451" s="911"/>
      <c r="AF451" s="911"/>
      <c r="AG451" s="911"/>
    </row>
    <row r="452" spans="10:33">
      <c r="J452" s="911"/>
      <c r="K452" s="911"/>
      <c r="M452" s="911"/>
      <c r="N452" s="911"/>
      <c r="R452" s="911"/>
      <c r="S452" s="911"/>
      <c r="T452" s="911"/>
      <c r="U452" s="911"/>
      <c r="V452" s="911"/>
      <c r="W452" s="911"/>
      <c r="X452" s="911"/>
      <c r="Y452" s="911"/>
      <c r="Z452" s="911"/>
      <c r="AA452" s="911"/>
      <c r="AB452" s="911"/>
      <c r="AC452" s="911"/>
      <c r="AD452" s="911"/>
      <c r="AE452" s="911"/>
      <c r="AF452" s="911"/>
      <c r="AG452" s="911"/>
    </row>
    <row r="453" spans="10:33">
      <c r="J453" s="911"/>
      <c r="K453" s="911"/>
      <c r="M453" s="911"/>
      <c r="N453" s="911"/>
      <c r="R453" s="911"/>
      <c r="S453" s="911"/>
      <c r="T453" s="911"/>
      <c r="U453" s="911"/>
      <c r="V453" s="911"/>
      <c r="W453" s="911"/>
      <c r="X453" s="911"/>
      <c r="Y453" s="911"/>
      <c r="Z453" s="911"/>
      <c r="AA453" s="911"/>
      <c r="AB453" s="911"/>
      <c r="AC453" s="911"/>
      <c r="AD453" s="911"/>
      <c r="AE453" s="911"/>
      <c r="AF453" s="911"/>
      <c r="AG453" s="911"/>
    </row>
    <row r="454" spans="10:33">
      <c r="J454" s="911"/>
      <c r="K454" s="911"/>
      <c r="M454" s="911"/>
      <c r="N454" s="911"/>
      <c r="R454" s="911"/>
      <c r="S454" s="911"/>
      <c r="T454" s="911"/>
      <c r="U454" s="911"/>
      <c r="V454" s="911"/>
      <c r="W454" s="911"/>
      <c r="X454" s="911"/>
      <c r="Y454" s="911"/>
      <c r="Z454" s="911"/>
      <c r="AA454" s="911"/>
      <c r="AB454" s="911"/>
      <c r="AC454" s="911"/>
      <c r="AD454" s="911"/>
      <c r="AE454" s="911"/>
      <c r="AF454" s="911"/>
      <c r="AG454" s="911"/>
    </row>
    <row r="455" spans="10:33">
      <c r="J455" s="911"/>
      <c r="K455" s="911"/>
      <c r="M455" s="911"/>
      <c r="N455" s="911"/>
      <c r="R455" s="911"/>
      <c r="S455" s="911"/>
      <c r="T455" s="911"/>
      <c r="U455" s="911"/>
      <c r="V455" s="911"/>
      <c r="W455" s="911"/>
      <c r="X455" s="911"/>
      <c r="Y455" s="911"/>
      <c r="Z455" s="911"/>
      <c r="AA455" s="911"/>
      <c r="AB455" s="911"/>
      <c r="AC455" s="911"/>
      <c r="AD455" s="911"/>
      <c r="AE455" s="911"/>
      <c r="AF455" s="911"/>
      <c r="AG455" s="911"/>
    </row>
    <row r="456" spans="10:33">
      <c r="J456" s="911"/>
      <c r="K456" s="911"/>
      <c r="M456" s="911"/>
      <c r="N456" s="911"/>
      <c r="R456" s="911"/>
      <c r="S456" s="911"/>
      <c r="T456" s="911"/>
      <c r="U456" s="911"/>
      <c r="V456" s="911"/>
      <c r="W456" s="911"/>
      <c r="X456" s="911"/>
      <c r="Y456" s="911"/>
      <c r="Z456" s="911"/>
      <c r="AA456" s="911"/>
      <c r="AB456" s="911"/>
      <c r="AC456" s="911"/>
      <c r="AD456" s="911"/>
      <c r="AE456" s="911"/>
      <c r="AF456" s="911"/>
      <c r="AG456" s="911"/>
    </row>
    <row r="457" spans="10:33">
      <c r="J457" s="911"/>
      <c r="K457" s="911"/>
      <c r="M457" s="911"/>
      <c r="N457" s="911"/>
      <c r="R457" s="911"/>
      <c r="S457" s="911"/>
      <c r="T457" s="911"/>
      <c r="U457" s="911"/>
      <c r="V457" s="911"/>
      <c r="W457" s="911"/>
      <c r="X457" s="911"/>
      <c r="Y457" s="911"/>
      <c r="Z457" s="911"/>
      <c r="AA457" s="911"/>
      <c r="AB457" s="911"/>
      <c r="AC457" s="911"/>
      <c r="AD457" s="911"/>
      <c r="AE457" s="911"/>
      <c r="AF457" s="911"/>
      <c r="AG457" s="911"/>
    </row>
    <row r="458" spans="10:33">
      <c r="J458" s="911"/>
      <c r="K458" s="911"/>
      <c r="M458" s="911"/>
      <c r="N458" s="911"/>
      <c r="R458" s="911"/>
      <c r="S458" s="911"/>
      <c r="T458" s="911"/>
      <c r="U458" s="911"/>
      <c r="V458" s="911"/>
      <c r="W458" s="911"/>
      <c r="X458" s="911"/>
      <c r="Y458" s="911"/>
      <c r="Z458" s="911"/>
      <c r="AA458" s="911"/>
      <c r="AB458" s="911"/>
      <c r="AC458" s="911"/>
      <c r="AD458" s="911"/>
      <c r="AE458" s="911"/>
      <c r="AF458" s="911"/>
      <c r="AG458" s="911"/>
    </row>
    <row r="459" spans="10:33">
      <c r="J459" s="911"/>
      <c r="K459" s="911"/>
      <c r="M459" s="911"/>
      <c r="N459" s="911"/>
      <c r="R459" s="911"/>
      <c r="S459" s="911"/>
      <c r="T459" s="911"/>
      <c r="U459" s="911"/>
      <c r="V459" s="911"/>
      <c r="W459" s="911"/>
      <c r="X459" s="911"/>
      <c r="Y459" s="911"/>
      <c r="Z459" s="911"/>
      <c r="AA459" s="911"/>
      <c r="AB459" s="911"/>
      <c r="AC459" s="911"/>
      <c r="AD459" s="911"/>
      <c r="AE459" s="911"/>
      <c r="AF459" s="911"/>
      <c r="AG459" s="911"/>
    </row>
    <row r="460" spans="10:33">
      <c r="J460" s="911"/>
      <c r="K460" s="911"/>
      <c r="M460" s="911"/>
      <c r="N460" s="911"/>
      <c r="R460" s="911"/>
      <c r="S460" s="911"/>
      <c r="T460" s="911"/>
      <c r="U460" s="911"/>
      <c r="V460" s="911"/>
      <c r="W460" s="911"/>
      <c r="X460" s="911"/>
      <c r="Y460" s="911"/>
      <c r="Z460" s="911"/>
      <c r="AA460" s="911"/>
      <c r="AB460" s="911"/>
      <c r="AC460" s="911"/>
      <c r="AD460" s="911"/>
      <c r="AE460" s="911"/>
      <c r="AF460" s="911"/>
      <c r="AG460" s="911"/>
    </row>
    <row r="461" spans="10:33">
      <c r="J461" s="911"/>
      <c r="K461" s="911"/>
      <c r="M461" s="911"/>
      <c r="N461" s="911"/>
      <c r="R461" s="911"/>
      <c r="S461" s="911"/>
      <c r="T461" s="911"/>
      <c r="U461" s="911"/>
      <c r="V461" s="911"/>
      <c r="W461" s="911"/>
      <c r="X461" s="911"/>
      <c r="Y461" s="911"/>
      <c r="Z461" s="911"/>
      <c r="AA461" s="911"/>
      <c r="AB461" s="911"/>
      <c r="AC461" s="911"/>
      <c r="AD461" s="911"/>
      <c r="AE461" s="911"/>
      <c r="AF461" s="911"/>
      <c r="AG461" s="911"/>
    </row>
    <row r="462" spans="10:33">
      <c r="J462" s="911"/>
      <c r="K462" s="911"/>
      <c r="M462" s="911"/>
      <c r="N462" s="911"/>
      <c r="R462" s="911"/>
      <c r="S462" s="911"/>
      <c r="T462" s="911"/>
      <c r="U462" s="911"/>
      <c r="V462" s="911"/>
      <c r="W462" s="911"/>
      <c r="X462" s="911"/>
      <c r="Y462" s="911"/>
      <c r="Z462" s="911"/>
      <c r="AA462" s="911"/>
      <c r="AB462" s="911"/>
      <c r="AC462" s="911"/>
      <c r="AD462" s="911"/>
      <c r="AE462" s="911"/>
      <c r="AF462" s="911"/>
      <c r="AG462" s="911"/>
    </row>
    <row r="463" spans="10:33">
      <c r="J463" s="911"/>
      <c r="K463" s="911"/>
      <c r="M463" s="911"/>
      <c r="N463" s="911"/>
      <c r="R463" s="911"/>
      <c r="S463" s="911"/>
      <c r="T463" s="911"/>
      <c r="U463" s="911"/>
      <c r="V463" s="911"/>
      <c r="W463" s="911"/>
      <c r="X463" s="911"/>
      <c r="Y463" s="911"/>
      <c r="Z463" s="911"/>
      <c r="AA463" s="911"/>
      <c r="AB463" s="911"/>
      <c r="AC463" s="911"/>
      <c r="AD463" s="911"/>
      <c r="AE463" s="911"/>
      <c r="AF463" s="911"/>
      <c r="AG463" s="911"/>
    </row>
    <row r="464" spans="10:33">
      <c r="J464" s="911"/>
      <c r="K464" s="911"/>
      <c r="M464" s="911"/>
      <c r="N464" s="911"/>
      <c r="R464" s="911"/>
      <c r="S464" s="911"/>
      <c r="T464" s="911"/>
      <c r="U464" s="911"/>
      <c r="V464" s="911"/>
      <c r="W464" s="911"/>
      <c r="X464" s="911"/>
      <c r="Y464" s="911"/>
      <c r="Z464" s="911"/>
      <c r="AA464" s="911"/>
      <c r="AB464" s="911"/>
      <c r="AC464" s="911"/>
      <c r="AD464" s="911"/>
      <c r="AE464" s="911"/>
      <c r="AF464" s="911"/>
      <c r="AG464" s="911"/>
    </row>
    <row r="465" spans="10:33">
      <c r="J465" s="911"/>
      <c r="K465" s="911"/>
      <c r="M465" s="911"/>
      <c r="N465" s="911"/>
      <c r="R465" s="911"/>
      <c r="S465" s="911"/>
      <c r="T465" s="911"/>
      <c r="U465" s="911"/>
      <c r="V465" s="911"/>
      <c r="W465" s="911"/>
      <c r="X465" s="911"/>
      <c r="Y465" s="911"/>
      <c r="Z465" s="911"/>
      <c r="AA465" s="911"/>
      <c r="AB465" s="911"/>
      <c r="AC465" s="911"/>
      <c r="AD465" s="911"/>
      <c r="AE465" s="911"/>
      <c r="AF465" s="911"/>
      <c r="AG465" s="911"/>
    </row>
    <row r="466" spans="10:33">
      <c r="J466" s="911"/>
      <c r="K466" s="911"/>
      <c r="M466" s="911"/>
      <c r="N466" s="911"/>
      <c r="R466" s="911"/>
      <c r="S466" s="911"/>
      <c r="T466" s="911"/>
      <c r="U466" s="911"/>
      <c r="V466" s="911"/>
      <c r="W466" s="911"/>
      <c r="X466" s="911"/>
      <c r="Y466" s="911"/>
      <c r="Z466" s="911"/>
      <c r="AA466" s="911"/>
      <c r="AB466" s="911"/>
      <c r="AC466" s="911"/>
      <c r="AD466" s="911"/>
      <c r="AE466" s="911"/>
      <c r="AF466" s="911"/>
      <c r="AG466" s="911"/>
    </row>
    <row r="467" spans="10:33">
      <c r="J467" s="911"/>
      <c r="K467" s="911"/>
      <c r="M467" s="911"/>
      <c r="N467" s="911"/>
      <c r="R467" s="911"/>
      <c r="S467" s="911"/>
      <c r="T467" s="911"/>
      <c r="U467" s="911"/>
      <c r="V467" s="911"/>
      <c r="W467" s="911"/>
      <c r="X467" s="911"/>
      <c r="Y467" s="911"/>
      <c r="Z467" s="911"/>
      <c r="AA467" s="911"/>
      <c r="AB467" s="911"/>
      <c r="AC467" s="911"/>
      <c r="AD467" s="911"/>
      <c r="AE467" s="911"/>
      <c r="AF467" s="911"/>
      <c r="AG467" s="911"/>
    </row>
    <row r="468" spans="10:33">
      <c r="J468" s="911"/>
      <c r="K468" s="911"/>
      <c r="M468" s="911"/>
      <c r="N468" s="911"/>
      <c r="R468" s="911"/>
      <c r="S468" s="911"/>
      <c r="T468" s="911"/>
      <c r="U468" s="911"/>
      <c r="V468" s="911"/>
      <c r="W468" s="911"/>
      <c r="X468" s="911"/>
      <c r="Y468" s="911"/>
      <c r="Z468" s="911"/>
      <c r="AA468" s="911"/>
      <c r="AB468" s="911"/>
      <c r="AC468" s="911"/>
      <c r="AD468" s="911"/>
      <c r="AE468" s="911"/>
      <c r="AF468" s="911"/>
      <c r="AG468" s="911"/>
    </row>
    <row r="469" spans="10:33">
      <c r="J469" s="911"/>
      <c r="K469" s="911"/>
      <c r="M469" s="911"/>
      <c r="N469" s="911"/>
      <c r="R469" s="911"/>
      <c r="S469" s="911"/>
      <c r="T469" s="911"/>
      <c r="U469" s="911"/>
      <c r="V469" s="911"/>
      <c r="W469" s="911"/>
      <c r="X469" s="911"/>
      <c r="Y469" s="911"/>
      <c r="Z469" s="911"/>
      <c r="AA469" s="911"/>
      <c r="AB469" s="911"/>
      <c r="AC469" s="911"/>
      <c r="AD469" s="911"/>
      <c r="AE469" s="911"/>
      <c r="AF469" s="911"/>
      <c r="AG469" s="911"/>
    </row>
    <row r="470" spans="10:33">
      <c r="J470" s="911"/>
      <c r="K470" s="911"/>
      <c r="M470" s="911"/>
      <c r="N470" s="911"/>
      <c r="R470" s="911"/>
      <c r="S470" s="911"/>
      <c r="T470" s="911"/>
      <c r="U470" s="911"/>
      <c r="V470" s="911"/>
      <c r="W470" s="911"/>
      <c r="X470" s="911"/>
      <c r="Y470" s="911"/>
      <c r="Z470" s="911"/>
      <c r="AA470" s="911"/>
      <c r="AB470" s="911"/>
      <c r="AC470" s="911"/>
      <c r="AD470" s="911"/>
      <c r="AE470" s="911"/>
      <c r="AF470" s="911"/>
      <c r="AG470" s="911"/>
    </row>
    <row r="471" spans="10:33">
      <c r="J471" s="911"/>
      <c r="K471" s="911"/>
      <c r="M471" s="911"/>
      <c r="N471" s="911"/>
      <c r="R471" s="911"/>
      <c r="S471" s="911"/>
      <c r="T471" s="911"/>
      <c r="U471" s="911"/>
      <c r="V471" s="911"/>
      <c r="W471" s="911"/>
      <c r="X471" s="911"/>
      <c r="Y471" s="911"/>
      <c r="Z471" s="911"/>
      <c r="AA471" s="911"/>
      <c r="AB471" s="911"/>
      <c r="AC471" s="911"/>
      <c r="AD471" s="911"/>
      <c r="AE471" s="911"/>
      <c r="AF471" s="911"/>
      <c r="AG471" s="911"/>
    </row>
    <row r="472" spans="10:33">
      <c r="J472" s="911"/>
      <c r="K472" s="911"/>
      <c r="M472" s="911"/>
      <c r="N472" s="911"/>
      <c r="R472" s="911"/>
      <c r="S472" s="911"/>
      <c r="T472" s="911"/>
      <c r="U472" s="911"/>
      <c r="V472" s="911"/>
      <c r="W472" s="911"/>
      <c r="X472" s="911"/>
      <c r="Y472" s="911"/>
      <c r="Z472" s="911"/>
      <c r="AA472" s="911"/>
      <c r="AB472" s="911"/>
      <c r="AC472" s="911"/>
      <c r="AD472" s="911"/>
      <c r="AE472" s="911"/>
      <c r="AF472" s="911"/>
      <c r="AG472" s="911"/>
    </row>
    <row r="473" spans="10:33">
      <c r="J473" s="911"/>
      <c r="K473" s="911"/>
      <c r="M473" s="911"/>
      <c r="N473" s="911"/>
      <c r="R473" s="911"/>
      <c r="S473" s="911"/>
      <c r="T473" s="911"/>
      <c r="U473" s="911"/>
      <c r="V473" s="911"/>
      <c r="W473" s="911"/>
      <c r="X473" s="911"/>
      <c r="Y473" s="911"/>
      <c r="Z473" s="911"/>
      <c r="AA473" s="911"/>
      <c r="AB473" s="911"/>
      <c r="AC473" s="911"/>
      <c r="AD473" s="911"/>
      <c r="AE473" s="911"/>
      <c r="AF473" s="911"/>
      <c r="AG473" s="911"/>
    </row>
    <row r="474" spans="10:33">
      <c r="J474" s="911"/>
      <c r="K474" s="911"/>
      <c r="M474" s="911"/>
      <c r="N474" s="911"/>
      <c r="R474" s="911"/>
      <c r="S474" s="911"/>
      <c r="T474" s="911"/>
      <c r="U474" s="911"/>
      <c r="V474" s="911"/>
      <c r="W474" s="911"/>
      <c r="X474" s="911"/>
      <c r="Y474" s="911"/>
      <c r="Z474" s="911"/>
      <c r="AA474" s="911"/>
      <c r="AB474" s="911"/>
      <c r="AC474" s="911"/>
      <c r="AD474" s="911"/>
      <c r="AE474" s="911"/>
      <c r="AF474" s="911"/>
      <c r="AG474" s="911"/>
    </row>
    <row r="475" spans="10:33">
      <c r="J475" s="911"/>
      <c r="K475" s="911"/>
      <c r="M475" s="911"/>
      <c r="N475" s="911"/>
      <c r="R475" s="911"/>
      <c r="S475" s="911"/>
      <c r="T475" s="911"/>
      <c r="U475" s="911"/>
      <c r="V475" s="911"/>
      <c r="W475" s="911"/>
      <c r="X475" s="911"/>
      <c r="Y475" s="911"/>
      <c r="Z475" s="911"/>
      <c r="AA475" s="911"/>
      <c r="AB475" s="911"/>
      <c r="AC475" s="911"/>
      <c r="AD475" s="911"/>
      <c r="AE475" s="911"/>
      <c r="AF475" s="911"/>
      <c r="AG475" s="911"/>
    </row>
    <row r="476" spans="10:33">
      <c r="J476" s="911"/>
      <c r="K476" s="911"/>
      <c r="M476" s="911"/>
      <c r="N476" s="911"/>
      <c r="R476" s="911"/>
      <c r="S476" s="911"/>
      <c r="T476" s="911"/>
      <c r="U476" s="911"/>
      <c r="V476" s="911"/>
      <c r="W476" s="911"/>
      <c r="X476" s="911"/>
      <c r="Y476" s="911"/>
      <c r="Z476" s="911"/>
      <c r="AA476" s="911"/>
      <c r="AB476" s="911"/>
      <c r="AC476" s="911"/>
      <c r="AD476" s="911"/>
      <c r="AE476" s="911"/>
      <c r="AF476" s="911"/>
      <c r="AG476" s="911"/>
    </row>
    <row r="477" spans="10:33">
      <c r="J477" s="911"/>
      <c r="K477" s="911"/>
      <c r="M477" s="911"/>
      <c r="N477" s="911"/>
      <c r="R477" s="911"/>
      <c r="S477" s="911"/>
      <c r="T477" s="911"/>
      <c r="U477" s="911"/>
      <c r="V477" s="911"/>
      <c r="W477" s="911"/>
      <c r="X477" s="911"/>
      <c r="Y477" s="911"/>
      <c r="Z477" s="911"/>
      <c r="AA477" s="911"/>
      <c r="AB477" s="911"/>
      <c r="AC477" s="911"/>
      <c r="AD477" s="911"/>
      <c r="AE477" s="911"/>
      <c r="AF477" s="911"/>
      <c r="AG477" s="911"/>
    </row>
    <row r="478" spans="10:33">
      <c r="J478" s="911"/>
      <c r="K478" s="911"/>
      <c r="M478" s="911"/>
      <c r="N478" s="911"/>
      <c r="R478" s="911"/>
      <c r="S478" s="911"/>
      <c r="T478" s="911"/>
      <c r="U478" s="911"/>
      <c r="V478" s="911"/>
      <c r="W478" s="911"/>
      <c r="X478" s="911"/>
      <c r="Y478" s="911"/>
      <c r="Z478" s="911"/>
      <c r="AA478" s="911"/>
      <c r="AB478" s="911"/>
      <c r="AC478" s="911"/>
      <c r="AD478" s="911"/>
      <c r="AE478" s="911"/>
      <c r="AF478" s="911"/>
      <c r="AG478" s="911"/>
    </row>
    <row r="479" spans="10:33">
      <c r="J479" s="911"/>
      <c r="K479" s="911"/>
      <c r="M479" s="911"/>
      <c r="N479" s="911"/>
      <c r="R479" s="911"/>
      <c r="S479" s="911"/>
      <c r="T479" s="911"/>
      <c r="U479" s="911"/>
      <c r="V479" s="911"/>
      <c r="W479" s="911"/>
      <c r="X479" s="911"/>
      <c r="Y479" s="911"/>
      <c r="Z479" s="911"/>
      <c r="AA479" s="911"/>
      <c r="AB479" s="911"/>
      <c r="AC479" s="911"/>
      <c r="AD479" s="911"/>
      <c r="AE479" s="911"/>
      <c r="AF479" s="911"/>
      <c r="AG479" s="911"/>
    </row>
    <row r="480" spans="10:33">
      <c r="J480" s="911"/>
      <c r="K480" s="911"/>
      <c r="M480" s="911"/>
      <c r="N480" s="911"/>
      <c r="R480" s="911"/>
      <c r="S480" s="911"/>
      <c r="T480" s="911"/>
      <c r="U480" s="911"/>
      <c r="V480" s="911"/>
      <c r="W480" s="911"/>
      <c r="X480" s="911"/>
      <c r="Y480" s="911"/>
      <c r="Z480" s="911"/>
      <c r="AA480" s="911"/>
      <c r="AB480" s="911"/>
      <c r="AC480" s="911"/>
      <c r="AD480" s="911"/>
      <c r="AE480" s="911"/>
      <c r="AF480" s="911"/>
      <c r="AG480" s="911"/>
    </row>
  </sheetData>
  <sheetProtection algorithmName="SHA-512" hashValue="u89V4jQquUcp0GLw9he4J2jVNaZ0oJMjU5/ZcyqeLE7TCMOfGWk21rVBvCpaRe4jBEbNZFelRpXuVQ/vyOpQnA==" saltValue="v7jivSg0KwA9dvvZmcMs/w=="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honeticPr fontId="87" type="noConversion"/>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438150</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82C5D-B67C-484D-8F06-3218BBB04BB7}">
  <sheetPr>
    <tabColor rgb="FF00B0F0"/>
    <pageSetUpPr fitToPage="1"/>
  </sheetPr>
  <dimension ref="A1:I19"/>
  <sheetViews>
    <sheetView workbookViewId="0"/>
  </sheetViews>
  <sheetFormatPr defaultRowHeight="15"/>
  <cols>
    <col min="1" max="1" width="13.7109375" bestFit="1" customWidth="1"/>
    <col min="2" max="2" width="11.28515625" bestFit="1" customWidth="1"/>
    <col min="3" max="3" width="9.7109375" bestFit="1" customWidth="1"/>
    <col min="4" max="4" width="11.7109375" bestFit="1" customWidth="1"/>
    <col min="5" max="8" width="9.28515625" bestFit="1" customWidth="1"/>
    <col min="9" max="9" width="8.28515625" bestFit="1" customWidth="1"/>
  </cols>
  <sheetData>
    <row r="1" spans="1:9">
      <c r="A1" s="119" t="s">
        <v>1485</v>
      </c>
    </row>
    <row r="2" spans="1:9">
      <c r="A2" t="s">
        <v>1486</v>
      </c>
    </row>
    <row r="3" spans="1:9">
      <c r="A3" t="s">
        <v>1487</v>
      </c>
    </row>
    <row r="5" spans="1:9">
      <c r="A5" s="963" t="s">
        <v>1488</v>
      </c>
      <c r="B5" s="964">
        <v>45045</v>
      </c>
      <c r="E5" s="963" t="s">
        <v>1490</v>
      </c>
      <c r="F5" t="s">
        <v>1610</v>
      </c>
    </row>
    <row r="6" spans="1:9">
      <c r="A6" s="963" t="s">
        <v>1489</v>
      </c>
      <c r="B6" s="965">
        <v>5.9027777777777783E-2</v>
      </c>
      <c r="E6" s="963" t="s">
        <v>1492</v>
      </c>
      <c r="F6" s="966" t="s">
        <v>1493</v>
      </c>
    </row>
    <row r="8" spans="1:9">
      <c r="E8" s="968" t="s">
        <v>170</v>
      </c>
      <c r="F8" s="968"/>
      <c r="G8" s="968"/>
    </row>
    <row r="9" spans="1:9">
      <c r="B9" s="969" t="s">
        <v>1494</v>
      </c>
      <c r="C9" s="968"/>
      <c r="D9" s="968"/>
      <c r="E9" s="969" t="s">
        <v>1495</v>
      </c>
      <c r="F9" s="968"/>
      <c r="G9" s="968"/>
      <c r="I9" s="963" t="s">
        <v>1496</v>
      </c>
    </row>
    <row r="10" spans="1:9">
      <c r="A10" s="1370" t="s">
        <v>1497</v>
      </c>
      <c r="B10" s="970" t="s">
        <v>1500</v>
      </c>
      <c r="C10" s="970" t="s">
        <v>1501</v>
      </c>
      <c r="D10" s="1371" t="s">
        <v>1502</v>
      </c>
      <c r="E10" s="970" t="s">
        <v>1503</v>
      </c>
      <c r="F10" s="970" t="s">
        <v>159</v>
      </c>
      <c r="G10" s="1371" t="s">
        <v>1504</v>
      </c>
      <c r="H10" s="970" t="s">
        <v>1498</v>
      </c>
      <c r="I10" s="970" t="s">
        <v>1499</v>
      </c>
    </row>
    <row r="11" spans="1:9" ht="15.75" thickBot="1">
      <c r="A11" s="971" t="s">
        <v>705</v>
      </c>
      <c r="B11" s="355">
        <v>1.8</v>
      </c>
      <c r="C11" s="918">
        <v>3.3</v>
      </c>
      <c r="D11" s="975">
        <v>5.3</v>
      </c>
      <c r="E11" s="967">
        <v>531579.6</v>
      </c>
      <c r="F11" s="967">
        <v>604767.76639999996</v>
      </c>
      <c r="G11" s="977">
        <v>661002.74</v>
      </c>
      <c r="H11" s="967">
        <v>129423.14</v>
      </c>
      <c r="I11" s="380">
        <v>0.59352403659868236</v>
      </c>
    </row>
    <row r="12" spans="1:9" ht="16.5" thickTop="1" thickBot="1">
      <c r="A12" s="972" t="s">
        <v>704</v>
      </c>
      <c r="B12" s="354">
        <v>1.8</v>
      </c>
      <c r="C12" s="918">
        <v>3.3</v>
      </c>
      <c r="D12" s="976">
        <v>5.3</v>
      </c>
      <c r="E12" s="967">
        <v>548350</v>
      </c>
      <c r="F12" s="967">
        <v>604767.76639999996</v>
      </c>
      <c r="G12" s="978">
        <v>648117.01</v>
      </c>
      <c r="H12" s="967">
        <v>99767.01</v>
      </c>
      <c r="I12" s="380">
        <v>0.35268611375974213</v>
      </c>
    </row>
    <row r="13" spans="1:9" ht="16.5" thickTop="1" thickBot="1">
      <c r="A13" s="973" t="s">
        <v>699</v>
      </c>
      <c r="B13" s="354">
        <v>11</v>
      </c>
      <c r="C13" s="918">
        <v>8</v>
      </c>
      <c r="D13" s="976">
        <v>7.5</v>
      </c>
      <c r="E13" s="967">
        <v>585605.34</v>
      </c>
      <c r="F13" s="967">
        <v>604767.76639999996</v>
      </c>
      <c r="G13" s="978">
        <v>604673.82999999996</v>
      </c>
      <c r="H13" s="967">
        <v>19068.490000000002</v>
      </c>
      <c r="I13" s="380">
        <v>1.2883891358491557E-2</v>
      </c>
    </row>
    <row r="14" spans="1:9" ht="16.5" thickTop="1" thickBot="1">
      <c r="A14" s="973" t="s">
        <v>698</v>
      </c>
      <c r="B14" s="354">
        <v>11</v>
      </c>
      <c r="C14" s="918">
        <v>8</v>
      </c>
      <c r="D14" s="976">
        <v>7.5</v>
      </c>
      <c r="E14" s="967">
        <v>587037.48</v>
      </c>
      <c r="F14" s="967">
        <v>604767.76639999996</v>
      </c>
      <c r="G14" s="978">
        <v>604626.21</v>
      </c>
      <c r="H14" s="967">
        <v>17588.73</v>
      </c>
      <c r="I14" s="380">
        <v>1.0961838811056234E-2</v>
      </c>
    </row>
    <row r="15" spans="1:9" ht="16.5" thickTop="1" thickBot="1">
      <c r="A15" s="974" t="s">
        <v>702</v>
      </c>
      <c r="B15" s="354">
        <v>10</v>
      </c>
      <c r="C15" s="918">
        <v>7.5</v>
      </c>
      <c r="D15" s="976">
        <v>6.5</v>
      </c>
      <c r="E15" s="967">
        <v>585840.28</v>
      </c>
      <c r="F15" s="967">
        <v>604767.76639999996</v>
      </c>
      <c r="G15" s="978">
        <v>603201.35</v>
      </c>
      <c r="H15" s="967">
        <v>17361.07</v>
      </c>
      <c r="I15" s="380">
        <v>1.0679905836384212E-2</v>
      </c>
    </row>
    <row r="16" spans="1:9" ht="16.5" thickTop="1" thickBot="1">
      <c r="A16" s="973" t="s">
        <v>701</v>
      </c>
      <c r="B16" s="354">
        <v>10</v>
      </c>
      <c r="C16" s="918">
        <v>7.5</v>
      </c>
      <c r="D16" s="976">
        <v>6.5</v>
      </c>
      <c r="E16" s="967">
        <v>587382.84</v>
      </c>
      <c r="F16" s="967">
        <v>604767.76639999996</v>
      </c>
      <c r="G16" s="978">
        <v>603329.01</v>
      </c>
      <c r="H16" s="967">
        <v>15946.17</v>
      </c>
      <c r="I16" s="380">
        <v>9.0100505328039471E-3</v>
      </c>
    </row>
    <row r="17" spans="1:9" ht="16.5" thickTop="1" thickBot="1">
      <c r="A17" s="973" t="s">
        <v>700</v>
      </c>
      <c r="B17" s="354">
        <v>10</v>
      </c>
      <c r="C17" s="918">
        <v>7.5</v>
      </c>
      <c r="D17" s="976">
        <v>6.5</v>
      </c>
      <c r="E17" s="967">
        <v>591208.89</v>
      </c>
      <c r="F17" s="967">
        <v>604767.76639999996</v>
      </c>
      <c r="G17" s="978">
        <v>603645.65</v>
      </c>
      <c r="H17" s="967">
        <v>12436.76</v>
      </c>
      <c r="I17" s="380">
        <v>5.4806107011952914E-3</v>
      </c>
    </row>
    <row r="18" spans="1:9" ht="16.5" thickTop="1" thickBot="1">
      <c r="A18" s="972" t="s">
        <v>703</v>
      </c>
      <c r="B18" s="354">
        <v>10</v>
      </c>
      <c r="C18" s="918">
        <v>7.5</v>
      </c>
      <c r="D18" s="976">
        <v>6.5</v>
      </c>
      <c r="E18" s="967">
        <v>592113.69999999995</v>
      </c>
      <c r="F18" s="967">
        <v>604767.76639999996</v>
      </c>
      <c r="G18" s="978">
        <v>603720.53</v>
      </c>
      <c r="H18" s="967">
        <v>11606.83</v>
      </c>
      <c r="I18" s="380">
        <v>4.7735524016441827E-3</v>
      </c>
    </row>
    <row r="19" spans="1:9" ht="15.75" thickTop="1"/>
  </sheetData>
  <sortState xmlns:xlrd2="http://schemas.microsoft.com/office/spreadsheetml/2017/richdata2" ref="A11:I18">
    <sortCondition descending="1" ref="H11"/>
  </sortState>
  <pageMargins left="0.7" right="0.7" top="0.75" bottom="0.75" header="0.3" footer="0.3"/>
  <pageSetup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B06CF-0BFA-4E1E-B0F6-2FB59E29B50F}">
  <sheetPr>
    <tabColor rgb="FF00B0F0"/>
    <pageSetUpPr fitToPage="1"/>
  </sheetPr>
  <dimension ref="A1:AQ19"/>
  <sheetViews>
    <sheetView topLeftCell="C1" workbookViewId="0">
      <selection activeCell="V16" sqref="V16"/>
    </sheetView>
  </sheetViews>
  <sheetFormatPr defaultRowHeight="15"/>
  <cols>
    <col min="1" max="1" width="13.7109375" bestFit="1" customWidth="1"/>
    <col min="2" max="2" width="11.28515625" bestFit="1" customWidth="1"/>
    <col min="3" max="3" width="9.7109375" bestFit="1" customWidth="1"/>
    <col min="4" max="4" width="11.7109375" bestFit="1" customWidth="1"/>
    <col min="5" max="5" width="6.5703125" bestFit="1" customWidth="1"/>
    <col min="6" max="6" width="7.140625" bestFit="1" customWidth="1"/>
    <col min="7" max="7" width="7" bestFit="1" customWidth="1"/>
    <col min="8" max="11" width="9.28515625" bestFit="1" customWidth="1"/>
    <col min="13" max="13" width="11.28515625" bestFit="1" customWidth="1"/>
    <col min="14" max="14" width="14.85546875" bestFit="1" customWidth="1"/>
    <col min="15" max="15" width="12.85546875" bestFit="1" customWidth="1"/>
    <col min="17" max="17" width="11.28515625" bestFit="1" customWidth="1"/>
    <col min="18" max="18" width="14.85546875" bestFit="1" customWidth="1"/>
    <col min="19" max="19" width="12.85546875" bestFit="1" customWidth="1"/>
    <col min="21" max="21" width="11.28515625" bestFit="1" customWidth="1"/>
    <col min="22" max="22" width="14.85546875" bestFit="1" customWidth="1"/>
    <col min="23" max="23" width="12.85546875" bestFit="1" customWidth="1"/>
    <col min="25" max="25" width="11.28515625" bestFit="1" customWidth="1"/>
    <col min="26" max="26" width="14.85546875" bestFit="1" customWidth="1"/>
    <col min="27" max="27" width="12.85546875" bestFit="1" customWidth="1"/>
    <col min="29" max="29" width="11.28515625" bestFit="1" customWidth="1"/>
    <col min="30" max="30" width="14.85546875" bestFit="1" customWidth="1"/>
    <col min="31" max="31" width="12.85546875" bestFit="1" customWidth="1"/>
    <col min="33" max="33" width="11.28515625" bestFit="1" customWidth="1"/>
    <col min="34" max="34" width="14.85546875" bestFit="1" customWidth="1"/>
    <col min="35" max="35" width="12.85546875" bestFit="1" customWidth="1"/>
    <col min="37" max="37" width="11.28515625" bestFit="1" customWidth="1"/>
    <col min="38" max="38" width="14.85546875" bestFit="1" customWidth="1"/>
    <col min="39" max="39" width="12.85546875" bestFit="1" customWidth="1"/>
    <col min="41" max="41" width="11.28515625" bestFit="1" customWidth="1"/>
    <col min="42" max="42" width="14.85546875" bestFit="1" customWidth="1"/>
    <col min="43" max="43" width="12.85546875" bestFit="1" customWidth="1"/>
  </cols>
  <sheetData>
    <row r="1" spans="1:43">
      <c r="A1" s="119" t="s">
        <v>1485</v>
      </c>
      <c r="M1" t="s">
        <v>698</v>
      </c>
      <c r="Q1" t="s">
        <v>699</v>
      </c>
      <c r="U1" t="s">
        <v>700</v>
      </c>
      <c r="Y1" t="s">
        <v>701</v>
      </c>
      <c r="AC1" t="s">
        <v>702</v>
      </c>
      <c r="AG1" t="s">
        <v>703</v>
      </c>
      <c r="AK1" t="s">
        <v>704</v>
      </c>
      <c r="AO1" t="s">
        <v>705</v>
      </c>
    </row>
    <row r="2" spans="1:43">
      <c r="A2" t="s">
        <v>1486</v>
      </c>
      <c r="M2" t="s">
        <v>1509</v>
      </c>
      <c r="N2" t="s">
        <v>1510</v>
      </c>
      <c r="O2" t="s">
        <v>1495</v>
      </c>
      <c r="Q2" t="s">
        <v>1509</v>
      </c>
      <c r="R2" t="s">
        <v>1510</v>
      </c>
      <c r="S2" t="s">
        <v>1495</v>
      </c>
      <c r="U2" t="s">
        <v>1509</v>
      </c>
      <c r="V2" t="s">
        <v>1510</v>
      </c>
      <c r="W2" t="s">
        <v>1495</v>
      </c>
      <c r="Y2" t="s">
        <v>1509</v>
      </c>
      <c r="Z2" t="s">
        <v>1510</v>
      </c>
      <c r="AA2" t="s">
        <v>1495</v>
      </c>
      <c r="AC2" t="s">
        <v>1509</v>
      </c>
      <c r="AD2" t="s">
        <v>1510</v>
      </c>
      <c r="AE2" t="s">
        <v>1495</v>
      </c>
      <c r="AG2" t="s">
        <v>1509</v>
      </c>
      <c r="AH2" t="s">
        <v>1510</v>
      </c>
      <c r="AI2" t="s">
        <v>1495</v>
      </c>
      <c r="AK2" t="s">
        <v>1509</v>
      </c>
      <c r="AL2" t="s">
        <v>1510</v>
      </c>
      <c r="AM2" t="s">
        <v>1495</v>
      </c>
      <c r="AO2" t="s">
        <v>1509</v>
      </c>
      <c r="AP2" t="s">
        <v>1510</v>
      </c>
      <c r="AQ2" t="s">
        <v>1495</v>
      </c>
    </row>
    <row r="3" spans="1:43">
      <c r="A3" t="s">
        <v>1487</v>
      </c>
      <c r="M3" s="952">
        <v>7.5</v>
      </c>
      <c r="N3" s="380">
        <v>0.9375</v>
      </c>
      <c r="O3" s="967">
        <v>604626.21</v>
      </c>
      <c r="Q3" s="952">
        <v>7.5</v>
      </c>
      <c r="R3" s="380">
        <v>0.9375</v>
      </c>
      <c r="S3" s="967">
        <v>604673.82999999996</v>
      </c>
      <c r="U3" s="952">
        <v>6.5</v>
      </c>
      <c r="V3" s="380">
        <v>0.8666666666666667</v>
      </c>
      <c r="W3" s="967">
        <v>603645.65</v>
      </c>
      <c r="Y3" s="952">
        <v>6.5</v>
      </c>
      <c r="Z3" s="380">
        <v>0.8666666666666667</v>
      </c>
      <c r="AA3" s="967">
        <v>603329.01</v>
      </c>
      <c r="AC3" s="952">
        <v>6.5</v>
      </c>
      <c r="AD3" s="380">
        <v>0.8666666666666667</v>
      </c>
      <c r="AE3" s="967">
        <v>603201.35</v>
      </c>
      <c r="AG3" s="952">
        <v>6.5</v>
      </c>
      <c r="AH3" s="380">
        <v>0.8666666666666667</v>
      </c>
      <c r="AI3" s="967">
        <v>603720.53</v>
      </c>
      <c r="AK3" s="952">
        <v>1.8</v>
      </c>
      <c r="AL3" s="380">
        <v>0.54545454545454553</v>
      </c>
      <c r="AM3" s="967">
        <v>548350</v>
      </c>
      <c r="AO3" s="952">
        <v>1.8</v>
      </c>
      <c r="AP3" s="380">
        <v>0.54545454545454553</v>
      </c>
      <c r="AQ3" s="967">
        <v>531579.6</v>
      </c>
    </row>
    <row r="4" spans="1:43">
      <c r="M4" s="952">
        <v>8</v>
      </c>
      <c r="N4" s="380">
        <v>1</v>
      </c>
      <c r="O4" s="967">
        <v>604767.77</v>
      </c>
      <c r="Q4" s="952">
        <v>8</v>
      </c>
      <c r="R4" s="380">
        <v>1</v>
      </c>
      <c r="S4" s="967">
        <v>604767.77</v>
      </c>
      <c r="U4" s="952">
        <v>6.75</v>
      </c>
      <c r="V4" s="380">
        <v>0.9</v>
      </c>
      <c r="W4" s="967">
        <v>604276.84</v>
      </c>
      <c r="Y4" s="952">
        <v>6.75</v>
      </c>
      <c r="Z4" s="380">
        <v>0.9</v>
      </c>
      <c r="AA4" s="967">
        <v>604138.31000000006</v>
      </c>
      <c r="AC4" s="952">
        <v>6.75</v>
      </c>
      <c r="AD4" s="380">
        <v>0.9</v>
      </c>
      <c r="AE4" s="967">
        <v>604082.46</v>
      </c>
      <c r="AG4" s="952">
        <v>6.75</v>
      </c>
      <c r="AH4" s="380">
        <v>0.9</v>
      </c>
      <c r="AI4" s="967">
        <v>604309.6</v>
      </c>
      <c r="AK4" s="952">
        <v>1.9800000000000002</v>
      </c>
      <c r="AL4" s="380">
        <v>0.60000000000000009</v>
      </c>
      <c r="AM4" s="967">
        <v>556202.05000000005</v>
      </c>
      <c r="AO4" s="952">
        <v>1.9800000000000002</v>
      </c>
      <c r="AP4" s="380">
        <v>0.60000000000000009</v>
      </c>
      <c r="AQ4" s="967">
        <v>541765.68999999994</v>
      </c>
    </row>
    <row r="5" spans="1:43">
      <c r="A5" s="963" t="s">
        <v>1488</v>
      </c>
      <c r="B5" s="964">
        <v>45045</v>
      </c>
      <c r="G5" s="963" t="s">
        <v>1490</v>
      </c>
      <c r="H5" t="s">
        <v>1610</v>
      </c>
      <c r="M5" s="952">
        <v>8.8000000000000007</v>
      </c>
      <c r="N5" s="380">
        <v>1.1000000000000001</v>
      </c>
      <c r="O5" s="967">
        <v>603153.99</v>
      </c>
      <c r="Q5" s="952">
        <v>8.8000000000000007</v>
      </c>
      <c r="R5" s="380">
        <v>1.1000000000000001</v>
      </c>
      <c r="S5" s="967">
        <v>602964.24</v>
      </c>
      <c r="U5" s="952">
        <v>7.5</v>
      </c>
      <c r="V5" s="380">
        <v>1</v>
      </c>
      <c r="W5" s="967">
        <v>604767.77</v>
      </c>
      <c r="Y5" s="952">
        <v>7.5</v>
      </c>
      <c r="Z5" s="380">
        <v>1</v>
      </c>
      <c r="AA5" s="967">
        <v>604767.77</v>
      </c>
      <c r="AC5" s="952">
        <v>7.5</v>
      </c>
      <c r="AD5" s="380">
        <v>1</v>
      </c>
      <c r="AE5" s="967">
        <v>604767.77</v>
      </c>
      <c r="AG5" s="952">
        <v>7.5</v>
      </c>
      <c r="AH5" s="380">
        <v>1</v>
      </c>
      <c r="AI5" s="967">
        <v>604767.77</v>
      </c>
      <c r="AK5" s="952">
        <v>2.31</v>
      </c>
      <c r="AL5" s="380">
        <v>0.70000000000000007</v>
      </c>
      <c r="AM5" s="967">
        <v>569831.1</v>
      </c>
      <c r="AO5" s="952">
        <v>2.31</v>
      </c>
      <c r="AP5" s="380">
        <v>0.70000000000000007</v>
      </c>
      <c r="AQ5" s="967">
        <v>559446.04</v>
      </c>
    </row>
    <row r="6" spans="1:43">
      <c r="A6" s="963" t="s">
        <v>1489</v>
      </c>
      <c r="B6" s="965">
        <v>5.9027777777777783E-2</v>
      </c>
      <c r="G6" s="963" t="s">
        <v>1492</v>
      </c>
      <c r="H6" s="966" t="s">
        <v>1493</v>
      </c>
      <c r="M6" s="952">
        <v>9.6000000000000014</v>
      </c>
      <c r="N6" s="380">
        <v>1.2000000000000002</v>
      </c>
      <c r="O6" s="967">
        <v>599275.27</v>
      </c>
      <c r="Q6" s="952">
        <v>9.6000000000000014</v>
      </c>
      <c r="R6" s="380">
        <v>1.2000000000000002</v>
      </c>
      <c r="S6" s="967">
        <v>598756.03</v>
      </c>
      <c r="U6" s="952">
        <v>8.25</v>
      </c>
      <c r="V6" s="380">
        <v>1.1000000000000001</v>
      </c>
      <c r="W6" s="967">
        <v>603154.73</v>
      </c>
      <c r="Y6" s="952">
        <v>8.25</v>
      </c>
      <c r="Z6" s="380">
        <v>1.1000000000000001</v>
      </c>
      <c r="AA6" s="967">
        <v>602699.56000000006</v>
      </c>
      <c r="AC6" s="952">
        <v>8.25</v>
      </c>
      <c r="AD6" s="380">
        <v>1.1000000000000001</v>
      </c>
      <c r="AE6" s="967">
        <v>602516.05000000005</v>
      </c>
      <c r="AG6" s="952">
        <v>8.25</v>
      </c>
      <c r="AH6" s="380">
        <v>1.1000000000000001</v>
      </c>
      <c r="AI6" s="967">
        <v>603262.37</v>
      </c>
      <c r="AK6" s="952">
        <v>2.64</v>
      </c>
      <c r="AL6" s="380">
        <v>0.8</v>
      </c>
      <c r="AM6" s="967">
        <v>582468.41</v>
      </c>
      <c r="AO6" s="952">
        <v>2.64</v>
      </c>
      <c r="AP6" s="380">
        <v>0.8</v>
      </c>
      <c r="AQ6" s="967">
        <v>575839.82999999996</v>
      </c>
    </row>
    <row r="7" spans="1:43">
      <c r="M7" s="952">
        <v>10.400000000000002</v>
      </c>
      <c r="N7" s="380">
        <v>1.3000000000000003</v>
      </c>
      <c r="O7" s="967">
        <v>593131.6</v>
      </c>
      <c r="Q7" s="952">
        <v>10.400000000000002</v>
      </c>
      <c r="R7" s="380">
        <v>1.3000000000000003</v>
      </c>
      <c r="S7" s="967">
        <v>592143.11</v>
      </c>
      <c r="U7" s="952">
        <v>9.0000000000000018</v>
      </c>
      <c r="V7" s="380">
        <v>1.2000000000000002</v>
      </c>
      <c r="W7" s="967">
        <v>599437.73</v>
      </c>
      <c r="Y7" s="952">
        <v>9.0000000000000018</v>
      </c>
      <c r="Z7" s="380">
        <v>1.2000000000000002</v>
      </c>
      <c r="AA7" s="967">
        <v>597933.68999999994</v>
      </c>
      <c r="AC7" s="952">
        <v>9.0000000000000018</v>
      </c>
      <c r="AD7" s="380">
        <v>1.2000000000000002</v>
      </c>
      <c r="AE7" s="967">
        <v>597327.30000000005</v>
      </c>
      <c r="AG7" s="952">
        <v>9.0000000000000018</v>
      </c>
      <c r="AH7" s="380">
        <v>1.2000000000000002</v>
      </c>
      <c r="AI7" s="967">
        <v>599793.41</v>
      </c>
      <c r="AK7" s="952">
        <v>2.9699999999999998</v>
      </c>
      <c r="AL7" s="380">
        <v>0.9</v>
      </c>
      <c r="AM7" s="967">
        <v>594113.96</v>
      </c>
      <c r="AO7" s="952">
        <v>2.9699999999999998</v>
      </c>
      <c r="AP7" s="380">
        <v>0.9</v>
      </c>
      <c r="AQ7" s="967">
        <v>590947.07999999996</v>
      </c>
    </row>
    <row r="8" spans="1:43">
      <c r="H8" s="968" t="s">
        <v>170</v>
      </c>
      <c r="I8" s="968"/>
      <c r="J8" s="968"/>
      <c r="M8" s="952">
        <v>11</v>
      </c>
      <c r="N8" s="380">
        <v>1.375</v>
      </c>
      <c r="O8" s="967">
        <v>587037.48</v>
      </c>
      <c r="Q8" s="952">
        <v>11</v>
      </c>
      <c r="R8" s="380">
        <v>1.375</v>
      </c>
      <c r="S8" s="967">
        <v>585605.34</v>
      </c>
      <c r="U8" s="952">
        <v>9.7500000000000018</v>
      </c>
      <c r="V8" s="380">
        <v>1.3000000000000003</v>
      </c>
      <c r="W8" s="967">
        <v>593616.76</v>
      </c>
      <c r="Y8" s="952">
        <v>9.7500000000000018</v>
      </c>
      <c r="Z8" s="380">
        <v>1.3000000000000003</v>
      </c>
      <c r="AA8" s="967">
        <v>590470.17000000004</v>
      </c>
      <c r="AC8" s="952">
        <v>9.7500000000000018</v>
      </c>
      <c r="AD8" s="380">
        <v>1.3000000000000003</v>
      </c>
      <c r="AE8" s="967">
        <v>589201.54</v>
      </c>
      <c r="AG8" s="952">
        <v>9.7500000000000018</v>
      </c>
      <c r="AH8" s="380">
        <v>1.3000000000000003</v>
      </c>
      <c r="AI8" s="967">
        <v>594360.89</v>
      </c>
      <c r="AK8" s="952">
        <v>3.3</v>
      </c>
      <c r="AL8" s="380">
        <v>1</v>
      </c>
      <c r="AM8" s="967">
        <v>604767.77</v>
      </c>
      <c r="AO8" s="952">
        <v>3.3</v>
      </c>
      <c r="AP8" s="380">
        <v>1</v>
      </c>
      <c r="AQ8" s="967">
        <v>604767.77</v>
      </c>
    </row>
    <row r="9" spans="1:43">
      <c r="B9" s="969" t="s">
        <v>1494</v>
      </c>
      <c r="C9" s="968"/>
      <c r="D9" s="968"/>
      <c r="E9" s="969" t="s">
        <v>1505</v>
      </c>
      <c r="F9" s="968"/>
      <c r="G9" s="968"/>
      <c r="H9" s="969" t="s">
        <v>1495</v>
      </c>
      <c r="I9" s="968"/>
      <c r="J9" s="968"/>
      <c r="U9" s="952">
        <v>10</v>
      </c>
      <c r="V9" s="380">
        <v>1.3333333333333333</v>
      </c>
      <c r="W9" s="967">
        <v>591208.89</v>
      </c>
      <c r="Y9" s="952">
        <v>10</v>
      </c>
      <c r="Z9" s="380">
        <v>1.3333333333333333</v>
      </c>
      <c r="AA9" s="967">
        <v>587382.84</v>
      </c>
      <c r="AC9" s="952">
        <v>10</v>
      </c>
      <c r="AD9" s="380">
        <v>1.3333333333333333</v>
      </c>
      <c r="AE9" s="967">
        <v>585840.28</v>
      </c>
      <c r="AG9" s="952">
        <v>10</v>
      </c>
      <c r="AH9" s="380">
        <v>1.3333333333333333</v>
      </c>
      <c r="AI9" s="967">
        <v>592113.69999999995</v>
      </c>
      <c r="AK9" s="952">
        <v>3.63</v>
      </c>
      <c r="AL9" s="380">
        <v>1.1000000000000001</v>
      </c>
      <c r="AM9" s="967">
        <v>614429.81999999995</v>
      </c>
      <c r="AO9" s="952">
        <v>3.63</v>
      </c>
      <c r="AP9" s="380">
        <v>1.1000000000000001</v>
      </c>
      <c r="AQ9" s="967">
        <v>617301.9</v>
      </c>
    </row>
    <row r="10" spans="1:43">
      <c r="A10" s="1370" t="s">
        <v>1497</v>
      </c>
      <c r="B10" s="970" t="s">
        <v>1500</v>
      </c>
      <c r="C10" s="970" t="s">
        <v>1501</v>
      </c>
      <c r="D10" s="1371" t="s">
        <v>1502</v>
      </c>
      <c r="E10" s="970" t="s">
        <v>1506</v>
      </c>
      <c r="F10" s="970" t="s">
        <v>1507</v>
      </c>
      <c r="G10" s="1371" t="s">
        <v>1508</v>
      </c>
      <c r="H10" s="970" t="s">
        <v>1503</v>
      </c>
      <c r="I10" s="970" t="s">
        <v>159</v>
      </c>
      <c r="J10" s="1371" t="s">
        <v>1504</v>
      </c>
      <c r="K10" s="970" t="s">
        <v>1498</v>
      </c>
      <c r="M10" s="952">
        <v>8</v>
      </c>
      <c r="O10" s="967">
        <f>MAX(O3:O8)</f>
        <v>604767.77</v>
      </c>
      <c r="Q10" s="1372">
        <v>8</v>
      </c>
      <c r="S10" s="967">
        <v>604768</v>
      </c>
      <c r="U10" s="952">
        <v>7.5</v>
      </c>
      <c r="W10" s="967">
        <v>604768</v>
      </c>
      <c r="Y10" s="952">
        <v>7.5</v>
      </c>
      <c r="AC10" s="952">
        <v>7.5</v>
      </c>
      <c r="AG10" s="952">
        <v>7.5</v>
      </c>
      <c r="AK10" s="952">
        <v>3.9600000000000004</v>
      </c>
      <c r="AL10" s="380">
        <v>1.2000000000000002</v>
      </c>
      <c r="AM10" s="967">
        <v>623100.12</v>
      </c>
      <c r="AO10" s="952">
        <v>3.9600000000000004</v>
      </c>
      <c r="AP10" s="380">
        <v>1.2000000000000002</v>
      </c>
      <c r="AQ10" s="967">
        <v>628549.49</v>
      </c>
    </row>
    <row r="11" spans="1:43" ht="15.75" thickBot="1">
      <c r="A11" s="971" t="s">
        <v>705</v>
      </c>
      <c r="B11" s="355">
        <v>1.8</v>
      </c>
      <c r="C11" s="918">
        <v>3.3</v>
      </c>
      <c r="D11" s="975">
        <v>5.3</v>
      </c>
      <c r="E11" s="979">
        <v>0.54545454545454553</v>
      </c>
      <c r="F11" s="979">
        <v>1</v>
      </c>
      <c r="G11" s="980">
        <v>1.6060606060606062</v>
      </c>
      <c r="H11" s="967">
        <v>531579.6</v>
      </c>
      <c r="I11" s="967">
        <v>604767.76639999996</v>
      </c>
      <c r="J11" s="977">
        <v>661002.74</v>
      </c>
      <c r="K11" s="967">
        <v>129423.14</v>
      </c>
      <c r="L11" s="355"/>
      <c r="AK11" s="952">
        <v>4.2900000000000009</v>
      </c>
      <c r="AL11" s="380">
        <v>1.3000000000000003</v>
      </c>
      <c r="AM11" s="967">
        <v>630778.68000000005</v>
      </c>
      <c r="AO11" s="952">
        <v>4.2900000000000009</v>
      </c>
      <c r="AP11" s="380">
        <v>1.3000000000000003</v>
      </c>
      <c r="AQ11" s="967">
        <v>638510.52</v>
      </c>
    </row>
    <row r="12" spans="1:43" ht="16.5" thickTop="1" thickBot="1">
      <c r="A12" s="972" t="s">
        <v>704</v>
      </c>
      <c r="B12" s="354">
        <v>1.8</v>
      </c>
      <c r="C12" s="918">
        <v>3.3</v>
      </c>
      <c r="D12" s="976">
        <v>5.3</v>
      </c>
      <c r="E12" s="979">
        <v>0.54545454545454553</v>
      </c>
      <c r="F12" s="979">
        <v>1</v>
      </c>
      <c r="G12" s="981">
        <v>1.6060606060606062</v>
      </c>
      <c r="H12" s="967">
        <v>548350</v>
      </c>
      <c r="I12" s="967">
        <v>604767.76639999996</v>
      </c>
      <c r="J12" s="978">
        <v>648117.01</v>
      </c>
      <c r="K12" s="967">
        <v>99767.01</v>
      </c>
      <c r="L12" s="355"/>
      <c r="AK12" s="952">
        <v>4.620000000000001</v>
      </c>
      <c r="AL12" s="380">
        <v>1.4000000000000004</v>
      </c>
      <c r="AM12" s="967">
        <v>637465.48</v>
      </c>
      <c r="AO12" s="952">
        <v>4.620000000000001</v>
      </c>
      <c r="AP12" s="380">
        <v>1.4000000000000004</v>
      </c>
      <c r="AQ12" s="967">
        <v>647185.01</v>
      </c>
    </row>
    <row r="13" spans="1:43" ht="16.5" thickTop="1" thickBot="1">
      <c r="A13" s="973" t="s">
        <v>699</v>
      </c>
      <c r="B13" s="354">
        <v>11</v>
      </c>
      <c r="C13" s="918">
        <v>8</v>
      </c>
      <c r="D13" s="976">
        <v>7.5</v>
      </c>
      <c r="E13" s="979">
        <v>1.375</v>
      </c>
      <c r="F13" s="979">
        <v>1</v>
      </c>
      <c r="G13" s="981">
        <v>0.9375</v>
      </c>
      <c r="H13" s="967">
        <v>585605.34</v>
      </c>
      <c r="I13" s="967">
        <v>604767.76639999996</v>
      </c>
      <c r="J13" s="978">
        <v>604673.82999999996</v>
      </c>
      <c r="K13" s="967">
        <v>19068.490000000002</v>
      </c>
      <c r="L13" s="355"/>
      <c r="AK13" s="952">
        <v>4.9500000000000011</v>
      </c>
      <c r="AL13" s="380">
        <v>1.5000000000000004</v>
      </c>
      <c r="AM13" s="967">
        <v>643160.53</v>
      </c>
      <c r="AO13" s="952">
        <v>4.9500000000000011</v>
      </c>
      <c r="AP13" s="380">
        <v>1.5000000000000004</v>
      </c>
      <c r="AQ13" s="967">
        <v>654572.93999999994</v>
      </c>
    </row>
    <row r="14" spans="1:43" ht="16.5" thickTop="1" thickBot="1">
      <c r="A14" s="973" t="s">
        <v>698</v>
      </c>
      <c r="B14" s="354">
        <v>11</v>
      </c>
      <c r="C14" s="918">
        <v>8</v>
      </c>
      <c r="D14" s="976">
        <v>7.5</v>
      </c>
      <c r="E14" s="979">
        <v>1.375</v>
      </c>
      <c r="F14" s="979">
        <v>1</v>
      </c>
      <c r="G14" s="981">
        <v>0.9375</v>
      </c>
      <c r="H14" s="967">
        <v>587037.48</v>
      </c>
      <c r="I14" s="967">
        <v>604767.76639999996</v>
      </c>
      <c r="J14" s="978">
        <v>604626.21</v>
      </c>
      <c r="K14" s="967">
        <v>17588.73</v>
      </c>
      <c r="L14" s="355"/>
      <c r="AK14" s="952">
        <v>5.2800000000000011</v>
      </c>
      <c r="AL14" s="380">
        <v>1.6000000000000005</v>
      </c>
      <c r="AM14" s="967">
        <v>647863.82999999996</v>
      </c>
      <c r="AO14" s="952">
        <v>5.2800000000000011</v>
      </c>
      <c r="AP14" s="380">
        <v>1.6000000000000005</v>
      </c>
      <c r="AQ14" s="967">
        <v>660674.31000000006</v>
      </c>
    </row>
    <row r="15" spans="1:43" ht="16.5" thickTop="1" thickBot="1">
      <c r="A15" s="974" t="s">
        <v>702</v>
      </c>
      <c r="B15" s="354">
        <v>10</v>
      </c>
      <c r="C15" s="918">
        <v>7.5</v>
      </c>
      <c r="D15" s="976">
        <v>6.5</v>
      </c>
      <c r="E15" s="979">
        <v>1.3333333333333333</v>
      </c>
      <c r="F15" s="979">
        <v>1</v>
      </c>
      <c r="G15" s="981">
        <v>0.8666666666666667</v>
      </c>
      <c r="H15" s="967">
        <v>585840.28</v>
      </c>
      <c r="I15" s="967">
        <v>604767.76639999996</v>
      </c>
      <c r="J15" s="978">
        <v>603201.35</v>
      </c>
      <c r="K15" s="967">
        <v>17361.07</v>
      </c>
      <c r="L15" s="355"/>
      <c r="AK15" s="952">
        <v>5.3</v>
      </c>
      <c r="AL15" s="380">
        <v>1.6060606060606062</v>
      </c>
      <c r="AM15" s="967">
        <v>648117.01</v>
      </c>
      <c r="AO15" s="952">
        <v>5.3</v>
      </c>
      <c r="AP15" s="380">
        <v>1.6060606060606062</v>
      </c>
      <c r="AQ15" s="967">
        <v>661002.74</v>
      </c>
    </row>
    <row r="16" spans="1:43" ht="16.5" thickTop="1" thickBot="1">
      <c r="A16" s="973" t="s">
        <v>701</v>
      </c>
      <c r="B16" s="354">
        <v>10</v>
      </c>
      <c r="C16" s="918">
        <v>7.5</v>
      </c>
      <c r="D16" s="976">
        <v>6.5</v>
      </c>
      <c r="E16" s="979">
        <v>1.3333333333333333</v>
      </c>
      <c r="F16" s="979">
        <v>1</v>
      </c>
      <c r="G16" s="981">
        <v>0.8666666666666667</v>
      </c>
      <c r="H16" s="967">
        <v>587382.84</v>
      </c>
      <c r="I16" s="967">
        <v>604767.76639999996</v>
      </c>
      <c r="J16" s="978">
        <v>603329.01</v>
      </c>
      <c r="K16" s="967">
        <v>15946.17</v>
      </c>
      <c r="L16" s="355"/>
    </row>
    <row r="17" spans="1:12" ht="16.5" thickTop="1" thickBot="1">
      <c r="A17" s="973" t="s">
        <v>700</v>
      </c>
      <c r="B17" s="354">
        <v>10</v>
      </c>
      <c r="C17" s="918">
        <v>7.5</v>
      </c>
      <c r="D17" s="976">
        <v>6.5</v>
      </c>
      <c r="E17" s="979">
        <v>1.3333333333333333</v>
      </c>
      <c r="F17" s="979">
        <v>1</v>
      </c>
      <c r="G17" s="981">
        <v>0.8666666666666667</v>
      </c>
      <c r="H17" s="967">
        <v>591208.89</v>
      </c>
      <c r="I17" s="967">
        <v>604767.76639999996</v>
      </c>
      <c r="J17" s="978">
        <v>603645.65</v>
      </c>
      <c r="K17" s="967">
        <v>12436.76</v>
      </c>
      <c r="L17" s="355"/>
    </row>
    <row r="18" spans="1:12" ht="16.5" thickTop="1" thickBot="1">
      <c r="A18" s="972" t="s">
        <v>703</v>
      </c>
      <c r="B18" s="354">
        <v>10</v>
      </c>
      <c r="C18" s="918">
        <v>7.5</v>
      </c>
      <c r="D18" s="976">
        <v>6.5</v>
      </c>
      <c r="E18" s="979">
        <v>1.3333333333333333</v>
      </c>
      <c r="F18" s="979">
        <v>1</v>
      </c>
      <c r="G18" s="981">
        <v>0.8666666666666667</v>
      </c>
      <c r="H18" s="967">
        <v>592113.69999999995</v>
      </c>
      <c r="I18" s="967">
        <v>604767.76639999996</v>
      </c>
      <c r="J18" s="978">
        <v>603720.53</v>
      </c>
      <c r="K18" s="967">
        <v>11606.83</v>
      </c>
      <c r="L18" s="355"/>
    </row>
    <row r="19" spans="1:12" ht="15.75" thickTop="1"/>
  </sheetData>
  <sortState xmlns:xlrd2="http://schemas.microsoft.com/office/spreadsheetml/2017/richdata2" ref="A11:L18">
    <sortCondition descending="1" ref="K11"/>
  </sortState>
  <pageMargins left="0.7" right="0.7" top="0.75" bottom="0.75" header="0.3" footer="0.3"/>
  <pageSetup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F4353-A2AC-4328-BB82-DBE890C9EF92}">
  <sheetPr>
    <tabColor rgb="FF00B0F0"/>
    <pageSetUpPr fitToPage="1"/>
  </sheetPr>
  <dimension ref="A1:AM38"/>
  <sheetViews>
    <sheetView workbookViewId="0"/>
  </sheetViews>
  <sheetFormatPr defaultRowHeight="15"/>
  <cols>
    <col min="1" max="1" width="18.7109375" bestFit="1" customWidth="1"/>
    <col min="2" max="2" width="14.5703125" bestFit="1" customWidth="1"/>
    <col min="3" max="4" width="12.42578125" bestFit="1" customWidth="1"/>
    <col min="5" max="8" width="9.28515625" bestFit="1" customWidth="1"/>
    <col min="11" max="12" width="8.5703125" bestFit="1" customWidth="1"/>
    <col min="13" max="13" width="6.42578125" bestFit="1" customWidth="1"/>
    <col min="14" max="14" width="6.28515625" bestFit="1" customWidth="1"/>
    <col min="15" max="15" width="9.28515625" bestFit="1" customWidth="1"/>
    <col min="16" max="16" width="6.42578125" bestFit="1" customWidth="1"/>
    <col min="17" max="17" width="6.7109375" bestFit="1" customWidth="1"/>
    <col min="18" max="18" width="9.28515625" bestFit="1" customWidth="1"/>
    <col min="19" max="19" width="6.42578125" bestFit="1" customWidth="1"/>
    <col min="20" max="20" width="7.7109375" bestFit="1" customWidth="1"/>
    <col min="21" max="21" width="9.28515625" bestFit="1" customWidth="1"/>
    <col min="22" max="22" width="6.85546875" bestFit="1" customWidth="1"/>
    <col min="23" max="23" width="6.28515625" bestFit="1" customWidth="1"/>
    <col min="24" max="24" width="9.28515625" bestFit="1" customWidth="1"/>
    <col min="25" max="25" width="6.85546875" bestFit="1" customWidth="1"/>
    <col min="26" max="26" width="6.7109375" bestFit="1" customWidth="1"/>
    <col min="27" max="27" width="9.28515625" bestFit="1" customWidth="1"/>
    <col min="28" max="28" width="6.85546875" bestFit="1" customWidth="1"/>
    <col min="29" max="29" width="7.7109375" bestFit="1" customWidth="1"/>
    <col min="30" max="30" width="9.28515625" bestFit="1" customWidth="1"/>
    <col min="31" max="31" width="7.85546875" bestFit="1" customWidth="1"/>
    <col min="32" max="32" width="6.28515625" bestFit="1" customWidth="1"/>
    <col min="33" max="33" width="9.28515625" bestFit="1" customWidth="1"/>
    <col min="34" max="34" width="7.85546875" bestFit="1" customWidth="1"/>
    <col min="35" max="35" width="6.7109375" bestFit="1" customWidth="1"/>
    <col min="36" max="36" width="9.28515625" bestFit="1" customWidth="1"/>
    <col min="37" max="37" width="7.85546875" bestFit="1" customWidth="1"/>
    <col min="38" max="38" width="7.7109375" bestFit="1" customWidth="1"/>
    <col min="39" max="39" width="9.28515625" bestFit="1" customWidth="1"/>
  </cols>
  <sheetData>
    <row r="1" spans="1:39">
      <c r="A1" s="119" t="s">
        <v>1485</v>
      </c>
    </row>
    <row r="2" spans="1:39">
      <c r="A2" t="s">
        <v>1486</v>
      </c>
    </row>
    <row r="3" spans="1:39">
      <c r="A3" t="s">
        <v>1511</v>
      </c>
    </row>
    <row r="5" spans="1:39">
      <c r="A5" s="963" t="s">
        <v>1488</v>
      </c>
      <c r="B5" s="964">
        <v>45045</v>
      </c>
      <c r="D5" s="963" t="s">
        <v>1490</v>
      </c>
      <c r="E5" t="s">
        <v>1610</v>
      </c>
    </row>
    <row r="6" spans="1:39">
      <c r="A6" s="963" t="s">
        <v>1489</v>
      </c>
      <c r="B6" s="965">
        <v>5.9027777777777783E-2</v>
      </c>
      <c r="D6" s="963" t="s">
        <v>1492</v>
      </c>
      <c r="E6" s="966" t="s">
        <v>1493</v>
      </c>
    </row>
    <row r="8" spans="1:39">
      <c r="E8" s="968" t="s">
        <v>170</v>
      </c>
      <c r="F8" s="968"/>
      <c r="G8" s="968"/>
    </row>
    <row r="9" spans="1:39">
      <c r="B9" s="969" t="s">
        <v>1512</v>
      </c>
      <c r="C9" s="968"/>
      <c r="D9" s="968"/>
      <c r="E9" s="969" t="s">
        <v>1495</v>
      </c>
      <c r="F9" s="968"/>
      <c r="G9" s="968"/>
    </row>
    <row r="10" spans="1:39" ht="15.75" thickBot="1">
      <c r="A10" s="1370" t="s">
        <v>1513</v>
      </c>
      <c r="B10" s="983" t="s">
        <v>1500</v>
      </c>
      <c r="C10" s="983" t="s">
        <v>1501</v>
      </c>
      <c r="D10" s="1370" t="s">
        <v>1502</v>
      </c>
      <c r="E10" s="984" t="s">
        <v>1503</v>
      </c>
      <c r="F10" s="984" t="s">
        <v>159</v>
      </c>
      <c r="G10" s="1371" t="s">
        <v>1504</v>
      </c>
      <c r="H10" s="984" t="s">
        <v>1498</v>
      </c>
      <c r="K10" s="983" t="s">
        <v>1514</v>
      </c>
      <c r="L10" s="1370" t="s">
        <v>1515</v>
      </c>
      <c r="M10" s="984" t="s">
        <v>1516</v>
      </c>
      <c r="N10" s="984" t="s">
        <v>1517</v>
      </c>
      <c r="O10" s="1371" t="s">
        <v>1518</v>
      </c>
      <c r="P10" s="984" t="s">
        <v>1516</v>
      </c>
      <c r="Q10" s="984" t="s">
        <v>1519</v>
      </c>
      <c r="R10" s="1371" t="s">
        <v>1518</v>
      </c>
      <c r="S10" s="984" t="s">
        <v>1516</v>
      </c>
      <c r="T10" s="984" t="s">
        <v>1520</v>
      </c>
      <c r="U10" s="1371" t="s">
        <v>1518</v>
      </c>
      <c r="V10" s="984" t="s">
        <v>1521</v>
      </c>
      <c r="W10" s="984" t="s">
        <v>1517</v>
      </c>
      <c r="X10" s="1371" t="s">
        <v>1518</v>
      </c>
      <c r="Y10" s="984" t="s">
        <v>1521</v>
      </c>
      <c r="Z10" s="984" t="s">
        <v>1519</v>
      </c>
      <c r="AA10" s="1371" t="s">
        <v>1518</v>
      </c>
      <c r="AB10" s="984" t="s">
        <v>1521</v>
      </c>
      <c r="AC10" s="984" t="s">
        <v>1520</v>
      </c>
      <c r="AD10" s="1371" t="s">
        <v>1518</v>
      </c>
      <c r="AE10" s="984" t="s">
        <v>1522</v>
      </c>
      <c r="AF10" s="984" t="s">
        <v>1517</v>
      </c>
      <c r="AG10" s="1371" t="s">
        <v>1518</v>
      </c>
      <c r="AH10" s="984" t="s">
        <v>1522</v>
      </c>
      <c r="AI10" s="984" t="s">
        <v>1519</v>
      </c>
      <c r="AJ10" s="1371" t="s">
        <v>1518</v>
      </c>
      <c r="AK10" s="984" t="s">
        <v>1522</v>
      </c>
      <c r="AL10" s="984" t="s">
        <v>1520</v>
      </c>
      <c r="AM10" s="984" t="s">
        <v>1518</v>
      </c>
    </row>
    <row r="11" spans="1:39" ht="15.75" thickBot="1">
      <c r="A11" s="985" t="s">
        <v>1550</v>
      </c>
      <c r="B11" s="1370" t="s">
        <v>1563</v>
      </c>
      <c r="C11" t="s">
        <v>1613</v>
      </c>
      <c r="D11" s="992" t="s">
        <v>1565</v>
      </c>
      <c r="E11" s="967">
        <v>475161.84</v>
      </c>
      <c r="F11" s="967">
        <v>604767.77</v>
      </c>
      <c r="G11" s="994">
        <v>704351.99</v>
      </c>
      <c r="H11" s="967">
        <v>229190.14999999997</v>
      </c>
      <c r="K11" t="s">
        <v>704</v>
      </c>
      <c r="L11" s="992" t="s">
        <v>705</v>
      </c>
      <c r="M11" s="952">
        <v>1.8</v>
      </c>
      <c r="N11" s="952">
        <v>1.8</v>
      </c>
      <c r="O11" s="994">
        <v>475161.84</v>
      </c>
      <c r="P11" s="952">
        <v>1.8</v>
      </c>
      <c r="Q11" s="952">
        <v>3.3</v>
      </c>
      <c r="R11" s="994">
        <v>548350</v>
      </c>
      <c r="S11" s="952">
        <v>1.8</v>
      </c>
      <c r="T11" s="952">
        <v>5.3</v>
      </c>
      <c r="U11" s="994">
        <v>604584.98</v>
      </c>
      <c r="V11" s="952">
        <v>3.3</v>
      </c>
      <c r="W11" s="952">
        <v>1.8</v>
      </c>
      <c r="X11" s="994">
        <v>531579.6</v>
      </c>
      <c r="Y11" s="952">
        <v>3.3</v>
      </c>
      <c r="Z11" s="952">
        <v>3.3</v>
      </c>
      <c r="AA11" s="994">
        <v>604767.77</v>
      </c>
      <c r="AB11" s="952">
        <v>3.3</v>
      </c>
      <c r="AC11" s="952">
        <v>5.3</v>
      </c>
      <c r="AD11" s="994">
        <v>661002.74</v>
      </c>
      <c r="AE11" s="952">
        <v>5.3</v>
      </c>
      <c r="AF11" s="952">
        <v>1.8</v>
      </c>
      <c r="AG11" s="994">
        <v>574928.84</v>
      </c>
      <c r="AH11" s="952">
        <v>5.3</v>
      </c>
      <c r="AI11" s="952">
        <v>3.3</v>
      </c>
      <c r="AJ11" s="994">
        <v>648117.01</v>
      </c>
      <c r="AK11" s="952">
        <v>5.3</v>
      </c>
      <c r="AL11" s="952">
        <v>5.3</v>
      </c>
      <c r="AM11" s="967">
        <v>704351.99</v>
      </c>
    </row>
    <row r="12" spans="1:39" ht="16.5" thickTop="1" thickBot="1">
      <c r="A12" s="986" t="s">
        <v>1535</v>
      </c>
      <c r="B12" s="982" t="s">
        <v>1555</v>
      </c>
      <c r="C12" t="s">
        <v>1611</v>
      </c>
      <c r="D12" s="989" t="s">
        <v>1557</v>
      </c>
      <c r="E12" s="967">
        <v>512417.18</v>
      </c>
      <c r="F12" s="967">
        <v>604767.77</v>
      </c>
      <c r="G12" s="995">
        <v>661002.74</v>
      </c>
      <c r="H12" s="967">
        <v>148585.56</v>
      </c>
      <c r="K12" t="s">
        <v>699</v>
      </c>
      <c r="L12" s="989" t="s">
        <v>705</v>
      </c>
      <c r="M12" s="952">
        <v>7.5</v>
      </c>
      <c r="N12" s="952">
        <v>1.8</v>
      </c>
      <c r="O12" s="995">
        <v>531485.66</v>
      </c>
      <c r="P12" s="952">
        <v>7.5</v>
      </c>
      <c r="Q12" s="952">
        <v>3.3</v>
      </c>
      <c r="R12" s="995">
        <v>604673.82999999996</v>
      </c>
      <c r="S12" s="952">
        <v>7.5</v>
      </c>
      <c r="T12" s="952">
        <v>5.3</v>
      </c>
      <c r="U12" s="995">
        <v>660908.81000000006</v>
      </c>
      <c r="V12" s="952">
        <v>8</v>
      </c>
      <c r="W12" s="952">
        <v>1.8</v>
      </c>
      <c r="X12" s="995">
        <v>531579.6</v>
      </c>
      <c r="Y12" s="952">
        <v>8</v>
      </c>
      <c r="Z12" s="952">
        <v>3.3</v>
      </c>
      <c r="AA12" s="995">
        <v>604767.77</v>
      </c>
      <c r="AB12" s="952">
        <v>8</v>
      </c>
      <c r="AC12" s="952">
        <v>5.3</v>
      </c>
      <c r="AD12" s="995">
        <v>661002.74</v>
      </c>
      <c r="AE12" s="952">
        <v>11</v>
      </c>
      <c r="AF12" s="952">
        <v>1.8</v>
      </c>
      <c r="AG12" s="995">
        <v>512417.18</v>
      </c>
      <c r="AH12" s="952">
        <v>11</v>
      </c>
      <c r="AI12" s="952">
        <v>3.3</v>
      </c>
      <c r="AJ12" s="995">
        <v>585605.34</v>
      </c>
      <c r="AK12" s="952">
        <v>11</v>
      </c>
      <c r="AL12" s="952">
        <v>5.3</v>
      </c>
      <c r="AM12" s="967">
        <v>641840.31999999995</v>
      </c>
    </row>
    <row r="13" spans="1:39" ht="16.5" thickTop="1" thickBot="1">
      <c r="A13" s="986" t="s">
        <v>1547</v>
      </c>
      <c r="B13" s="982" t="s">
        <v>1560</v>
      </c>
      <c r="C13" t="s">
        <v>1612</v>
      </c>
      <c r="D13" s="989" t="s">
        <v>1562</v>
      </c>
      <c r="E13" s="967">
        <v>512652.11</v>
      </c>
      <c r="F13" s="967">
        <v>604767.77</v>
      </c>
      <c r="G13" s="995">
        <v>661002.74</v>
      </c>
      <c r="H13" s="967">
        <v>148350.63</v>
      </c>
      <c r="K13" t="s">
        <v>702</v>
      </c>
      <c r="L13" s="989" t="s">
        <v>705</v>
      </c>
      <c r="M13" s="952">
        <v>6.5</v>
      </c>
      <c r="N13" s="952">
        <v>1.8</v>
      </c>
      <c r="O13" s="995">
        <v>530013.18000000005</v>
      </c>
      <c r="P13" s="952">
        <v>6.5</v>
      </c>
      <c r="Q13" s="952">
        <v>3.3</v>
      </c>
      <c r="R13" s="995">
        <v>603201.35</v>
      </c>
      <c r="S13" s="952">
        <v>6.5</v>
      </c>
      <c r="T13" s="952">
        <v>5.3</v>
      </c>
      <c r="U13" s="995">
        <v>659436.32999999996</v>
      </c>
      <c r="V13" s="952">
        <v>7.5</v>
      </c>
      <c r="W13" s="952">
        <v>1.8</v>
      </c>
      <c r="X13" s="995">
        <v>531579.6</v>
      </c>
      <c r="Y13" s="952">
        <v>7.5</v>
      </c>
      <c r="Z13" s="952">
        <v>3.3</v>
      </c>
      <c r="AA13" s="995">
        <v>604767.77</v>
      </c>
      <c r="AB13" s="952">
        <v>7.5</v>
      </c>
      <c r="AC13" s="952">
        <v>5.3</v>
      </c>
      <c r="AD13" s="995">
        <v>661002.74</v>
      </c>
      <c r="AE13" s="952">
        <v>10</v>
      </c>
      <c r="AF13" s="952">
        <v>1.8</v>
      </c>
      <c r="AG13" s="995">
        <v>512652.11</v>
      </c>
      <c r="AH13" s="952">
        <v>10</v>
      </c>
      <c r="AI13" s="952">
        <v>3.3</v>
      </c>
      <c r="AJ13" s="995">
        <v>585840.28</v>
      </c>
      <c r="AK13" s="952">
        <v>10</v>
      </c>
      <c r="AL13" s="952">
        <v>5.3</v>
      </c>
      <c r="AM13" s="967">
        <v>642075.25</v>
      </c>
    </row>
    <row r="14" spans="1:39" ht="16.5" thickTop="1" thickBot="1">
      <c r="A14" s="987" t="s">
        <v>1529</v>
      </c>
      <c r="B14" s="354" t="s">
        <v>1555</v>
      </c>
      <c r="C14" s="918" t="s">
        <v>1611</v>
      </c>
      <c r="D14" s="993" t="s">
        <v>1557</v>
      </c>
      <c r="E14" s="967">
        <v>513849.31</v>
      </c>
      <c r="F14" s="967">
        <v>604767.77</v>
      </c>
      <c r="G14" s="995">
        <v>661002.74</v>
      </c>
      <c r="H14" s="967">
        <v>147153.43</v>
      </c>
      <c r="K14" t="s">
        <v>698</v>
      </c>
      <c r="L14" s="989" t="s">
        <v>705</v>
      </c>
      <c r="M14" s="952">
        <v>7.5</v>
      </c>
      <c r="N14" s="952">
        <v>1.8</v>
      </c>
      <c r="O14" s="995">
        <v>531438.04</v>
      </c>
      <c r="P14" s="952">
        <v>7.5</v>
      </c>
      <c r="Q14" s="952">
        <v>3.3</v>
      </c>
      <c r="R14" s="995">
        <v>604626.21</v>
      </c>
      <c r="S14" s="952">
        <v>7.5</v>
      </c>
      <c r="T14" s="952">
        <v>5.3</v>
      </c>
      <c r="U14" s="995">
        <v>660861.18000000005</v>
      </c>
      <c r="V14" s="952">
        <v>8</v>
      </c>
      <c r="W14" s="952">
        <v>1.8</v>
      </c>
      <c r="X14" s="995">
        <v>531579.6</v>
      </c>
      <c r="Y14" s="952">
        <v>8</v>
      </c>
      <c r="Z14" s="952">
        <v>3.3</v>
      </c>
      <c r="AA14" s="995">
        <v>604767.77</v>
      </c>
      <c r="AB14" s="952">
        <v>8</v>
      </c>
      <c r="AC14" s="952">
        <v>5.3</v>
      </c>
      <c r="AD14" s="995">
        <v>661002.74</v>
      </c>
      <c r="AE14" s="952">
        <v>11</v>
      </c>
      <c r="AF14" s="952">
        <v>1.8</v>
      </c>
      <c r="AG14" s="995">
        <v>513849.31</v>
      </c>
      <c r="AH14" s="952">
        <v>11</v>
      </c>
      <c r="AI14" s="952">
        <v>3.3</v>
      </c>
      <c r="AJ14" s="995">
        <v>587037.48</v>
      </c>
      <c r="AK14" s="952">
        <v>11</v>
      </c>
      <c r="AL14" s="952">
        <v>5.3</v>
      </c>
      <c r="AM14" s="967">
        <v>643272.44999999995</v>
      </c>
    </row>
    <row r="15" spans="1:39" ht="16.5" thickTop="1" thickBot="1">
      <c r="A15" s="986" t="s">
        <v>1544</v>
      </c>
      <c r="B15" s="982" t="s">
        <v>1560</v>
      </c>
      <c r="C15" t="s">
        <v>1612</v>
      </c>
      <c r="D15" s="989" t="s">
        <v>1562</v>
      </c>
      <c r="E15" s="967">
        <v>514194.67</v>
      </c>
      <c r="F15" s="967">
        <v>604767.77</v>
      </c>
      <c r="G15" s="995">
        <v>661002.74</v>
      </c>
      <c r="H15" s="967">
        <v>146808.07</v>
      </c>
      <c r="K15" t="s">
        <v>701</v>
      </c>
      <c r="L15" s="989" t="s">
        <v>705</v>
      </c>
      <c r="M15" s="952">
        <v>6.5</v>
      </c>
      <c r="N15" s="952">
        <v>1.8</v>
      </c>
      <c r="O15" s="995">
        <v>530140.85</v>
      </c>
      <c r="P15" s="952">
        <v>6.5</v>
      </c>
      <c r="Q15" s="952">
        <v>3.3</v>
      </c>
      <c r="R15" s="995">
        <v>603329.01</v>
      </c>
      <c r="S15" s="952">
        <v>6.5</v>
      </c>
      <c r="T15" s="952">
        <v>5.3</v>
      </c>
      <c r="U15" s="995">
        <v>659563.99</v>
      </c>
      <c r="V15" s="952">
        <v>7.5</v>
      </c>
      <c r="W15" s="952">
        <v>1.8</v>
      </c>
      <c r="X15" s="995">
        <v>531579.6</v>
      </c>
      <c r="Y15" s="952">
        <v>7.5</v>
      </c>
      <c r="Z15" s="952">
        <v>3.3</v>
      </c>
      <c r="AA15" s="995">
        <v>604767.77</v>
      </c>
      <c r="AB15" s="952">
        <v>7.5</v>
      </c>
      <c r="AC15" s="952">
        <v>5.3</v>
      </c>
      <c r="AD15" s="995">
        <v>661002.74</v>
      </c>
      <c r="AE15" s="952">
        <v>10</v>
      </c>
      <c r="AF15" s="952">
        <v>1.8</v>
      </c>
      <c r="AG15" s="995">
        <v>514194.67</v>
      </c>
      <c r="AH15" s="952">
        <v>10</v>
      </c>
      <c r="AI15" s="952">
        <v>3.3</v>
      </c>
      <c r="AJ15" s="995">
        <v>587382.84</v>
      </c>
      <c r="AK15" s="952">
        <v>10</v>
      </c>
      <c r="AL15" s="952">
        <v>5.3</v>
      </c>
      <c r="AM15" s="967">
        <v>643617.81999999995</v>
      </c>
    </row>
    <row r="16" spans="1:39" ht="16.5" thickTop="1" thickBot="1">
      <c r="A16" s="986" t="s">
        <v>1540</v>
      </c>
      <c r="B16" s="982" t="s">
        <v>1560</v>
      </c>
      <c r="C16" t="s">
        <v>1612</v>
      </c>
      <c r="D16" s="989" t="s">
        <v>1562</v>
      </c>
      <c r="E16" s="967">
        <v>518020.73</v>
      </c>
      <c r="F16" s="967">
        <v>604767.77</v>
      </c>
      <c r="G16" s="995">
        <v>661002.74</v>
      </c>
      <c r="H16" s="967">
        <v>142982.01</v>
      </c>
      <c r="K16" t="s">
        <v>700</v>
      </c>
      <c r="L16" s="989" t="s">
        <v>705</v>
      </c>
      <c r="M16" s="952">
        <v>6.5</v>
      </c>
      <c r="N16" s="952">
        <v>1.8</v>
      </c>
      <c r="O16" s="995">
        <v>530457.48</v>
      </c>
      <c r="P16" s="952">
        <v>6.5</v>
      </c>
      <c r="Q16" s="952">
        <v>3.3</v>
      </c>
      <c r="R16" s="995">
        <v>603645.65</v>
      </c>
      <c r="S16" s="952">
        <v>6.5</v>
      </c>
      <c r="T16" s="952">
        <v>5.3</v>
      </c>
      <c r="U16" s="995">
        <v>659880.63</v>
      </c>
      <c r="V16" s="952">
        <v>7.5</v>
      </c>
      <c r="W16" s="952">
        <v>1.8</v>
      </c>
      <c r="X16" s="995">
        <v>531579.6</v>
      </c>
      <c r="Y16" s="952">
        <v>7.5</v>
      </c>
      <c r="Z16" s="952">
        <v>3.3</v>
      </c>
      <c r="AA16" s="995">
        <v>604767.77</v>
      </c>
      <c r="AB16" s="952">
        <v>7.5</v>
      </c>
      <c r="AC16" s="952">
        <v>5.3</v>
      </c>
      <c r="AD16" s="995">
        <v>661002.74</v>
      </c>
      <c r="AE16" s="952">
        <v>10</v>
      </c>
      <c r="AF16" s="952">
        <v>1.8</v>
      </c>
      <c r="AG16" s="995">
        <v>518020.73</v>
      </c>
      <c r="AH16" s="952">
        <v>10</v>
      </c>
      <c r="AI16" s="952">
        <v>3.3</v>
      </c>
      <c r="AJ16" s="995">
        <v>591208.89</v>
      </c>
      <c r="AK16" s="952">
        <v>10</v>
      </c>
      <c r="AL16" s="952">
        <v>5.3</v>
      </c>
      <c r="AM16" s="967">
        <v>647443.87</v>
      </c>
    </row>
    <row r="17" spans="1:39" ht="16.5" thickTop="1" thickBot="1">
      <c r="A17" s="986" t="s">
        <v>1549</v>
      </c>
      <c r="B17" s="982" t="s">
        <v>1560</v>
      </c>
      <c r="C17" t="s">
        <v>1612</v>
      </c>
      <c r="D17" s="989" t="s">
        <v>1562</v>
      </c>
      <c r="E17" s="967">
        <v>518925.53</v>
      </c>
      <c r="F17" s="967">
        <v>604767.77</v>
      </c>
      <c r="G17" s="995">
        <v>661002.74</v>
      </c>
      <c r="H17" s="967">
        <v>142077.20999999996</v>
      </c>
      <c r="K17" t="s">
        <v>703</v>
      </c>
      <c r="L17" s="989" t="s">
        <v>705</v>
      </c>
      <c r="M17" s="952">
        <v>6.5</v>
      </c>
      <c r="N17" s="952">
        <v>1.8</v>
      </c>
      <c r="O17" s="995">
        <v>530532.36</v>
      </c>
      <c r="P17" s="952">
        <v>6.5</v>
      </c>
      <c r="Q17" s="952">
        <v>3.3</v>
      </c>
      <c r="R17" s="995">
        <v>603720.53</v>
      </c>
      <c r="S17" s="952">
        <v>6.5</v>
      </c>
      <c r="T17" s="952">
        <v>5.3</v>
      </c>
      <c r="U17" s="995">
        <v>659955.51</v>
      </c>
      <c r="V17" s="952">
        <v>7.5</v>
      </c>
      <c r="W17" s="952">
        <v>1.8</v>
      </c>
      <c r="X17" s="995">
        <v>531579.6</v>
      </c>
      <c r="Y17" s="952">
        <v>7.5</v>
      </c>
      <c r="Z17" s="952">
        <v>3.3</v>
      </c>
      <c r="AA17" s="995">
        <v>604767.77</v>
      </c>
      <c r="AB17" s="952">
        <v>7.5</v>
      </c>
      <c r="AC17" s="952">
        <v>5.3</v>
      </c>
      <c r="AD17" s="995">
        <v>661002.74</v>
      </c>
      <c r="AE17" s="952">
        <v>10</v>
      </c>
      <c r="AF17" s="952">
        <v>1.8</v>
      </c>
      <c r="AG17" s="995">
        <v>518925.53</v>
      </c>
      <c r="AH17" s="952">
        <v>10</v>
      </c>
      <c r="AI17" s="952">
        <v>3.3</v>
      </c>
      <c r="AJ17" s="995">
        <v>592113.69999999995</v>
      </c>
      <c r="AK17" s="952">
        <v>10</v>
      </c>
      <c r="AL17" s="952">
        <v>5.3</v>
      </c>
      <c r="AM17" s="967">
        <v>648348.68000000005</v>
      </c>
    </row>
    <row r="18" spans="1:39" ht="16.5" thickTop="1" thickBot="1">
      <c r="A18" s="986" t="s">
        <v>1534</v>
      </c>
      <c r="B18" s="982" t="s">
        <v>1555</v>
      </c>
      <c r="C18" t="s">
        <v>1611</v>
      </c>
      <c r="D18" s="989" t="s">
        <v>1557</v>
      </c>
      <c r="E18" s="967">
        <v>529187.57999999996</v>
      </c>
      <c r="F18" s="967">
        <v>604767.77</v>
      </c>
      <c r="G18" s="995">
        <v>648117.01</v>
      </c>
      <c r="H18" s="967">
        <v>118929.43000000005</v>
      </c>
      <c r="K18" t="s">
        <v>699</v>
      </c>
      <c r="L18" s="989" t="s">
        <v>704</v>
      </c>
      <c r="M18" s="952">
        <v>7.5</v>
      </c>
      <c r="N18" s="952">
        <v>1.8</v>
      </c>
      <c r="O18" s="995">
        <v>548256.06999999995</v>
      </c>
      <c r="P18" s="952">
        <v>7.5</v>
      </c>
      <c r="Q18" s="952">
        <v>3.3</v>
      </c>
      <c r="R18" s="995">
        <v>604673.82999999996</v>
      </c>
      <c r="S18" s="952">
        <v>7.5</v>
      </c>
      <c r="T18" s="952">
        <v>5.3</v>
      </c>
      <c r="U18" s="995">
        <v>648023.06999999995</v>
      </c>
      <c r="V18" s="952">
        <v>8</v>
      </c>
      <c r="W18" s="952">
        <v>1.8</v>
      </c>
      <c r="X18" s="995">
        <v>548350</v>
      </c>
      <c r="Y18" s="952">
        <v>8</v>
      </c>
      <c r="Z18" s="952">
        <v>3.3</v>
      </c>
      <c r="AA18" s="995">
        <v>604767.77</v>
      </c>
      <c r="AB18" s="952">
        <v>8</v>
      </c>
      <c r="AC18" s="952">
        <v>5.3</v>
      </c>
      <c r="AD18" s="995">
        <v>648117.01</v>
      </c>
      <c r="AE18" s="952">
        <v>11</v>
      </c>
      <c r="AF18" s="952">
        <v>1.8</v>
      </c>
      <c r="AG18" s="995">
        <v>529187.57999999996</v>
      </c>
      <c r="AH18" s="952">
        <v>11</v>
      </c>
      <c r="AI18" s="952">
        <v>3.3</v>
      </c>
      <c r="AJ18" s="995">
        <v>585605.34</v>
      </c>
      <c r="AK18" s="952">
        <v>11</v>
      </c>
      <c r="AL18" s="952">
        <v>5.3</v>
      </c>
      <c r="AM18" s="967">
        <v>628954.59</v>
      </c>
    </row>
    <row r="19" spans="1:39" ht="15.75" thickTop="1">
      <c r="A19" s="989" t="s">
        <v>1546</v>
      </c>
      <c r="B19" t="s">
        <v>1560</v>
      </c>
      <c r="C19" t="s">
        <v>1612</v>
      </c>
      <c r="D19" s="989" t="s">
        <v>1562</v>
      </c>
      <c r="E19" s="967">
        <v>529422.51</v>
      </c>
      <c r="F19" s="967">
        <v>604767.77</v>
      </c>
      <c r="G19" s="995">
        <v>648117.01</v>
      </c>
      <c r="H19" s="967">
        <v>118694.5</v>
      </c>
      <c r="K19" t="s">
        <v>702</v>
      </c>
      <c r="L19" s="989" t="s">
        <v>704</v>
      </c>
      <c r="M19" s="952">
        <v>6.5</v>
      </c>
      <c r="N19" s="952">
        <v>1.8</v>
      </c>
      <c r="O19" s="995">
        <v>546783.59</v>
      </c>
      <c r="P19" s="952">
        <v>6.5</v>
      </c>
      <c r="Q19" s="952">
        <v>3.3</v>
      </c>
      <c r="R19" s="995">
        <v>603201.35</v>
      </c>
      <c r="S19" s="952">
        <v>6.5</v>
      </c>
      <c r="T19" s="952">
        <v>5.3</v>
      </c>
      <c r="U19" s="995">
        <v>646550.59</v>
      </c>
      <c r="V19" s="952">
        <v>7.5</v>
      </c>
      <c r="W19" s="952">
        <v>1.8</v>
      </c>
      <c r="X19" s="995">
        <v>548350</v>
      </c>
      <c r="Y19" s="952">
        <v>7.5</v>
      </c>
      <c r="Z19" s="952">
        <v>3.3</v>
      </c>
      <c r="AA19" s="995">
        <v>604767.77</v>
      </c>
      <c r="AB19" s="952">
        <v>7.5</v>
      </c>
      <c r="AC19" s="952">
        <v>5.3</v>
      </c>
      <c r="AD19" s="995">
        <v>648117.01</v>
      </c>
      <c r="AE19" s="952">
        <v>10</v>
      </c>
      <c r="AF19" s="952">
        <v>1.8</v>
      </c>
      <c r="AG19" s="995">
        <v>529422.51</v>
      </c>
      <c r="AH19" s="952">
        <v>10</v>
      </c>
      <c r="AI19" s="952">
        <v>3.3</v>
      </c>
      <c r="AJ19" s="995">
        <v>585840.28</v>
      </c>
      <c r="AK19" s="952">
        <v>10</v>
      </c>
      <c r="AL19" s="952">
        <v>5.3</v>
      </c>
      <c r="AM19" s="967">
        <v>629189.52</v>
      </c>
    </row>
    <row r="20" spans="1:39">
      <c r="A20" s="988" t="s">
        <v>1528</v>
      </c>
      <c r="B20" s="355" t="s">
        <v>1555</v>
      </c>
      <c r="C20" s="918" t="s">
        <v>1611</v>
      </c>
      <c r="D20" s="993" t="s">
        <v>1557</v>
      </c>
      <c r="E20" s="967">
        <v>530619.71</v>
      </c>
      <c r="F20" s="967">
        <v>604767.77</v>
      </c>
      <c r="G20" s="995">
        <v>648117.01</v>
      </c>
      <c r="H20" s="967">
        <v>117497.30000000005</v>
      </c>
      <c r="K20" t="s">
        <v>698</v>
      </c>
      <c r="L20" s="989" t="s">
        <v>704</v>
      </c>
      <c r="M20" s="952">
        <v>7.5</v>
      </c>
      <c r="N20" s="952">
        <v>1.8</v>
      </c>
      <c r="O20" s="995">
        <v>548208.43999999994</v>
      </c>
      <c r="P20" s="952">
        <v>7.5</v>
      </c>
      <c r="Q20" s="952">
        <v>3.3</v>
      </c>
      <c r="R20" s="995">
        <v>604626.21</v>
      </c>
      <c r="S20" s="952">
        <v>7.5</v>
      </c>
      <c r="T20" s="952">
        <v>5.3</v>
      </c>
      <c r="U20" s="995">
        <v>647975.44999999995</v>
      </c>
      <c r="V20" s="952">
        <v>8</v>
      </c>
      <c r="W20" s="952">
        <v>1.8</v>
      </c>
      <c r="X20" s="995">
        <v>548350</v>
      </c>
      <c r="Y20" s="952">
        <v>8</v>
      </c>
      <c r="Z20" s="952">
        <v>3.3</v>
      </c>
      <c r="AA20" s="995">
        <v>604767.77</v>
      </c>
      <c r="AB20" s="952">
        <v>8</v>
      </c>
      <c r="AC20" s="952">
        <v>5.3</v>
      </c>
      <c r="AD20" s="995">
        <v>648117.01</v>
      </c>
      <c r="AE20" s="952">
        <v>11</v>
      </c>
      <c r="AF20" s="952">
        <v>1.8</v>
      </c>
      <c r="AG20" s="995">
        <v>530619.71</v>
      </c>
      <c r="AH20" s="952">
        <v>11</v>
      </c>
      <c r="AI20" s="952">
        <v>3.3</v>
      </c>
      <c r="AJ20" s="995">
        <v>587037.48</v>
      </c>
      <c r="AK20" s="952">
        <v>11</v>
      </c>
      <c r="AL20" s="952">
        <v>5.3</v>
      </c>
      <c r="AM20" s="967">
        <v>630386.72</v>
      </c>
    </row>
    <row r="21" spans="1:39">
      <c r="A21" s="989" t="s">
        <v>1543</v>
      </c>
      <c r="B21" t="s">
        <v>1560</v>
      </c>
      <c r="C21" t="s">
        <v>1612</v>
      </c>
      <c r="D21" s="989" t="s">
        <v>1562</v>
      </c>
      <c r="E21" s="967">
        <v>530965.07999999996</v>
      </c>
      <c r="F21" s="967">
        <v>604767.77</v>
      </c>
      <c r="G21" s="995">
        <v>648117.01</v>
      </c>
      <c r="H21" s="967">
        <v>117151.93000000005</v>
      </c>
      <c r="K21" t="s">
        <v>701</v>
      </c>
      <c r="L21" s="989" t="s">
        <v>704</v>
      </c>
      <c r="M21" s="952">
        <v>6.5</v>
      </c>
      <c r="N21" s="952">
        <v>1.8</v>
      </c>
      <c r="O21" s="995">
        <v>546911.25</v>
      </c>
      <c r="P21" s="952">
        <v>6.5</v>
      </c>
      <c r="Q21" s="952">
        <v>3.3</v>
      </c>
      <c r="R21" s="995">
        <v>603329.01</v>
      </c>
      <c r="S21" s="952">
        <v>6.5</v>
      </c>
      <c r="T21" s="952">
        <v>5.3</v>
      </c>
      <c r="U21" s="995">
        <v>646678.26</v>
      </c>
      <c r="V21" s="952">
        <v>7.5</v>
      </c>
      <c r="W21" s="952">
        <v>1.8</v>
      </c>
      <c r="X21" s="995">
        <v>548350</v>
      </c>
      <c r="Y21" s="952">
        <v>7.5</v>
      </c>
      <c r="Z21" s="952">
        <v>3.3</v>
      </c>
      <c r="AA21" s="995">
        <v>604767.77</v>
      </c>
      <c r="AB21" s="952">
        <v>7.5</v>
      </c>
      <c r="AC21" s="952">
        <v>5.3</v>
      </c>
      <c r="AD21" s="995">
        <v>648117.01</v>
      </c>
      <c r="AE21" s="952">
        <v>10</v>
      </c>
      <c r="AF21" s="952">
        <v>1.8</v>
      </c>
      <c r="AG21" s="995">
        <v>530965.07999999996</v>
      </c>
      <c r="AH21" s="952">
        <v>10</v>
      </c>
      <c r="AI21" s="952">
        <v>3.3</v>
      </c>
      <c r="AJ21" s="995">
        <v>587382.84</v>
      </c>
      <c r="AK21" s="952">
        <v>10</v>
      </c>
      <c r="AL21" s="952">
        <v>5.3</v>
      </c>
      <c r="AM21" s="967">
        <v>630732.07999999996</v>
      </c>
    </row>
    <row r="22" spans="1:39">
      <c r="A22" s="989" t="s">
        <v>1539</v>
      </c>
      <c r="B22" t="s">
        <v>1560</v>
      </c>
      <c r="C22" t="s">
        <v>1612</v>
      </c>
      <c r="D22" s="989" t="s">
        <v>1562</v>
      </c>
      <c r="E22" s="967">
        <v>534791.13</v>
      </c>
      <c r="F22" s="967">
        <v>604767.77</v>
      </c>
      <c r="G22" s="995">
        <v>648117.01</v>
      </c>
      <c r="H22" s="967">
        <v>113325.88</v>
      </c>
      <c r="K22" t="s">
        <v>700</v>
      </c>
      <c r="L22" s="989" t="s">
        <v>704</v>
      </c>
      <c r="M22" s="952">
        <v>6.5</v>
      </c>
      <c r="N22" s="952">
        <v>1.8</v>
      </c>
      <c r="O22" s="995">
        <v>547227.89</v>
      </c>
      <c r="P22" s="952">
        <v>6.5</v>
      </c>
      <c r="Q22" s="952">
        <v>3.3</v>
      </c>
      <c r="R22" s="995">
        <v>603645.65</v>
      </c>
      <c r="S22" s="952">
        <v>6.5</v>
      </c>
      <c r="T22" s="952">
        <v>5.3</v>
      </c>
      <c r="U22" s="995">
        <v>646994.89</v>
      </c>
      <c r="V22" s="952">
        <v>7.5</v>
      </c>
      <c r="W22" s="952">
        <v>1.8</v>
      </c>
      <c r="X22" s="995">
        <v>548350</v>
      </c>
      <c r="Y22" s="952">
        <v>7.5</v>
      </c>
      <c r="Z22" s="952">
        <v>3.3</v>
      </c>
      <c r="AA22" s="995">
        <v>604767.77</v>
      </c>
      <c r="AB22" s="952">
        <v>7.5</v>
      </c>
      <c r="AC22" s="952">
        <v>5.3</v>
      </c>
      <c r="AD22" s="995">
        <v>648117.01</v>
      </c>
      <c r="AE22" s="952">
        <v>10</v>
      </c>
      <c r="AF22" s="952">
        <v>1.8</v>
      </c>
      <c r="AG22" s="995">
        <v>534791.13</v>
      </c>
      <c r="AH22" s="952">
        <v>10</v>
      </c>
      <c r="AI22" s="952">
        <v>3.3</v>
      </c>
      <c r="AJ22" s="995">
        <v>591208.89</v>
      </c>
      <c r="AK22" s="952">
        <v>10</v>
      </c>
      <c r="AL22" s="952">
        <v>5.3</v>
      </c>
      <c r="AM22" s="967">
        <v>634558.14</v>
      </c>
    </row>
    <row r="23" spans="1:39">
      <c r="A23" s="989" t="s">
        <v>1548</v>
      </c>
      <c r="B23" t="s">
        <v>1560</v>
      </c>
      <c r="C23" t="s">
        <v>1612</v>
      </c>
      <c r="D23" s="989" t="s">
        <v>1562</v>
      </c>
      <c r="E23" s="967">
        <v>535695.93999999994</v>
      </c>
      <c r="F23" s="967">
        <v>604767.77</v>
      </c>
      <c r="G23" s="995">
        <v>648117.01</v>
      </c>
      <c r="H23" s="967">
        <v>112421.07000000007</v>
      </c>
      <c r="K23" t="s">
        <v>703</v>
      </c>
      <c r="L23" s="989" t="s">
        <v>704</v>
      </c>
      <c r="M23" s="952">
        <v>6.5</v>
      </c>
      <c r="N23" s="952">
        <v>1.8</v>
      </c>
      <c r="O23" s="995">
        <v>547302.77</v>
      </c>
      <c r="P23" s="952">
        <v>6.5</v>
      </c>
      <c r="Q23" s="952">
        <v>3.3</v>
      </c>
      <c r="R23" s="995">
        <v>603720.53</v>
      </c>
      <c r="S23" s="952">
        <v>6.5</v>
      </c>
      <c r="T23" s="952">
        <v>5.3</v>
      </c>
      <c r="U23" s="995">
        <v>647069.77</v>
      </c>
      <c r="V23" s="952">
        <v>7.5</v>
      </c>
      <c r="W23" s="952">
        <v>1.8</v>
      </c>
      <c r="X23" s="995">
        <v>548350</v>
      </c>
      <c r="Y23" s="952">
        <v>7.5</v>
      </c>
      <c r="Z23" s="952">
        <v>3.3</v>
      </c>
      <c r="AA23" s="995">
        <v>604767.77</v>
      </c>
      <c r="AB23" s="952">
        <v>7.5</v>
      </c>
      <c r="AC23" s="952">
        <v>5.3</v>
      </c>
      <c r="AD23" s="995">
        <v>648117.01</v>
      </c>
      <c r="AE23" s="952">
        <v>10</v>
      </c>
      <c r="AF23" s="952">
        <v>1.8</v>
      </c>
      <c r="AG23" s="995">
        <v>535695.93999999994</v>
      </c>
      <c r="AH23" s="952">
        <v>10</v>
      </c>
      <c r="AI23" s="952">
        <v>3.3</v>
      </c>
      <c r="AJ23" s="995">
        <v>592113.69999999995</v>
      </c>
      <c r="AK23" s="952">
        <v>10</v>
      </c>
      <c r="AL23" s="952">
        <v>5.3</v>
      </c>
      <c r="AM23" s="967">
        <v>635462.93999999994</v>
      </c>
    </row>
    <row r="24" spans="1:39">
      <c r="A24" s="989" t="s">
        <v>1532</v>
      </c>
      <c r="B24" t="s">
        <v>1553</v>
      </c>
      <c r="C24" t="s">
        <v>1554</v>
      </c>
      <c r="D24" s="989" t="s">
        <v>1554</v>
      </c>
      <c r="E24" s="967">
        <v>566677.85</v>
      </c>
      <c r="F24" s="967">
        <v>604767.77</v>
      </c>
      <c r="G24" s="995">
        <v>604767.77</v>
      </c>
      <c r="H24" s="967">
        <v>38089.920000000042</v>
      </c>
      <c r="K24" t="s">
        <v>699</v>
      </c>
      <c r="L24" s="989" t="s">
        <v>702</v>
      </c>
      <c r="M24" s="952">
        <v>7.5</v>
      </c>
      <c r="N24" s="952">
        <v>6.5</v>
      </c>
      <c r="O24" s="995">
        <v>603107.42000000004</v>
      </c>
      <c r="P24" s="952">
        <v>7.5</v>
      </c>
      <c r="Q24" s="952">
        <v>7.5</v>
      </c>
      <c r="R24" s="995">
        <v>604673.82999999996</v>
      </c>
      <c r="S24" s="952">
        <v>7.5</v>
      </c>
      <c r="T24" s="952">
        <v>10</v>
      </c>
      <c r="U24" s="995">
        <v>585746.34</v>
      </c>
      <c r="V24" s="952">
        <v>8</v>
      </c>
      <c r="W24" s="952">
        <v>6.5</v>
      </c>
      <c r="X24" s="995">
        <v>603201.35</v>
      </c>
      <c r="Y24" s="952">
        <v>8</v>
      </c>
      <c r="Z24" s="952">
        <v>7.5</v>
      </c>
      <c r="AA24" s="995">
        <v>604767.77</v>
      </c>
      <c r="AB24" s="952">
        <v>8</v>
      </c>
      <c r="AC24" s="952">
        <v>10</v>
      </c>
      <c r="AD24" s="995">
        <v>585840.28</v>
      </c>
      <c r="AE24" s="952">
        <v>11</v>
      </c>
      <c r="AF24" s="952">
        <v>6.5</v>
      </c>
      <c r="AG24" s="995">
        <v>584038.93000000005</v>
      </c>
      <c r="AH24" s="952">
        <v>11</v>
      </c>
      <c r="AI24" s="952">
        <v>7.5</v>
      </c>
      <c r="AJ24" s="995">
        <v>585605.34</v>
      </c>
      <c r="AK24" s="952">
        <v>11</v>
      </c>
      <c r="AL24" s="952">
        <v>10</v>
      </c>
      <c r="AM24" s="967">
        <v>566677.85</v>
      </c>
    </row>
    <row r="25" spans="1:39">
      <c r="A25" s="990" t="s">
        <v>1523</v>
      </c>
      <c r="B25" s="355" t="s">
        <v>1551</v>
      </c>
      <c r="C25" s="918" t="s">
        <v>1552</v>
      </c>
      <c r="D25" s="993" t="s">
        <v>1552</v>
      </c>
      <c r="E25" s="967">
        <v>567875.06000000006</v>
      </c>
      <c r="F25" s="967">
        <v>604767.77</v>
      </c>
      <c r="G25" s="995">
        <v>604767.77</v>
      </c>
      <c r="H25" s="967">
        <v>36892.709999999963</v>
      </c>
      <c r="K25" t="s">
        <v>698</v>
      </c>
      <c r="L25" s="989" t="s">
        <v>699</v>
      </c>
      <c r="M25" s="952">
        <v>7.5</v>
      </c>
      <c r="N25" s="952">
        <v>7.5</v>
      </c>
      <c r="O25" s="995">
        <v>604532.27</v>
      </c>
      <c r="P25" s="952">
        <v>7.5</v>
      </c>
      <c r="Q25" s="952">
        <v>8</v>
      </c>
      <c r="R25" s="995">
        <v>604626.21</v>
      </c>
      <c r="S25" s="952">
        <v>7.5</v>
      </c>
      <c r="T25" s="952">
        <v>11</v>
      </c>
      <c r="U25" s="995">
        <v>585463.79</v>
      </c>
      <c r="V25" s="952">
        <v>8</v>
      </c>
      <c r="W25" s="952">
        <v>7.5</v>
      </c>
      <c r="X25" s="995">
        <v>604673.82999999996</v>
      </c>
      <c r="Y25" s="952">
        <v>8</v>
      </c>
      <c r="Z25" s="952">
        <v>8</v>
      </c>
      <c r="AA25" s="995">
        <v>604767.77</v>
      </c>
      <c r="AB25" s="952">
        <v>8</v>
      </c>
      <c r="AC25" s="952">
        <v>11</v>
      </c>
      <c r="AD25" s="995">
        <v>585605.34</v>
      </c>
      <c r="AE25" s="952">
        <v>11</v>
      </c>
      <c r="AF25" s="952">
        <v>7.5</v>
      </c>
      <c r="AG25" s="995">
        <v>586943.54</v>
      </c>
      <c r="AH25" s="952">
        <v>11</v>
      </c>
      <c r="AI25" s="952">
        <v>8</v>
      </c>
      <c r="AJ25" s="995">
        <v>587037.48</v>
      </c>
      <c r="AK25" s="952">
        <v>11</v>
      </c>
      <c r="AL25" s="952">
        <v>11</v>
      </c>
      <c r="AM25" s="967">
        <v>567875.06000000006</v>
      </c>
    </row>
    <row r="26" spans="1:39">
      <c r="A26" s="990" t="s">
        <v>1526</v>
      </c>
      <c r="B26" s="355" t="s">
        <v>1553</v>
      </c>
      <c r="C26" s="918" t="s">
        <v>1554</v>
      </c>
      <c r="D26" s="993" t="s">
        <v>1554</v>
      </c>
      <c r="E26" s="967">
        <v>568109.99</v>
      </c>
      <c r="F26" s="967">
        <v>604767.77</v>
      </c>
      <c r="G26" s="995">
        <v>604767.77</v>
      </c>
      <c r="H26" s="967">
        <v>36657.780000000028</v>
      </c>
      <c r="K26" t="s">
        <v>698</v>
      </c>
      <c r="L26" s="989" t="s">
        <v>702</v>
      </c>
      <c r="M26" s="952">
        <v>7.5</v>
      </c>
      <c r="N26" s="952">
        <v>6.5</v>
      </c>
      <c r="O26" s="995">
        <v>603059.79</v>
      </c>
      <c r="P26" s="952">
        <v>7.5</v>
      </c>
      <c r="Q26" s="952">
        <v>7.5</v>
      </c>
      <c r="R26" s="995">
        <v>604626.21</v>
      </c>
      <c r="S26" s="952">
        <v>7.5</v>
      </c>
      <c r="T26" s="952">
        <v>10</v>
      </c>
      <c r="U26" s="995">
        <v>585698.72</v>
      </c>
      <c r="V26" s="952">
        <v>8</v>
      </c>
      <c r="W26" s="952">
        <v>6.5</v>
      </c>
      <c r="X26" s="995">
        <v>603201.35</v>
      </c>
      <c r="Y26" s="952">
        <v>8</v>
      </c>
      <c r="Z26" s="952">
        <v>7.5</v>
      </c>
      <c r="AA26" s="995">
        <v>604767.77</v>
      </c>
      <c r="AB26" s="952">
        <v>8</v>
      </c>
      <c r="AC26" s="952">
        <v>10</v>
      </c>
      <c r="AD26" s="995">
        <v>585840.28</v>
      </c>
      <c r="AE26" s="952">
        <v>11</v>
      </c>
      <c r="AF26" s="952">
        <v>6.5</v>
      </c>
      <c r="AG26" s="995">
        <v>585471.06000000006</v>
      </c>
      <c r="AH26" s="952">
        <v>11</v>
      </c>
      <c r="AI26" s="952">
        <v>7.5</v>
      </c>
      <c r="AJ26" s="995">
        <v>587037.48</v>
      </c>
      <c r="AK26" s="952">
        <v>11</v>
      </c>
      <c r="AL26" s="952">
        <v>10</v>
      </c>
      <c r="AM26" s="967">
        <v>568109.99</v>
      </c>
    </row>
    <row r="27" spans="1:39">
      <c r="A27" s="989" t="s">
        <v>1531</v>
      </c>
      <c r="B27" t="s">
        <v>1553</v>
      </c>
      <c r="C27" t="s">
        <v>1554</v>
      </c>
      <c r="D27" s="989" t="s">
        <v>1554</v>
      </c>
      <c r="E27" s="967">
        <v>568220.42000000004</v>
      </c>
      <c r="F27" s="967">
        <v>604767.77</v>
      </c>
      <c r="G27" s="995">
        <v>604767.77</v>
      </c>
      <c r="H27" s="967">
        <v>36547.349999999977</v>
      </c>
      <c r="K27" t="s">
        <v>699</v>
      </c>
      <c r="L27" s="989" t="s">
        <v>701</v>
      </c>
      <c r="M27" s="952">
        <v>7.5</v>
      </c>
      <c r="N27" s="952">
        <v>6.5</v>
      </c>
      <c r="O27" s="995">
        <v>603235.07999999996</v>
      </c>
      <c r="P27" s="952">
        <v>7.5</v>
      </c>
      <c r="Q27" s="952">
        <v>7.5</v>
      </c>
      <c r="R27" s="995">
        <v>604673.82999999996</v>
      </c>
      <c r="S27" s="952">
        <v>7.5</v>
      </c>
      <c r="T27" s="952">
        <v>10</v>
      </c>
      <c r="U27" s="995">
        <v>587288.91</v>
      </c>
      <c r="V27" s="952">
        <v>8</v>
      </c>
      <c r="W27" s="952">
        <v>6.5</v>
      </c>
      <c r="X27" s="995">
        <v>603329.01</v>
      </c>
      <c r="Y27" s="952">
        <v>8</v>
      </c>
      <c r="Z27" s="952">
        <v>7.5</v>
      </c>
      <c r="AA27" s="995">
        <v>604767.77</v>
      </c>
      <c r="AB27" s="952">
        <v>8</v>
      </c>
      <c r="AC27" s="952">
        <v>10</v>
      </c>
      <c r="AD27" s="995">
        <v>587382.84</v>
      </c>
      <c r="AE27" s="952">
        <v>11</v>
      </c>
      <c r="AF27" s="952">
        <v>6.5</v>
      </c>
      <c r="AG27" s="995">
        <v>584166.59</v>
      </c>
      <c r="AH27" s="952">
        <v>11</v>
      </c>
      <c r="AI27" s="952">
        <v>7.5</v>
      </c>
      <c r="AJ27" s="995">
        <v>585605.34</v>
      </c>
      <c r="AK27" s="952">
        <v>11</v>
      </c>
      <c r="AL27" s="952">
        <v>10</v>
      </c>
      <c r="AM27" s="967">
        <v>568220.42000000004</v>
      </c>
    </row>
    <row r="28" spans="1:39">
      <c r="A28" s="989" t="s">
        <v>1541</v>
      </c>
      <c r="B28" t="s">
        <v>1558</v>
      </c>
      <c r="C28" t="s">
        <v>1559</v>
      </c>
      <c r="D28" s="989" t="s">
        <v>1559</v>
      </c>
      <c r="E28" s="967">
        <v>568455.35</v>
      </c>
      <c r="F28" s="967">
        <v>604767.77</v>
      </c>
      <c r="G28" s="995">
        <v>604767.77</v>
      </c>
      <c r="H28" s="967">
        <v>36312.420000000042</v>
      </c>
      <c r="K28" t="s">
        <v>701</v>
      </c>
      <c r="L28" s="989" t="s">
        <v>702</v>
      </c>
      <c r="M28" s="952">
        <v>6.5</v>
      </c>
      <c r="N28" s="952">
        <v>6.5</v>
      </c>
      <c r="O28" s="995">
        <v>601762.6</v>
      </c>
      <c r="P28" s="952">
        <v>6.5</v>
      </c>
      <c r="Q28" s="952">
        <v>7.5</v>
      </c>
      <c r="R28" s="995">
        <v>603329.01</v>
      </c>
      <c r="S28" s="952">
        <v>6.5</v>
      </c>
      <c r="T28" s="952">
        <v>10</v>
      </c>
      <c r="U28" s="995">
        <v>584401.52</v>
      </c>
      <c r="V28" s="952">
        <v>7.5</v>
      </c>
      <c r="W28" s="952">
        <v>6.5</v>
      </c>
      <c r="X28" s="995">
        <v>603201.35</v>
      </c>
      <c r="Y28" s="952">
        <v>7.5</v>
      </c>
      <c r="Z28" s="952">
        <v>7.5</v>
      </c>
      <c r="AA28" s="995">
        <v>604767.77</v>
      </c>
      <c r="AB28" s="952">
        <v>7.5</v>
      </c>
      <c r="AC28" s="952">
        <v>10</v>
      </c>
      <c r="AD28" s="995">
        <v>585840.28</v>
      </c>
      <c r="AE28" s="952">
        <v>10</v>
      </c>
      <c r="AF28" s="952">
        <v>6.5</v>
      </c>
      <c r="AG28" s="995">
        <v>585816.43000000005</v>
      </c>
      <c r="AH28" s="952">
        <v>10</v>
      </c>
      <c r="AI28" s="952">
        <v>7.5</v>
      </c>
      <c r="AJ28" s="995">
        <v>587382.84</v>
      </c>
      <c r="AK28" s="952">
        <v>10</v>
      </c>
      <c r="AL28" s="952">
        <v>10</v>
      </c>
      <c r="AM28" s="967">
        <v>568455.35</v>
      </c>
    </row>
    <row r="29" spans="1:39">
      <c r="A29" s="990" t="s">
        <v>1525</v>
      </c>
      <c r="B29" s="355" t="s">
        <v>1553</v>
      </c>
      <c r="C29" s="918" t="s">
        <v>1554</v>
      </c>
      <c r="D29" s="993" t="s">
        <v>1554</v>
      </c>
      <c r="E29" s="967">
        <v>569652.55000000005</v>
      </c>
      <c r="F29" s="967">
        <v>604767.77</v>
      </c>
      <c r="G29" s="995">
        <v>604767.77</v>
      </c>
      <c r="H29" s="967">
        <v>35115.219999999972</v>
      </c>
      <c r="K29" t="s">
        <v>698</v>
      </c>
      <c r="L29" s="989" t="s">
        <v>701</v>
      </c>
      <c r="M29" s="952">
        <v>7.5</v>
      </c>
      <c r="N29" s="952">
        <v>6.5</v>
      </c>
      <c r="O29" s="995">
        <v>603187.46</v>
      </c>
      <c r="P29" s="952">
        <v>7.5</v>
      </c>
      <c r="Q29" s="952">
        <v>7.5</v>
      </c>
      <c r="R29" s="995">
        <v>604626.21</v>
      </c>
      <c r="S29" s="952">
        <v>7.5</v>
      </c>
      <c r="T29" s="952">
        <v>10</v>
      </c>
      <c r="U29" s="995">
        <v>587241.28</v>
      </c>
      <c r="V29" s="952">
        <v>8</v>
      </c>
      <c r="W29" s="952">
        <v>6.5</v>
      </c>
      <c r="X29" s="995">
        <v>603329.01</v>
      </c>
      <c r="Y29" s="952">
        <v>8</v>
      </c>
      <c r="Z29" s="952">
        <v>7.5</v>
      </c>
      <c r="AA29" s="995">
        <v>604767.77</v>
      </c>
      <c r="AB29" s="952">
        <v>8</v>
      </c>
      <c r="AC29" s="952">
        <v>10</v>
      </c>
      <c r="AD29" s="995">
        <v>587382.84</v>
      </c>
      <c r="AE29" s="952">
        <v>11</v>
      </c>
      <c r="AF29" s="952">
        <v>6.5</v>
      </c>
      <c r="AG29" s="995">
        <v>585598.71999999997</v>
      </c>
      <c r="AH29" s="952">
        <v>11</v>
      </c>
      <c r="AI29" s="952">
        <v>7.5</v>
      </c>
      <c r="AJ29" s="995">
        <v>587037.48</v>
      </c>
      <c r="AK29" s="952">
        <v>11</v>
      </c>
      <c r="AL29" s="952">
        <v>10</v>
      </c>
      <c r="AM29" s="967">
        <v>569652.55000000005</v>
      </c>
    </row>
    <row r="30" spans="1:39">
      <c r="A30" s="988" t="s">
        <v>1530</v>
      </c>
      <c r="B30" s="355" t="s">
        <v>1553</v>
      </c>
      <c r="C30" s="918" t="s">
        <v>1554</v>
      </c>
      <c r="D30" s="993" t="s">
        <v>1554</v>
      </c>
      <c r="E30" s="967">
        <v>572046.47</v>
      </c>
      <c r="F30" s="967">
        <v>604767.77</v>
      </c>
      <c r="G30" s="995">
        <v>604767.77</v>
      </c>
      <c r="H30" s="967">
        <v>32721.300000000047</v>
      </c>
      <c r="K30" t="s">
        <v>699</v>
      </c>
      <c r="L30" s="989" t="s">
        <v>700</v>
      </c>
      <c r="M30" s="952">
        <v>7.5</v>
      </c>
      <c r="N30" s="952">
        <v>6.5</v>
      </c>
      <c r="O30" s="995">
        <v>603551.72</v>
      </c>
      <c r="P30" s="952">
        <v>7.5</v>
      </c>
      <c r="Q30" s="952">
        <v>7.5</v>
      </c>
      <c r="R30" s="995">
        <v>604673.82999999996</v>
      </c>
      <c r="S30" s="952">
        <v>7.5</v>
      </c>
      <c r="T30" s="952">
        <v>10</v>
      </c>
      <c r="U30" s="995">
        <v>591114.96</v>
      </c>
      <c r="V30" s="952">
        <v>8</v>
      </c>
      <c r="W30" s="952">
        <v>6.5</v>
      </c>
      <c r="X30" s="995">
        <v>603645.65</v>
      </c>
      <c r="Y30" s="952">
        <v>8</v>
      </c>
      <c r="Z30" s="952">
        <v>7.5</v>
      </c>
      <c r="AA30" s="995">
        <v>604767.77</v>
      </c>
      <c r="AB30" s="952">
        <v>8</v>
      </c>
      <c r="AC30" s="952">
        <v>10</v>
      </c>
      <c r="AD30" s="995">
        <v>591208.89</v>
      </c>
      <c r="AE30" s="952">
        <v>11</v>
      </c>
      <c r="AF30" s="952">
        <v>6.5</v>
      </c>
      <c r="AG30" s="995">
        <v>584483.23</v>
      </c>
      <c r="AH30" s="952">
        <v>11</v>
      </c>
      <c r="AI30" s="952">
        <v>7.5</v>
      </c>
      <c r="AJ30" s="995">
        <v>585605.34</v>
      </c>
      <c r="AK30" s="952">
        <v>11</v>
      </c>
      <c r="AL30" s="952">
        <v>10</v>
      </c>
      <c r="AM30" s="967">
        <v>572046.47</v>
      </c>
    </row>
    <row r="31" spans="1:39">
      <c r="A31" s="989" t="s">
        <v>1537</v>
      </c>
      <c r="B31" t="s">
        <v>1558</v>
      </c>
      <c r="C31" t="s">
        <v>1559</v>
      </c>
      <c r="D31" s="989" t="s">
        <v>1559</v>
      </c>
      <c r="E31" s="967">
        <v>572281.41</v>
      </c>
      <c r="F31" s="967">
        <v>604767.77</v>
      </c>
      <c r="G31" s="995">
        <v>604767.77</v>
      </c>
      <c r="H31" s="967">
        <v>32486.359999999986</v>
      </c>
      <c r="K31" t="s">
        <v>700</v>
      </c>
      <c r="L31" s="989" t="s">
        <v>702</v>
      </c>
      <c r="M31" s="952">
        <v>6.5</v>
      </c>
      <c r="N31" s="952">
        <v>6.5</v>
      </c>
      <c r="O31" s="995">
        <v>602079.24</v>
      </c>
      <c r="P31" s="952">
        <v>6.5</v>
      </c>
      <c r="Q31" s="952">
        <v>7.5</v>
      </c>
      <c r="R31" s="995">
        <v>603645.65</v>
      </c>
      <c r="S31" s="952">
        <v>6.5</v>
      </c>
      <c r="T31" s="952">
        <v>10</v>
      </c>
      <c r="U31" s="995">
        <v>584718.16</v>
      </c>
      <c r="V31" s="952">
        <v>7.5</v>
      </c>
      <c r="W31" s="952">
        <v>6.5</v>
      </c>
      <c r="X31" s="995">
        <v>603201.35</v>
      </c>
      <c r="Y31" s="952">
        <v>7.5</v>
      </c>
      <c r="Z31" s="952">
        <v>7.5</v>
      </c>
      <c r="AA31" s="995">
        <v>604767.77</v>
      </c>
      <c r="AB31" s="952">
        <v>7.5</v>
      </c>
      <c r="AC31" s="952">
        <v>10</v>
      </c>
      <c r="AD31" s="995">
        <v>585840.28</v>
      </c>
      <c r="AE31" s="952">
        <v>10</v>
      </c>
      <c r="AF31" s="952">
        <v>6.5</v>
      </c>
      <c r="AG31" s="995">
        <v>589642.48</v>
      </c>
      <c r="AH31" s="952">
        <v>10</v>
      </c>
      <c r="AI31" s="952">
        <v>7.5</v>
      </c>
      <c r="AJ31" s="995">
        <v>591208.89</v>
      </c>
      <c r="AK31" s="952">
        <v>10</v>
      </c>
      <c r="AL31" s="952">
        <v>10</v>
      </c>
      <c r="AM31" s="967">
        <v>572281.41</v>
      </c>
    </row>
    <row r="32" spans="1:39">
      <c r="A32" s="989" t="s">
        <v>1533</v>
      </c>
      <c r="B32" t="s">
        <v>1553</v>
      </c>
      <c r="C32" t="s">
        <v>1554</v>
      </c>
      <c r="D32" s="989" t="s">
        <v>1554</v>
      </c>
      <c r="E32" s="967">
        <v>572951.28</v>
      </c>
      <c r="F32" s="967">
        <v>604767.77</v>
      </c>
      <c r="G32" s="995">
        <v>604767.77</v>
      </c>
      <c r="H32" s="967">
        <v>31816.489999999991</v>
      </c>
      <c r="K32" t="s">
        <v>699</v>
      </c>
      <c r="L32" s="989" t="s">
        <v>703</v>
      </c>
      <c r="M32" s="952">
        <v>7.5</v>
      </c>
      <c r="N32" s="952">
        <v>6.5</v>
      </c>
      <c r="O32" s="995">
        <v>603626.6</v>
      </c>
      <c r="P32" s="952">
        <v>7.5</v>
      </c>
      <c r="Q32" s="952">
        <v>7.5</v>
      </c>
      <c r="R32" s="995">
        <v>604673.82999999996</v>
      </c>
      <c r="S32" s="952">
        <v>7.5</v>
      </c>
      <c r="T32" s="952">
        <v>10</v>
      </c>
      <c r="U32" s="995">
        <v>592019.77</v>
      </c>
      <c r="V32" s="952">
        <v>8</v>
      </c>
      <c r="W32" s="952">
        <v>6.5</v>
      </c>
      <c r="X32" s="995">
        <v>603720.53</v>
      </c>
      <c r="Y32" s="952">
        <v>8</v>
      </c>
      <c r="Z32" s="952">
        <v>7.5</v>
      </c>
      <c r="AA32" s="995">
        <v>604767.77</v>
      </c>
      <c r="AB32" s="952">
        <v>8</v>
      </c>
      <c r="AC32" s="952">
        <v>10</v>
      </c>
      <c r="AD32" s="995">
        <v>592113.69999999995</v>
      </c>
      <c r="AE32" s="952">
        <v>11</v>
      </c>
      <c r="AF32" s="952">
        <v>6.5</v>
      </c>
      <c r="AG32" s="995">
        <v>584558.11</v>
      </c>
      <c r="AH32" s="952">
        <v>11</v>
      </c>
      <c r="AI32" s="952">
        <v>7.5</v>
      </c>
      <c r="AJ32" s="995">
        <v>585605.34</v>
      </c>
      <c r="AK32" s="952">
        <v>11</v>
      </c>
      <c r="AL32" s="952">
        <v>10</v>
      </c>
      <c r="AM32" s="967">
        <v>572951.28</v>
      </c>
    </row>
    <row r="33" spans="1:39">
      <c r="A33" s="989" t="s">
        <v>1545</v>
      </c>
      <c r="B33" t="s">
        <v>1558</v>
      </c>
      <c r="C33" t="s">
        <v>1559</v>
      </c>
      <c r="D33" s="989" t="s">
        <v>1559</v>
      </c>
      <c r="E33" s="967">
        <v>573186.21</v>
      </c>
      <c r="F33" s="967">
        <v>604767.77</v>
      </c>
      <c r="G33" s="995">
        <v>604767.77</v>
      </c>
      <c r="H33" s="967">
        <v>31581.560000000056</v>
      </c>
      <c r="K33" t="s">
        <v>702</v>
      </c>
      <c r="L33" s="989" t="s">
        <v>703</v>
      </c>
      <c r="M33" s="952">
        <v>6.5</v>
      </c>
      <c r="N33" s="952">
        <v>6.5</v>
      </c>
      <c r="O33" s="995">
        <v>602154.12</v>
      </c>
      <c r="P33" s="952">
        <v>6.5</v>
      </c>
      <c r="Q33" s="952">
        <v>7.5</v>
      </c>
      <c r="R33" s="995">
        <v>603201.35</v>
      </c>
      <c r="S33" s="952">
        <v>6.5</v>
      </c>
      <c r="T33" s="952">
        <v>10</v>
      </c>
      <c r="U33" s="995">
        <v>590547.29</v>
      </c>
      <c r="V33" s="952">
        <v>7.5</v>
      </c>
      <c r="W33" s="952">
        <v>6.5</v>
      </c>
      <c r="X33" s="995">
        <v>603720.53</v>
      </c>
      <c r="Y33" s="952">
        <v>7.5</v>
      </c>
      <c r="Z33" s="952">
        <v>7.5</v>
      </c>
      <c r="AA33" s="995">
        <v>604767.77</v>
      </c>
      <c r="AB33" s="952">
        <v>7.5</v>
      </c>
      <c r="AC33" s="952">
        <v>10</v>
      </c>
      <c r="AD33" s="995">
        <v>592113.69999999995</v>
      </c>
      <c r="AE33" s="952">
        <v>10</v>
      </c>
      <c r="AF33" s="952">
        <v>6.5</v>
      </c>
      <c r="AG33" s="995">
        <v>584793.04</v>
      </c>
      <c r="AH33" s="952">
        <v>10</v>
      </c>
      <c r="AI33" s="952">
        <v>7.5</v>
      </c>
      <c r="AJ33" s="995">
        <v>585840.28</v>
      </c>
      <c r="AK33" s="952">
        <v>10</v>
      </c>
      <c r="AL33" s="952">
        <v>10</v>
      </c>
      <c r="AM33" s="967">
        <v>573186.21</v>
      </c>
    </row>
    <row r="34" spans="1:39">
      <c r="A34" s="990" t="s">
        <v>1524</v>
      </c>
      <c r="B34" s="355" t="s">
        <v>1553</v>
      </c>
      <c r="C34" s="918" t="s">
        <v>1554</v>
      </c>
      <c r="D34" s="993" t="s">
        <v>1554</v>
      </c>
      <c r="E34" s="967">
        <v>573478.61</v>
      </c>
      <c r="F34" s="967">
        <v>604767.77</v>
      </c>
      <c r="G34" s="995">
        <v>604767.77</v>
      </c>
      <c r="H34" s="967">
        <v>31289.160000000033</v>
      </c>
      <c r="K34" t="s">
        <v>698</v>
      </c>
      <c r="L34" s="989" t="s">
        <v>700</v>
      </c>
      <c r="M34" s="952">
        <v>7.5</v>
      </c>
      <c r="N34" s="952">
        <v>6.5</v>
      </c>
      <c r="O34" s="995">
        <v>603504.09</v>
      </c>
      <c r="P34" s="952">
        <v>7.5</v>
      </c>
      <c r="Q34" s="952">
        <v>7.5</v>
      </c>
      <c r="R34" s="995">
        <v>604626.21</v>
      </c>
      <c r="S34" s="952">
        <v>7.5</v>
      </c>
      <c r="T34" s="952">
        <v>10</v>
      </c>
      <c r="U34" s="995">
        <v>591067.34</v>
      </c>
      <c r="V34" s="952">
        <v>8</v>
      </c>
      <c r="W34" s="952">
        <v>6.5</v>
      </c>
      <c r="X34" s="995">
        <v>603645.65</v>
      </c>
      <c r="Y34" s="952">
        <v>8</v>
      </c>
      <c r="Z34" s="952">
        <v>7.5</v>
      </c>
      <c r="AA34" s="995">
        <v>604767.77</v>
      </c>
      <c r="AB34" s="952">
        <v>8</v>
      </c>
      <c r="AC34" s="952">
        <v>10</v>
      </c>
      <c r="AD34" s="995">
        <v>591208.89</v>
      </c>
      <c r="AE34" s="952">
        <v>11</v>
      </c>
      <c r="AF34" s="952">
        <v>6.5</v>
      </c>
      <c r="AG34" s="995">
        <v>585915.36</v>
      </c>
      <c r="AH34" s="952">
        <v>11</v>
      </c>
      <c r="AI34" s="952">
        <v>7.5</v>
      </c>
      <c r="AJ34" s="995">
        <v>587037.48</v>
      </c>
      <c r="AK34" s="952">
        <v>11</v>
      </c>
      <c r="AL34" s="952">
        <v>10</v>
      </c>
      <c r="AM34" s="967">
        <v>573478.61</v>
      </c>
    </row>
    <row r="35" spans="1:39">
      <c r="A35" s="989" t="s">
        <v>1536</v>
      </c>
      <c r="B35" t="s">
        <v>1558</v>
      </c>
      <c r="C35" t="s">
        <v>1559</v>
      </c>
      <c r="D35" s="989" t="s">
        <v>1559</v>
      </c>
      <c r="E35" s="967">
        <v>573823.97</v>
      </c>
      <c r="F35" s="967">
        <v>604767.77</v>
      </c>
      <c r="G35" s="995">
        <v>604767.77</v>
      </c>
      <c r="H35" s="967">
        <v>30943.800000000047</v>
      </c>
      <c r="K35" t="s">
        <v>700</v>
      </c>
      <c r="L35" s="989" t="s">
        <v>701</v>
      </c>
      <c r="M35" s="952">
        <v>6.5</v>
      </c>
      <c r="N35" s="952">
        <v>6.5</v>
      </c>
      <c r="O35" s="995">
        <v>602206.9</v>
      </c>
      <c r="P35" s="952">
        <v>6.5</v>
      </c>
      <c r="Q35" s="952">
        <v>7.5</v>
      </c>
      <c r="R35" s="995">
        <v>603645.65</v>
      </c>
      <c r="S35" s="952">
        <v>6.5</v>
      </c>
      <c r="T35" s="952">
        <v>10</v>
      </c>
      <c r="U35" s="995">
        <v>586260.73</v>
      </c>
      <c r="V35" s="952">
        <v>7.5</v>
      </c>
      <c r="W35" s="952">
        <v>6.5</v>
      </c>
      <c r="X35" s="995">
        <v>603329.01</v>
      </c>
      <c r="Y35" s="952">
        <v>7.5</v>
      </c>
      <c r="Z35" s="952">
        <v>7.5</v>
      </c>
      <c r="AA35" s="995">
        <v>604767.77</v>
      </c>
      <c r="AB35" s="952">
        <v>7.5</v>
      </c>
      <c r="AC35" s="952">
        <v>10</v>
      </c>
      <c r="AD35" s="995">
        <v>587382.84</v>
      </c>
      <c r="AE35" s="952">
        <v>10</v>
      </c>
      <c r="AF35" s="952">
        <v>6.5</v>
      </c>
      <c r="AG35" s="995">
        <v>589770.14</v>
      </c>
      <c r="AH35" s="952">
        <v>10</v>
      </c>
      <c r="AI35" s="952">
        <v>7.5</v>
      </c>
      <c r="AJ35" s="995">
        <v>591208.89</v>
      </c>
      <c r="AK35" s="952">
        <v>10</v>
      </c>
      <c r="AL35" s="952">
        <v>10</v>
      </c>
      <c r="AM35" s="967">
        <v>573823.97</v>
      </c>
    </row>
    <row r="36" spans="1:39">
      <c r="A36" s="991" t="s">
        <v>1527</v>
      </c>
      <c r="B36" s="355" t="s">
        <v>1553</v>
      </c>
      <c r="C36" s="918" t="s">
        <v>1554</v>
      </c>
      <c r="D36" s="993" t="s">
        <v>1554</v>
      </c>
      <c r="E36" s="967">
        <v>574383.41</v>
      </c>
      <c r="F36" s="967">
        <v>604767.77</v>
      </c>
      <c r="G36" s="995">
        <v>604767.77</v>
      </c>
      <c r="H36" s="967">
        <v>30384.359999999986</v>
      </c>
      <c r="K36" t="s">
        <v>698</v>
      </c>
      <c r="L36" s="989" t="s">
        <v>703</v>
      </c>
      <c r="M36" s="952">
        <v>7.5</v>
      </c>
      <c r="N36" s="952">
        <v>6.5</v>
      </c>
      <c r="O36" s="995">
        <v>603578.97</v>
      </c>
      <c r="P36" s="952">
        <v>7.5</v>
      </c>
      <c r="Q36" s="952">
        <v>7.5</v>
      </c>
      <c r="R36" s="995">
        <v>604626.21</v>
      </c>
      <c r="S36" s="952">
        <v>7.5</v>
      </c>
      <c r="T36" s="952">
        <v>10</v>
      </c>
      <c r="U36" s="995">
        <v>591972.14</v>
      </c>
      <c r="V36" s="952">
        <v>8</v>
      </c>
      <c r="W36" s="952">
        <v>6.5</v>
      </c>
      <c r="X36" s="995">
        <v>603720.53</v>
      </c>
      <c r="Y36" s="952">
        <v>8</v>
      </c>
      <c r="Z36" s="952">
        <v>7.5</v>
      </c>
      <c r="AA36" s="995">
        <v>604767.77</v>
      </c>
      <c r="AB36" s="952">
        <v>8</v>
      </c>
      <c r="AC36" s="952">
        <v>10</v>
      </c>
      <c r="AD36" s="995">
        <v>592113.69999999995</v>
      </c>
      <c r="AE36" s="952">
        <v>11</v>
      </c>
      <c r="AF36" s="952">
        <v>6.5</v>
      </c>
      <c r="AG36" s="995">
        <v>585990.24</v>
      </c>
      <c r="AH36" s="952">
        <v>11</v>
      </c>
      <c r="AI36" s="952">
        <v>7.5</v>
      </c>
      <c r="AJ36" s="995">
        <v>587037.48</v>
      </c>
      <c r="AK36" s="952">
        <v>11</v>
      </c>
      <c r="AL36" s="952">
        <v>10</v>
      </c>
      <c r="AM36" s="967">
        <v>574383.41</v>
      </c>
    </row>
    <row r="37" spans="1:39">
      <c r="A37" s="989" t="s">
        <v>1542</v>
      </c>
      <c r="B37" t="s">
        <v>1558</v>
      </c>
      <c r="C37" t="s">
        <v>1559</v>
      </c>
      <c r="D37" s="989" t="s">
        <v>1559</v>
      </c>
      <c r="E37" s="967">
        <v>574728.78</v>
      </c>
      <c r="F37" s="967">
        <v>604767.77</v>
      </c>
      <c r="G37" s="995">
        <v>604767.77</v>
      </c>
      <c r="H37" s="967">
        <v>30038.989999999991</v>
      </c>
      <c r="K37" t="s">
        <v>701</v>
      </c>
      <c r="L37" s="989" t="s">
        <v>703</v>
      </c>
      <c r="M37" s="952">
        <v>6.5</v>
      </c>
      <c r="N37" s="952">
        <v>6.5</v>
      </c>
      <c r="O37" s="995">
        <v>602281.78</v>
      </c>
      <c r="P37" s="952">
        <v>6.5</v>
      </c>
      <c r="Q37" s="952">
        <v>7.5</v>
      </c>
      <c r="R37" s="995">
        <v>603329.01</v>
      </c>
      <c r="S37" s="952">
        <v>6.5</v>
      </c>
      <c r="T37" s="952">
        <v>10</v>
      </c>
      <c r="U37" s="995">
        <v>590674.94999999995</v>
      </c>
      <c r="V37" s="952">
        <v>7.5</v>
      </c>
      <c r="W37" s="952">
        <v>6.5</v>
      </c>
      <c r="X37" s="995">
        <v>603720.53</v>
      </c>
      <c r="Y37" s="952">
        <v>7.5</v>
      </c>
      <c r="Z37" s="952">
        <v>7.5</v>
      </c>
      <c r="AA37" s="995">
        <v>604767.77</v>
      </c>
      <c r="AB37" s="952">
        <v>7.5</v>
      </c>
      <c r="AC37" s="952">
        <v>10</v>
      </c>
      <c r="AD37" s="995">
        <v>592113.69999999995</v>
      </c>
      <c r="AE37" s="952">
        <v>10</v>
      </c>
      <c r="AF37" s="952">
        <v>6.5</v>
      </c>
      <c r="AG37" s="995">
        <v>586335.61</v>
      </c>
      <c r="AH37" s="952">
        <v>10</v>
      </c>
      <c r="AI37" s="952">
        <v>7.5</v>
      </c>
      <c r="AJ37" s="995">
        <v>587382.84</v>
      </c>
      <c r="AK37" s="952">
        <v>10</v>
      </c>
      <c r="AL37" s="952">
        <v>10</v>
      </c>
      <c r="AM37" s="967">
        <v>574728.78</v>
      </c>
    </row>
    <row r="38" spans="1:39">
      <c r="A38" s="989" t="s">
        <v>1538</v>
      </c>
      <c r="B38" t="s">
        <v>1558</v>
      </c>
      <c r="C38" t="s">
        <v>1559</v>
      </c>
      <c r="D38" s="989" t="s">
        <v>1559</v>
      </c>
      <c r="E38" s="967">
        <v>578554.82999999996</v>
      </c>
      <c r="F38" s="967">
        <v>604767.77</v>
      </c>
      <c r="G38" s="995">
        <v>604767.77</v>
      </c>
      <c r="H38" s="967">
        <v>26212.940000000061</v>
      </c>
      <c r="K38" t="s">
        <v>700</v>
      </c>
      <c r="L38" s="989" t="s">
        <v>703</v>
      </c>
      <c r="M38" s="952">
        <v>6.5</v>
      </c>
      <c r="N38" s="952">
        <v>6.5</v>
      </c>
      <c r="O38" s="995">
        <v>602598.42000000004</v>
      </c>
      <c r="P38" s="952">
        <v>6.5</v>
      </c>
      <c r="Q38" s="952">
        <v>7.5</v>
      </c>
      <c r="R38" s="995">
        <v>603645.65</v>
      </c>
      <c r="S38" s="952">
        <v>6.5</v>
      </c>
      <c r="T38" s="952">
        <v>10</v>
      </c>
      <c r="U38" s="995">
        <v>590991.59</v>
      </c>
      <c r="V38" s="952">
        <v>7.5</v>
      </c>
      <c r="W38" s="952">
        <v>6.5</v>
      </c>
      <c r="X38" s="995">
        <v>603720.53</v>
      </c>
      <c r="Y38" s="952">
        <v>7.5</v>
      </c>
      <c r="Z38" s="952">
        <v>7.5</v>
      </c>
      <c r="AA38" s="995">
        <v>604767.77</v>
      </c>
      <c r="AB38" s="952">
        <v>7.5</v>
      </c>
      <c r="AC38" s="952">
        <v>10</v>
      </c>
      <c r="AD38" s="995">
        <v>592113.69999999995</v>
      </c>
      <c r="AE38" s="952">
        <v>10</v>
      </c>
      <c r="AF38" s="952">
        <v>6.5</v>
      </c>
      <c r="AG38" s="995">
        <v>590161.66</v>
      </c>
      <c r="AH38" s="952">
        <v>10</v>
      </c>
      <c r="AI38" s="952">
        <v>7.5</v>
      </c>
      <c r="AJ38" s="995">
        <v>591208.89</v>
      </c>
      <c r="AK38" s="952">
        <v>10</v>
      </c>
      <c r="AL38" s="952">
        <v>10</v>
      </c>
      <c r="AM38" s="967">
        <v>578554.82999999996</v>
      </c>
    </row>
  </sheetData>
  <sortState xmlns:xlrd2="http://schemas.microsoft.com/office/spreadsheetml/2017/richdata2" ref="A11:AM38">
    <sortCondition descending="1" ref="H11"/>
  </sortState>
  <pageMargins left="0.7" right="0.7" top="0.75" bottom="0.75" header="0.3" footer="0.3"/>
  <pageSetup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7B0D-5264-44A3-B5AD-9CF5D94A52E6}">
  <sheetPr>
    <tabColor rgb="FF00B0F0"/>
    <pageSetUpPr fitToPage="1"/>
  </sheetPr>
  <dimension ref="A1:I19"/>
  <sheetViews>
    <sheetView topLeftCell="A7" workbookViewId="0"/>
  </sheetViews>
  <sheetFormatPr defaultRowHeight="15"/>
  <cols>
    <col min="1" max="1" width="13.7109375" bestFit="1" customWidth="1"/>
    <col min="2" max="2" width="11.28515625" bestFit="1" customWidth="1"/>
    <col min="3" max="3" width="9.7109375" bestFit="1" customWidth="1"/>
    <col min="4" max="4" width="11.7109375" bestFit="1" customWidth="1"/>
    <col min="5" max="8" width="9.28515625" bestFit="1" customWidth="1"/>
    <col min="9" max="9" width="8.28515625" bestFit="1" customWidth="1"/>
  </cols>
  <sheetData>
    <row r="1" spans="1:9">
      <c r="A1" s="119" t="s">
        <v>1485</v>
      </c>
    </row>
    <row r="2" spans="1:9">
      <c r="A2" t="s">
        <v>1486</v>
      </c>
    </row>
    <row r="3" spans="1:9">
      <c r="A3" t="s">
        <v>1487</v>
      </c>
    </row>
    <row r="5" spans="1:9">
      <c r="A5" s="963" t="s">
        <v>1488</v>
      </c>
      <c r="B5" s="964">
        <v>45019</v>
      </c>
      <c r="E5" s="963" t="s">
        <v>1490</v>
      </c>
      <c r="F5" t="s">
        <v>1491</v>
      </c>
    </row>
    <row r="6" spans="1:9">
      <c r="A6" s="963" t="s">
        <v>1489</v>
      </c>
      <c r="B6" s="965">
        <v>0.78749999999999998</v>
      </c>
      <c r="E6" s="963" t="s">
        <v>1492</v>
      </c>
      <c r="F6" s="966" t="s">
        <v>1493</v>
      </c>
    </row>
    <row r="8" spans="1:9">
      <c r="E8" s="968" t="s">
        <v>170</v>
      </c>
      <c r="F8" s="968"/>
      <c r="G8" s="968"/>
    </row>
    <row r="9" spans="1:9">
      <c r="B9" s="969" t="s">
        <v>1494</v>
      </c>
      <c r="C9" s="968"/>
      <c r="D9" s="968"/>
      <c r="E9" s="969" t="s">
        <v>1495</v>
      </c>
      <c r="F9" s="968"/>
      <c r="G9" s="968"/>
      <c r="I9" s="963" t="s">
        <v>1496</v>
      </c>
    </row>
    <row r="10" spans="1:9">
      <c r="A10" t="s">
        <v>1497</v>
      </c>
      <c r="B10" s="970" t="s">
        <v>1500</v>
      </c>
      <c r="C10" s="970" t="s">
        <v>1501</v>
      </c>
      <c r="D10" s="963" t="s">
        <v>1502</v>
      </c>
      <c r="E10" s="970" t="s">
        <v>1503</v>
      </c>
      <c r="F10" s="970" t="s">
        <v>159</v>
      </c>
      <c r="G10" s="963" t="s">
        <v>1504</v>
      </c>
      <c r="H10" s="970" t="s">
        <v>1498</v>
      </c>
      <c r="I10" s="970" t="s">
        <v>1499</v>
      </c>
    </row>
    <row r="11" spans="1:9" ht="15.75" thickBot="1">
      <c r="A11" s="971" t="s">
        <v>705</v>
      </c>
      <c r="B11" s="355">
        <v>1.8</v>
      </c>
      <c r="C11" s="918">
        <v>2.5</v>
      </c>
      <c r="D11" s="975">
        <v>5.3</v>
      </c>
      <c r="E11" s="967">
        <v>248898.23</v>
      </c>
      <c r="F11" s="967">
        <v>286360.64510000002</v>
      </c>
      <c r="G11" s="977">
        <v>378321.37</v>
      </c>
      <c r="H11" s="967">
        <v>129423.14</v>
      </c>
      <c r="I11" s="380">
        <v>0.60588258198375355</v>
      </c>
    </row>
    <row r="12" spans="1:9" ht="16.5" thickTop="1" thickBot="1">
      <c r="A12" s="972" t="s">
        <v>704</v>
      </c>
      <c r="B12" s="354">
        <v>1.8</v>
      </c>
      <c r="C12" s="918">
        <v>2.5</v>
      </c>
      <c r="D12" s="976">
        <v>5.3</v>
      </c>
      <c r="E12" s="967">
        <v>257482.4</v>
      </c>
      <c r="F12" s="967">
        <v>286360.64510000002</v>
      </c>
      <c r="G12" s="978">
        <v>357249.4</v>
      </c>
      <c r="H12" s="967">
        <v>99767</v>
      </c>
      <c r="I12" s="380">
        <v>0.36002978349801207</v>
      </c>
    </row>
    <row r="13" spans="1:9" ht="16.5" thickTop="1" thickBot="1">
      <c r="A13" s="973" t="s">
        <v>699</v>
      </c>
      <c r="B13" s="354">
        <v>11</v>
      </c>
      <c r="C13" s="918">
        <v>8</v>
      </c>
      <c r="D13" s="976">
        <v>7.5</v>
      </c>
      <c r="E13" s="967">
        <v>267198.21999999997</v>
      </c>
      <c r="F13" s="967">
        <v>286360.64510000002</v>
      </c>
      <c r="G13" s="978">
        <v>286266.71000000002</v>
      </c>
      <c r="H13" s="967">
        <v>19068.490000000002</v>
      </c>
      <c r="I13" s="380">
        <v>1.3152163823079047E-2</v>
      </c>
    </row>
    <row r="14" spans="1:9" ht="16.5" thickTop="1" thickBot="1">
      <c r="A14" s="973" t="s">
        <v>698</v>
      </c>
      <c r="B14" s="354">
        <v>11</v>
      </c>
      <c r="C14" s="918">
        <v>8</v>
      </c>
      <c r="D14" s="976">
        <v>7.5</v>
      </c>
      <c r="E14" s="967">
        <v>268630.36</v>
      </c>
      <c r="F14" s="967">
        <v>286360.64510000002</v>
      </c>
      <c r="G14" s="978">
        <v>286219.09000000003</v>
      </c>
      <c r="H14" s="967">
        <v>17588.73</v>
      </c>
      <c r="I14" s="380">
        <v>1.1190089689026782E-2</v>
      </c>
    </row>
    <row r="15" spans="1:9" ht="16.5" thickTop="1" thickBot="1">
      <c r="A15" s="973" t="s">
        <v>701</v>
      </c>
      <c r="B15" s="354">
        <v>10</v>
      </c>
      <c r="C15" s="918">
        <v>7.5</v>
      </c>
      <c r="D15" s="976">
        <v>6.5</v>
      </c>
      <c r="E15" s="967">
        <v>274943.21999999997</v>
      </c>
      <c r="F15" s="967">
        <v>286360.64510000002</v>
      </c>
      <c r="G15" s="978">
        <v>285415.76</v>
      </c>
      <c r="H15" s="967">
        <v>10472.540000000001</v>
      </c>
      <c r="I15" s="380">
        <v>3.9670589918090861E-3</v>
      </c>
    </row>
    <row r="16" spans="1:9" ht="16.5" thickTop="1" thickBot="1">
      <c r="A16" s="974" t="s">
        <v>702</v>
      </c>
      <c r="B16" s="354">
        <v>10</v>
      </c>
      <c r="C16" s="918">
        <v>7.5</v>
      </c>
      <c r="D16" s="976">
        <v>6.5</v>
      </c>
      <c r="E16" s="967">
        <v>276086.36</v>
      </c>
      <c r="F16" s="967">
        <v>286360.64510000002</v>
      </c>
      <c r="G16" s="978">
        <v>285510.36</v>
      </c>
      <c r="H16" s="967">
        <v>9424</v>
      </c>
      <c r="I16" s="380">
        <v>3.2124409834976379E-3</v>
      </c>
    </row>
    <row r="17" spans="1:9" ht="16.5" thickTop="1" thickBot="1">
      <c r="A17" s="973" t="s">
        <v>700</v>
      </c>
      <c r="B17" s="354">
        <v>10</v>
      </c>
      <c r="C17" s="918">
        <v>7.5</v>
      </c>
      <c r="D17" s="976">
        <v>6.5</v>
      </c>
      <c r="E17" s="967">
        <v>279674.08</v>
      </c>
      <c r="F17" s="967">
        <v>286360.64510000002</v>
      </c>
      <c r="G17" s="978">
        <v>285807.27</v>
      </c>
      <c r="H17" s="967">
        <v>6133.19</v>
      </c>
      <c r="I17" s="380">
        <v>1.3606218495429373E-3</v>
      </c>
    </row>
    <row r="18" spans="1:9" ht="16.5" thickTop="1" thickBot="1">
      <c r="A18" s="972" t="s">
        <v>703</v>
      </c>
      <c r="B18" s="354">
        <v>10</v>
      </c>
      <c r="C18" s="918">
        <v>7.5</v>
      </c>
      <c r="D18" s="976">
        <v>6.5</v>
      </c>
      <c r="E18" s="967">
        <v>280067.40999999997</v>
      </c>
      <c r="F18" s="967">
        <v>286360.64510000002</v>
      </c>
      <c r="G18" s="978">
        <v>285839.83</v>
      </c>
      <c r="H18" s="967">
        <v>5772.42</v>
      </c>
      <c r="I18" s="380">
        <v>1.2052591812789087E-3</v>
      </c>
    </row>
    <row r="19" spans="1:9" ht="15.75" thickTop="1"/>
  </sheetData>
  <sortState xmlns:xlrd2="http://schemas.microsoft.com/office/spreadsheetml/2017/richdata2" ref="A11:I18">
    <sortCondition descending="1" ref="H11"/>
  </sortState>
  <phoneticPr fontId="87" type="noConversion"/>
  <pageMargins left="0.7" right="0.7" top="0.75" bottom="0.75" header="0.3" footer="0.3"/>
  <pageSetup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26D61-465B-452F-AE17-12427432E9D6}">
  <sheetPr>
    <tabColor rgb="FF00B0F0"/>
    <pageSetUpPr fitToPage="1"/>
  </sheetPr>
  <dimension ref="A1:AQ19"/>
  <sheetViews>
    <sheetView workbookViewId="0">
      <selection activeCell="N22" sqref="N22"/>
    </sheetView>
  </sheetViews>
  <sheetFormatPr defaultRowHeight="15"/>
  <cols>
    <col min="1" max="1" width="13.7109375" bestFit="1" customWidth="1"/>
    <col min="2" max="2" width="11.28515625" bestFit="1" customWidth="1"/>
    <col min="3" max="3" width="9.7109375" bestFit="1" customWidth="1"/>
    <col min="4" max="4" width="11.7109375" bestFit="1" customWidth="1"/>
    <col min="5" max="5" width="6.5703125" bestFit="1" customWidth="1"/>
    <col min="6" max="6" width="7.140625" bestFit="1" customWidth="1"/>
    <col min="7" max="7" width="7" bestFit="1" customWidth="1"/>
    <col min="8" max="11" width="9.28515625" bestFit="1" customWidth="1"/>
    <col min="13" max="13" width="11.28515625" bestFit="1" customWidth="1"/>
    <col min="14" max="14" width="14.85546875" bestFit="1" customWidth="1"/>
    <col min="15" max="15" width="12.85546875" bestFit="1" customWidth="1"/>
    <col min="17" max="17" width="11.28515625" bestFit="1" customWidth="1"/>
    <col min="18" max="18" width="14.85546875" bestFit="1" customWidth="1"/>
    <col min="19" max="19" width="12.85546875" bestFit="1" customWidth="1"/>
    <col min="21" max="21" width="11.28515625" bestFit="1" customWidth="1"/>
    <col min="22" max="22" width="14.85546875" bestFit="1" customWidth="1"/>
    <col min="23" max="23" width="12.85546875" bestFit="1" customWidth="1"/>
    <col min="25" max="25" width="11.28515625" bestFit="1" customWidth="1"/>
    <col min="26" max="26" width="14.85546875" bestFit="1" customWidth="1"/>
    <col min="27" max="27" width="12.85546875" bestFit="1" customWidth="1"/>
    <col min="29" max="29" width="11.28515625" bestFit="1" customWidth="1"/>
    <col min="30" max="30" width="14.85546875" bestFit="1" customWidth="1"/>
    <col min="31" max="31" width="12.85546875" bestFit="1" customWidth="1"/>
    <col min="33" max="33" width="11.28515625" bestFit="1" customWidth="1"/>
    <col min="34" max="34" width="14.85546875" bestFit="1" customWidth="1"/>
    <col min="35" max="35" width="12.85546875" bestFit="1" customWidth="1"/>
    <col min="37" max="37" width="11.28515625" bestFit="1" customWidth="1"/>
    <col min="38" max="38" width="14.85546875" bestFit="1" customWidth="1"/>
    <col min="39" max="39" width="12.85546875" bestFit="1" customWidth="1"/>
    <col min="41" max="41" width="11.28515625" bestFit="1" customWidth="1"/>
    <col min="42" max="42" width="14.85546875" bestFit="1" customWidth="1"/>
    <col min="43" max="43" width="12.85546875" bestFit="1" customWidth="1"/>
  </cols>
  <sheetData>
    <row r="1" spans="1:43">
      <c r="A1" s="119" t="s">
        <v>1485</v>
      </c>
      <c r="M1" t="s">
        <v>698</v>
      </c>
      <c r="Q1" t="s">
        <v>699</v>
      </c>
      <c r="U1" t="s">
        <v>700</v>
      </c>
      <c r="Y1" t="s">
        <v>701</v>
      </c>
      <c r="AC1" t="s">
        <v>702</v>
      </c>
      <c r="AG1" t="s">
        <v>703</v>
      </c>
      <c r="AK1" t="s">
        <v>704</v>
      </c>
      <c r="AO1" t="s">
        <v>705</v>
      </c>
    </row>
    <row r="2" spans="1:43">
      <c r="A2" t="s">
        <v>1486</v>
      </c>
      <c r="M2" t="s">
        <v>1509</v>
      </c>
      <c r="N2" t="s">
        <v>1510</v>
      </c>
      <c r="O2" t="s">
        <v>1495</v>
      </c>
      <c r="Q2" t="s">
        <v>1509</v>
      </c>
      <c r="R2" t="s">
        <v>1510</v>
      </c>
      <c r="S2" t="s">
        <v>1495</v>
      </c>
      <c r="U2" t="s">
        <v>1509</v>
      </c>
      <c r="V2" t="s">
        <v>1510</v>
      </c>
      <c r="W2" t="s">
        <v>1495</v>
      </c>
      <c r="Y2" t="s">
        <v>1509</v>
      </c>
      <c r="Z2" t="s">
        <v>1510</v>
      </c>
      <c r="AA2" t="s">
        <v>1495</v>
      </c>
      <c r="AC2" t="s">
        <v>1509</v>
      </c>
      <c r="AD2" t="s">
        <v>1510</v>
      </c>
      <c r="AE2" t="s">
        <v>1495</v>
      </c>
      <c r="AG2" t="s">
        <v>1509</v>
      </c>
      <c r="AH2" t="s">
        <v>1510</v>
      </c>
      <c r="AI2" t="s">
        <v>1495</v>
      </c>
      <c r="AK2" t="s">
        <v>1509</v>
      </c>
      <c r="AL2" t="s">
        <v>1510</v>
      </c>
      <c r="AM2" t="s">
        <v>1495</v>
      </c>
      <c r="AO2" t="s">
        <v>1509</v>
      </c>
      <c r="AP2" t="s">
        <v>1510</v>
      </c>
      <c r="AQ2" t="s">
        <v>1495</v>
      </c>
    </row>
    <row r="3" spans="1:43">
      <c r="A3" t="s">
        <v>1487</v>
      </c>
      <c r="M3" s="952">
        <v>7.5</v>
      </c>
      <c r="N3" s="380">
        <v>0.9375</v>
      </c>
      <c r="O3" s="967">
        <v>286219.09000000003</v>
      </c>
      <c r="Q3" s="952">
        <v>7.5</v>
      </c>
      <c r="R3" s="380">
        <v>0.9375</v>
      </c>
      <c r="S3" s="967">
        <v>286266.71000000002</v>
      </c>
      <c r="U3" s="952">
        <v>6.5</v>
      </c>
      <c r="V3" s="380">
        <v>0.8666666666666667</v>
      </c>
      <c r="W3" s="967">
        <v>285807.27</v>
      </c>
      <c r="Y3" s="952">
        <v>6.5</v>
      </c>
      <c r="Z3" s="380">
        <v>0.8666666666666667</v>
      </c>
      <c r="AA3" s="967">
        <v>285415.76</v>
      </c>
      <c r="AC3" s="952">
        <v>6.5</v>
      </c>
      <c r="AD3" s="380">
        <v>0.8666666666666667</v>
      </c>
      <c r="AE3" s="967">
        <v>285510.36</v>
      </c>
      <c r="AG3" s="952">
        <v>6.5</v>
      </c>
      <c r="AH3" s="380">
        <v>0.8666666666666667</v>
      </c>
      <c r="AI3" s="967">
        <v>285839.83</v>
      </c>
      <c r="AK3" s="952">
        <v>1.8</v>
      </c>
      <c r="AL3" s="380">
        <v>0.72</v>
      </c>
      <c r="AM3" s="967">
        <v>257482.4</v>
      </c>
      <c r="AO3" s="952">
        <v>1.8</v>
      </c>
      <c r="AP3" s="380">
        <v>0.72</v>
      </c>
      <c r="AQ3" s="967">
        <v>248898.23</v>
      </c>
    </row>
    <row r="4" spans="1:43">
      <c r="M4" s="952">
        <v>8</v>
      </c>
      <c r="N4" s="380">
        <v>1</v>
      </c>
      <c r="O4" s="967">
        <v>286360.65000000002</v>
      </c>
      <c r="Q4" s="952">
        <v>8</v>
      </c>
      <c r="R4" s="380">
        <v>1</v>
      </c>
      <c r="S4" s="967">
        <v>286360.65000000002</v>
      </c>
      <c r="U4" s="952">
        <v>6.75</v>
      </c>
      <c r="V4" s="380">
        <v>0.9</v>
      </c>
      <c r="W4" s="967">
        <v>286118.55</v>
      </c>
      <c r="Y4" s="952">
        <v>6.75</v>
      </c>
      <c r="Z4" s="380">
        <v>0.9</v>
      </c>
      <c r="AA4" s="967">
        <v>285947.26</v>
      </c>
      <c r="AC4" s="952">
        <v>6.75</v>
      </c>
      <c r="AD4" s="380">
        <v>0.9</v>
      </c>
      <c r="AE4" s="967">
        <v>285988.65000000002</v>
      </c>
      <c r="AG4" s="952">
        <v>6.75</v>
      </c>
      <c r="AH4" s="380">
        <v>0.9</v>
      </c>
      <c r="AI4" s="967">
        <v>286132.78999999998</v>
      </c>
      <c r="AK4" s="952">
        <v>2</v>
      </c>
      <c r="AL4" s="380">
        <v>0.8</v>
      </c>
      <c r="AM4" s="967">
        <v>266188.68</v>
      </c>
      <c r="AO4" s="952">
        <v>2</v>
      </c>
      <c r="AP4" s="380">
        <v>0.8</v>
      </c>
      <c r="AQ4" s="967">
        <v>260192.48</v>
      </c>
    </row>
    <row r="5" spans="1:43">
      <c r="A5" s="963" t="s">
        <v>1488</v>
      </c>
      <c r="B5" s="964">
        <v>45019</v>
      </c>
      <c r="G5" s="963" t="s">
        <v>1490</v>
      </c>
      <c r="H5" t="s">
        <v>1491</v>
      </c>
      <c r="M5" s="952">
        <v>8.8000000000000007</v>
      </c>
      <c r="N5" s="380">
        <v>1.1000000000000001</v>
      </c>
      <c r="O5" s="967">
        <v>284746.87</v>
      </c>
      <c r="Q5" s="952">
        <v>8.8000000000000007</v>
      </c>
      <c r="R5" s="380">
        <v>1.1000000000000001</v>
      </c>
      <c r="S5" s="967">
        <v>284557.12</v>
      </c>
      <c r="U5" s="952">
        <v>7.5</v>
      </c>
      <c r="V5" s="380">
        <v>1</v>
      </c>
      <c r="W5" s="967">
        <v>286360.65000000002</v>
      </c>
      <c r="Y5" s="952">
        <v>7.5</v>
      </c>
      <c r="Z5" s="380">
        <v>1</v>
      </c>
      <c r="AA5" s="967">
        <v>286360.65000000002</v>
      </c>
      <c r="AC5" s="952">
        <v>7.5</v>
      </c>
      <c r="AD5" s="380">
        <v>1</v>
      </c>
      <c r="AE5" s="967">
        <v>286360.65000000002</v>
      </c>
      <c r="AG5" s="952">
        <v>7.5</v>
      </c>
      <c r="AH5" s="380">
        <v>1</v>
      </c>
      <c r="AI5" s="967">
        <v>286360.65000000002</v>
      </c>
      <c r="AK5" s="952">
        <v>2.25</v>
      </c>
      <c r="AL5" s="380">
        <v>0.9</v>
      </c>
      <c r="AM5" s="967">
        <v>276559.25</v>
      </c>
      <c r="AO5" s="952">
        <v>2.25</v>
      </c>
      <c r="AP5" s="380">
        <v>0.9</v>
      </c>
      <c r="AQ5" s="967">
        <v>273645.75</v>
      </c>
    </row>
    <row r="6" spans="1:43">
      <c r="A6" s="963" t="s">
        <v>1489</v>
      </c>
      <c r="B6" s="965">
        <v>0.78749999999999998</v>
      </c>
      <c r="G6" s="963" t="s">
        <v>1492</v>
      </c>
      <c r="H6" s="966" t="s">
        <v>1493</v>
      </c>
      <c r="M6" s="952">
        <v>9.6000000000000014</v>
      </c>
      <c r="N6" s="380">
        <v>1.2000000000000002</v>
      </c>
      <c r="O6" s="967">
        <v>280868.15000000002</v>
      </c>
      <c r="Q6" s="952">
        <v>9.6000000000000014</v>
      </c>
      <c r="R6" s="380">
        <v>1.2000000000000002</v>
      </c>
      <c r="S6" s="967">
        <v>280348.90999999997</v>
      </c>
      <c r="U6" s="952">
        <v>8.25</v>
      </c>
      <c r="V6" s="380">
        <v>1.1000000000000001</v>
      </c>
      <c r="W6" s="967">
        <v>285565.17</v>
      </c>
      <c r="Y6" s="952">
        <v>8.25</v>
      </c>
      <c r="Z6" s="380">
        <v>1.1000000000000001</v>
      </c>
      <c r="AA6" s="967">
        <v>285002.37</v>
      </c>
      <c r="AC6" s="952">
        <v>8.25</v>
      </c>
      <c r="AD6" s="380">
        <v>1.1000000000000001</v>
      </c>
      <c r="AE6" s="967">
        <v>285138.36</v>
      </c>
      <c r="AG6" s="952">
        <v>8.25</v>
      </c>
      <c r="AH6" s="380">
        <v>1.1000000000000001</v>
      </c>
      <c r="AI6" s="967">
        <v>285611.96999999997</v>
      </c>
      <c r="AK6" s="952">
        <v>2.5</v>
      </c>
      <c r="AL6" s="380">
        <v>1</v>
      </c>
      <c r="AM6" s="967">
        <v>286360.65000000002</v>
      </c>
      <c r="AO6" s="952">
        <v>2.5</v>
      </c>
      <c r="AP6" s="380">
        <v>1</v>
      </c>
      <c r="AQ6" s="967">
        <v>286360.65000000002</v>
      </c>
    </row>
    <row r="7" spans="1:43">
      <c r="M7" s="952">
        <v>10.400000000000002</v>
      </c>
      <c r="N7" s="380">
        <v>1.3000000000000003</v>
      </c>
      <c r="O7" s="967">
        <v>274724.47999999998</v>
      </c>
      <c r="Q7" s="952">
        <v>10.400000000000002</v>
      </c>
      <c r="R7" s="380">
        <v>1.3000000000000003</v>
      </c>
      <c r="S7" s="967">
        <v>273735.99</v>
      </c>
      <c r="U7" s="952">
        <v>9.0000000000000018</v>
      </c>
      <c r="V7" s="380">
        <v>1.2000000000000002</v>
      </c>
      <c r="W7" s="967">
        <v>283732.13</v>
      </c>
      <c r="Y7" s="952">
        <v>9.0000000000000018</v>
      </c>
      <c r="Z7" s="380">
        <v>1.2000000000000002</v>
      </c>
      <c r="AA7" s="967">
        <v>281872.42</v>
      </c>
      <c r="AC7" s="952">
        <v>9.0000000000000018</v>
      </c>
      <c r="AD7" s="380">
        <v>1.2000000000000002</v>
      </c>
      <c r="AE7" s="967">
        <v>282321.78999999998</v>
      </c>
      <c r="AG7" s="952">
        <v>9.0000000000000018</v>
      </c>
      <c r="AH7" s="380">
        <v>1.2000000000000002</v>
      </c>
      <c r="AI7" s="967">
        <v>283886.75</v>
      </c>
      <c r="AK7" s="952">
        <v>2.75</v>
      </c>
      <c r="AL7" s="380">
        <v>1.1000000000000001</v>
      </c>
      <c r="AM7" s="967">
        <v>295592.84999999998</v>
      </c>
      <c r="AO7" s="952">
        <v>2.75</v>
      </c>
      <c r="AP7" s="380">
        <v>1.1000000000000001</v>
      </c>
      <c r="AQ7" s="967">
        <v>298337.15999999997</v>
      </c>
    </row>
    <row r="8" spans="1:43">
      <c r="H8" s="968" t="s">
        <v>170</v>
      </c>
      <c r="I8" s="968"/>
      <c r="J8" s="968"/>
      <c r="M8" s="952">
        <v>11</v>
      </c>
      <c r="N8" s="380">
        <v>1.375</v>
      </c>
      <c r="O8" s="967">
        <v>268630.36</v>
      </c>
      <c r="Q8" s="952">
        <v>11</v>
      </c>
      <c r="R8" s="380">
        <v>1.375</v>
      </c>
      <c r="S8" s="967">
        <v>267198.21999999997</v>
      </c>
      <c r="U8" s="952">
        <v>9.7500000000000018</v>
      </c>
      <c r="V8" s="380">
        <v>1.3000000000000003</v>
      </c>
      <c r="W8" s="967">
        <v>280861.52</v>
      </c>
      <c r="Y8" s="952">
        <v>9.7500000000000018</v>
      </c>
      <c r="Z8" s="380">
        <v>1.3000000000000003</v>
      </c>
      <c r="AA8" s="967">
        <v>276970.8</v>
      </c>
      <c r="AC8" s="952">
        <v>9.7500000000000018</v>
      </c>
      <c r="AD8" s="380">
        <v>1.3000000000000003</v>
      </c>
      <c r="AE8" s="967">
        <v>277910.93</v>
      </c>
      <c r="AG8" s="952">
        <v>9.7500000000000018</v>
      </c>
      <c r="AH8" s="380">
        <v>1.3000000000000003</v>
      </c>
      <c r="AI8" s="967">
        <v>281185</v>
      </c>
      <c r="AK8" s="952">
        <v>3.0000000000000004</v>
      </c>
      <c r="AL8" s="380">
        <v>1.2000000000000002</v>
      </c>
      <c r="AM8" s="967">
        <v>304255.87</v>
      </c>
      <c r="AO8" s="952">
        <v>3.0000000000000004</v>
      </c>
      <c r="AP8" s="380">
        <v>1.2000000000000002</v>
      </c>
      <c r="AQ8" s="967">
        <v>309575.28999999998</v>
      </c>
    </row>
    <row r="9" spans="1:43">
      <c r="B9" s="969" t="s">
        <v>1494</v>
      </c>
      <c r="C9" s="968"/>
      <c r="D9" s="968"/>
      <c r="E9" s="969" t="s">
        <v>1505</v>
      </c>
      <c r="F9" s="968"/>
      <c r="G9" s="968"/>
      <c r="H9" s="969" t="s">
        <v>1495</v>
      </c>
      <c r="I9" s="968"/>
      <c r="J9" s="968"/>
      <c r="U9" s="952">
        <v>10</v>
      </c>
      <c r="V9" s="380">
        <v>1.3333333333333333</v>
      </c>
      <c r="W9" s="967">
        <v>279674.08</v>
      </c>
      <c r="Y9" s="952">
        <v>10</v>
      </c>
      <c r="Z9" s="380">
        <v>1.3333333333333333</v>
      </c>
      <c r="AA9" s="967">
        <v>274943.21999999997</v>
      </c>
      <c r="AC9" s="952">
        <v>10</v>
      </c>
      <c r="AD9" s="380">
        <v>1.3333333333333333</v>
      </c>
      <c r="AE9" s="967">
        <v>276086.36</v>
      </c>
      <c r="AG9" s="952">
        <v>10</v>
      </c>
      <c r="AH9" s="380">
        <v>1.3333333333333333</v>
      </c>
      <c r="AI9" s="967">
        <v>280067.40999999997</v>
      </c>
      <c r="AK9" s="952">
        <v>3.2500000000000009</v>
      </c>
      <c r="AL9" s="380">
        <v>1.3000000000000003</v>
      </c>
      <c r="AM9" s="967">
        <v>312349.7</v>
      </c>
      <c r="AO9" s="952">
        <v>3.2500000000000009</v>
      </c>
      <c r="AP9" s="380">
        <v>1.3000000000000003</v>
      </c>
      <c r="AQ9" s="967">
        <v>320075.05</v>
      </c>
    </row>
    <row r="10" spans="1:43">
      <c r="A10" t="s">
        <v>1497</v>
      </c>
      <c r="B10" s="970" t="s">
        <v>1500</v>
      </c>
      <c r="C10" s="970" t="s">
        <v>1501</v>
      </c>
      <c r="D10" s="963" t="s">
        <v>1502</v>
      </c>
      <c r="E10" s="970" t="s">
        <v>1506</v>
      </c>
      <c r="F10" s="970" t="s">
        <v>1507</v>
      </c>
      <c r="G10" s="963" t="s">
        <v>1508</v>
      </c>
      <c r="H10" s="970" t="s">
        <v>1503</v>
      </c>
      <c r="I10" s="970" t="s">
        <v>159</v>
      </c>
      <c r="J10" s="963" t="s">
        <v>1504</v>
      </c>
      <c r="K10" s="970" t="s">
        <v>1498</v>
      </c>
      <c r="M10" s="963" t="s">
        <v>1566</v>
      </c>
      <c r="O10" s="963" t="s">
        <v>1567</v>
      </c>
      <c r="AK10" s="952">
        <v>3.5000000000000009</v>
      </c>
      <c r="AL10" s="380">
        <v>1.4000000000000004</v>
      </c>
      <c r="AM10" s="967">
        <v>319874.34000000003</v>
      </c>
      <c r="AO10" s="952">
        <v>3.5000000000000009</v>
      </c>
      <c r="AP10" s="380">
        <v>1.4000000000000004</v>
      </c>
      <c r="AQ10" s="967">
        <v>329836.43</v>
      </c>
    </row>
    <row r="11" spans="1:43" ht="15.75" thickBot="1">
      <c r="A11" s="971" t="s">
        <v>705</v>
      </c>
      <c r="B11" s="355">
        <v>1.8</v>
      </c>
      <c r="C11" s="918">
        <v>2.5</v>
      </c>
      <c r="D11" s="975">
        <v>5.3</v>
      </c>
      <c r="E11" s="979">
        <v>0.72</v>
      </c>
      <c r="F11" s="979">
        <v>1</v>
      </c>
      <c r="G11" s="980">
        <v>2.12</v>
      </c>
      <c r="H11" s="967">
        <v>248898.23</v>
      </c>
      <c r="I11" s="967">
        <v>286360.64510000002</v>
      </c>
      <c r="J11" s="977">
        <v>378321.37</v>
      </c>
      <c r="K11" s="967">
        <v>129423.14</v>
      </c>
      <c r="L11" s="355"/>
      <c r="M11" s="952">
        <v>8</v>
      </c>
      <c r="O11" s="967">
        <f>MAX(O3:O8)</f>
        <v>286360.65000000002</v>
      </c>
      <c r="Q11" s="952">
        <v>8</v>
      </c>
      <c r="S11" s="967">
        <f>MAX(S3:S8)</f>
        <v>286360.65000000002</v>
      </c>
      <c r="U11" s="952">
        <v>7.5</v>
      </c>
      <c r="W11" s="967">
        <f>MAX(W3:W8)</f>
        <v>286360.65000000002</v>
      </c>
      <c r="Y11" s="952">
        <v>7.5</v>
      </c>
      <c r="AC11" s="952">
        <v>7.5</v>
      </c>
      <c r="AG11" s="952">
        <v>7.5</v>
      </c>
      <c r="AK11" s="952">
        <v>3.7500000000000009</v>
      </c>
      <c r="AL11" s="380">
        <v>1.5000000000000004</v>
      </c>
      <c r="AM11" s="967">
        <v>326829.8</v>
      </c>
      <c r="AO11" s="952">
        <v>3.7500000000000009</v>
      </c>
      <c r="AP11" s="380">
        <v>1.5000000000000004</v>
      </c>
      <c r="AQ11" s="967">
        <v>338859.42</v>
      </c>
    </row>
    <row r="12" spans="1:43" ht="16.5" thickTop="1" thickBot="1">
      <c r="A12" s="972" t="s">
        <v>704</v>
      </c>
      <c r="B12" s="354">
        <v>1.8</v>
      </c>
      <c r="C12" s="918">
        <v>2.5</v>
      </c>
      <c r="D12" s="976">
        <v>5.3</v>
      </c>
      <c r="E12" s="979">
        <v>0.72</v>
      </c>
      <c r="F12" s="979">
        <v>1</v>
      </c>
      <c r="G12" s="981">
        <v>2.12</v>
      </c>
      <c r="H12" s="967">
        <v>257482.4</v>
      </c>
      <c r="I12" s="967">
        <v>286360.64510000002</v>
      </c>
      <c r="J12" s="978">
        <v>357249.4</v>
      </c>
      <c r="K12" s="967">
        <v>99767</v>
      </c>
      <c r="L12" s="355"/>
      <c r="AK12" s="952">
        <v>4.0000000000000018</v>
      </c>
      <c r="AL12" s="380">
        <v>1.6000000000000005</v>
      </c>
      <c r="AM12" s="967">
        <v>333216.08</v>
      </c>
      <c r="AO12" s="952">
        <v>4.0000000000000018</v>
      </c>
      <c r="AP12" s="380">
        <v>1.6000000000000005</v>
      </c>
      <c r="AQ12" s="967">
        <v>347144.04</v>
      </c>
    </row>
    <row r="13" spans="1:43" ht="16.5" thickTop="1" thickBot="1">
      <c r="A13" s="973" t="s">
        <v>699</v>
      </c>
      <c r="B13" s="354">
        <v>11</v>
      </c>
      <c r="C13" s="918">
        <v>8</v>
      </c>
      <c r="D13" s="976">
        <v>7.5</v>
      </c>
      <c r="E13" s="979">
        <v>1.375</v>
      </c>
      <c r="F13" s="979">
        <v>1</v>
      </c>
      <c r="G13" s="981">
        <v>0.9375</v>
      </c>
      <c r="H13" s="967">
        <v>267198.21999999997</v>
      </c>
      <c r="I13" s="967">
        <v>286360.64510000002</v>
      </c>
      <c r="J13" s="978">
        <v>286266.71000000002</v>
      </c>
      <c r="K13" s="967">
        <v>19068.490000000002</v>
      </c>
      <c r="L13" s="355"/>
      <c r="AK13" s="952">
        <v>4.2500000000000018</v>
      </c>
      <c r="AL13" s="380">
        <v>1.7000000000000006</v>
      </c>
      <c r="AM13" s="967">
        <v>339033.16</v>
      </c>
      <c r="AO13" s="952">
        <v>4.2500000000000018</v>
      </c>
      <c r="AP13" s="380">
        <v>1.7000000000000006</v>
      </c>
      <c r="AQ13" s="967">
        <v>354690.28</v>
      </c>
    </row>
    <row r="14" spans="1:43" ht="16.5" thickTop="1" thickBot="1">
      <c r="A14" s="973" t="s">
        <v>698</v>
      </c>
      <c r="B14" s="354">
        <v>11</v>
      </c>
      <c r="C14" s="918">
        <v>8</v>
      </c>
      <c r="D14" s="976">
        <v>7.5</v>
      </c>
      <c r="E14" s="979">
        <v>1.375</v>
      </c>
      <c r="F14" s="979">
        <v>1</v>
      </c>
      <c r="G14" s="981">
        <v>0.9375</v>
      </c>
      <c r="H14" s="967">
        <v>268630.36</v>
      </c>
      <c r="I14" s="967">
        <v>286360.64510000002</v>
      </c>
      <c r="J14" s="978">
        <v>286219.09000000003</v>
      </c>
      <c r="K14" s="967">
        <v>17588.73</v>
      </c>
      <c r="L14" s="355"/>
      <c r="AK14" s="952">
        <v>4.5000000000000018</v>
      </c>
      <c r="AL14" s="380">
        <v>1.8000000000000007</v>
      </c>
      <c r="AM14" s="967">
        <v>344281.06</v>
      </c>
      <c r="AO14" s="952">
        <v>4.5000000000000018</v>
      </c>
      <c r="AP14" s="380">
        <v>1.8000000000000007</v>
      </c>
      <c r="AQ14" s="967">
        <v>361498.14</v>
      </c>
    </row>
    <row r="15" spans="1:43" ht="16.5" thickTop="1" thickBot="1">
      <c r="A15" s="973" t="s">
        <v>701</v>
      </c>
      <c r="B15" s="354">
        <v>10</v>
      </c>
      <c r="C15" s="918">
        <v>7.5</v>
      </c>
      <c r="D15" s="976">
        <v>6.5</v>
      </c>
      <c r="E15" s="979">
        <v>1.3333333333333333</v>
      </c>
      <c r="F15" s="979">
        <v>1</v>
      </c>
      <c r="G15" s="981">
        <v>0.8666666666666667</v>
      </c>
      <c r="H15" s="967">
        <v>274943.21999999997</v>
      </c>
      <c r="I15" s="967">
        <v>286360.64510000002</v>
      </c>
      <c r="J15" s="978">
        <v>285415.76</v>
      </c>
      <c r="K15" s="967">
        <v>10472.540000000001</v>
      </c>
      <c r="L15" s="355"/>
      <c r="AK15" s="952">
        <v>4.7500000000000018</v>
      </c>
      <c r="AL15" s="380">
        <v>1.9000000000000008</v>
      </c>
      <c r="AM15" s="967">
        <v>348959.77</v>
      </c>
      <c r="AO15" s="952">
        <v>4.7500000000000018</v>
      </c>
      <c r="AP15" s="380">
        <v>1.9000000000000008</v>
      </c>
      <c r="AQ15" s="967">
        <v>367567.61</v>
      </c>
    </row>
    <row r="16" spans="1:43" ht="16.5" thickTop="1" thickBot="1">
      <c r="A16" s="974" t="s">
        <v>702</v>
      </c>
      <c r="B16" s="354">
        <v>10</v>
      </c>
      <c r="C16" s="918">
        <v>7.5</v>
      </c>
      <c r="D16" s="976">
        <v>6.5</v>
      </c>
      <c r="E16" s="979">
        <v>1.3333333333333333</v>
      </c>
      <c r="F16" s="979">
        <v>1</v>
      </c>
      <c r="G16" s="981">
        <v>0.8666666666666667</v>
      </c>
      <c r="H16" s="967">
        <v>276086.36</v>
      </c>
      <c r="I16" s="967">
        <v>286360.64510000002</v>
      </c>
      <c r="J16" s="978">
        <v>285510.36</v>
      </c>
      <c r="K16" s="967">
        <v>9424</v>
      </c>
      <c r="L16" s="355"/>
      <c r="AK16" s="952">
        <v>5.0000000000000018</v>
      </c>
      <c r="AL16" s="380">
        <v>2.0000000000000009</v>
      </c>
      <c r="AM16" s="967">
        <v>353069.3</v>
      </c>
      <c r="AO16" s="952">
        <v>5.0000000000000018</v>
      </c>
      <c r="AP16" s="380">
        <v>2.0000000000000009</v>
      </c>
      <c r="AQ16" s="967">
        <v>372898.71</v>
      </c>
    </row>
    <row r="17" spans="1:43" ht="16.5" thickTop="1" thickBot="1">
      <c r="A17" s="973" t="s">
        <v>700</v>
      </c>
      <c r="B17" s="354">
        <v>10</v>
      </c>
      <c r="C17" s="918">
        <v>7.5</v>
      </c>
      <c r="D17" s="976">
        <v>6.5</v>
      </c>
      <c r="E17" s="979">
        <v>1.3333333333333333</v>
      </c>
      <c r="F17" s="979">
        <v>1</v>
      </c>
      <c r="G17" s="981">
        <v>0.8666666666666667</v>
      </c>
      <c r="H17" s="967">
        <v>279674.08</v>
      </c>
      <c r="I17" s="967">
        <v>286360.64510000002</v>
      </c>
      <c r="J17" s="978">
        <v>285807.27</v>
      </c>
      <c r="K17" s="967">
        <v>6133.19</v>
      </c>
      <c r="L17" s="355"/>
      <c r="AK17" s="952">
        <v>5.2500000000000027</v>
      </c>
      <c r="AL17" s="380">
        <v>2.100000000000001</v>
      </c>
      <c r="AM17" s="967">
        <v>356609.64</v>
      </c>
      <c r="AO17" s="952">
        <v>5.2500000000000027</v>
      </c>
      <c r="AP17" s="380">
        <v>2.100000000000001</v>
      </c>
      <c r="AQ17" s="967">
        <v>377491.43</v>
      </c>
    </row>
    <row r="18" spans="1:43" ht="16.5" thickTop="1" thickBot="1">
      <c r="A18" s="972" t="s">
        <v>703</v>
      </c>
      <c r="B18" s="354">
        <v>10</v>
      </c>
      <c r="C18" s="918">
        <v>7.5</v>
      </c>
      <c r="D18" s="976">
        <v>6.5</v>
      </c>
      <c r="E18" s="979">
        <v>1.3333333333333333</v>
      </c>
      <c r="F18" s="979">
        <v>1</v>
      </c>
      <c r="G18" s="981">
        <v>0.8666666666666667</v>
      </c>
      <c r="H18" s="967">
        <v>280067.40999999997</v>
      </c>
      <c r="I18" s="967">
        <v>286360.64510000002</v>
      </c>
      <c r="J18" s="978">
        <v>285839.83</v>
      </c>
      <c r="K18" s="967">
        <v>5772.42</v>
      </c>
      <c r="L18" s="355"/>
      <c r="AK18" s="952">
        <v>5.3000000000000007</v>
      </c>
      <c r="AL18" s="380">
        <v>2.12</v>
      </c>
      <c r="AM18" s="967">
        <v>357249.4</v>
      </c>
      <c r="AO18" s="952">
        <v>5.3000000000000007</v>
      </c>
      <c r="AP18" s="380">
        <v>2.12</v>
      </c>
      <c r="AQ18" s="967">
        <v>378321.37</v>
      </c>
    </row>
    <row r="19" spans="1:43" ht="15.75" thickTop="1"/>
  </sheetData>
  <sortState xmlns:xlrd2="http://schemas.microsoft.com/office/spreadsheetml/2017/richdata2" ref="A11:L18">
    <sortCondition descending="1" ref="K11"/>
  </sortState>
  <phoneticPr fontId="87" type="noConversion"/>
  <pageMargins left="0.7" right="0.7" top="0.75" bottom="0.75" header="0.3" footer="0.3"/>
  <pageSetup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E48B-5EF4-4F6E-B3A3-C969C7BE01CC}">
  <sheetPr>
    <tabColor rgb="FF00B0F0"/>
    <pageSetUpPr fitToPage="1"/>
  </sheetPr>
  <dimension ref="A1:AM38"/>
  <sheetViews>
    <sheetView topLeftCell="A52" workbookViewId="0"/>
  </sheetViews>
  <sheetFormatPr defaultRowHeight="15"/>
  <cols>
    <col min="1" max="1" width="18.7109375" bestFit="1" customWidth="1"/>
    <col min="2" max="2" width="14.5703125" bestFit="1" customWidth="1"/>
    <col min="3" max="4" width="12.42578125" bestFit="1" customWidth="1"/>
    <col min="5" max="8" width="9.28515625" bestFit="1" customWidth="1"/>
    <col min="11" max="12" width="8.5703125" bestFit="1" customWidth="1"/>
    <col min="13" max="13" width="6.42578125" bestFit="1" customWidth="1"/>
    <col min="14" max="14" width="6.28515625" bestFit="1" customWidth="1"/>
    <col min="15" max="15" width="9.28515625" bestFit="1" customWidth="1"/>
    <col min="16" max="16" width="6.42578125" bestFit="1" customWidth="1"/>
    <col min="17" max="17" width="6.7109375" bestFit="1" customWidth="1"/>
    <col min="18" max="18" width="9.28515625" bestFit="1" customWidth="1"/>
    <col min="19" max="19" width="6.42578125" bestFit="1" customWidth="1"/>
    <col min="20" max="20" width="7.7109375" bestFit="1" customWidth="1"/>
    <col min="21" max="21" width="9.28515625" bestFit="1" customWidth="1"/>
    <col min="22" max="22" width="6.85546875" bestFit="1" customWidth="1"/>
    <col min="23" max="23" width="6.28515625" bestFit="1" customWidth="1"/>
    <col min="24" max="24" width="9.28515625" bestFit="1" customWidth="1"/>
    <col min="25" max="25" width="6.85546875" bestFit="1" customWidth="1"/>
    <col min="26" max="26" width="6.7109375" bestFit="1" customWidth="1"/>
    <col min="27" max="27" width="9.28515625" bestFit="1" customWidth="1"/>
    <col min="28" max="28" width="6.85546875" bestFit="1" customWidth="1"/>
    <col min="29" max="29" width="7.7109375" bestFit="1" customWidth="1"/>
    <col min="30" max="30" width="9.28515625" bestFit="1" customWidth="1"/>
    <col min="31" max="31" width="7.85546875" bestFit="1" customWidth="1"/>
    <col min="32" max="32" width="6.28515625" bestFit="1" customWidth="1"/>
    <col min="33" max="33" width="9.28515625" bestFit="1" customWidth="1"/>
    <col min="34" max="34" width="7.85546875" bestFit="1" customWidth="1"/>
    <col min="35" max="35" width="6.7109375" bestFit="1" customWidth="1"/>
    <col min="36" max="36" width="9.28515625" bestFit="1" customWidth="1"/>
    <col min="37" max="37" width="7.85546875" bestFit="1" customWidth="1"/>
    <col min="38" max="38" width="7.7109375" bestFit="1" customWidth="1"/>
    <col min="39" max="39" width="9.28515625" bestFit="1" customWidth="1"/>
  </cols>
  <sheetData>
    <row r="1" spans="1:39">
      <c r="A1" s="119" t="s">
        <v>1485</v>
      </c>
    </row>
    <row r="2" spans="1:39">
      <c r="A2" t="s">
        <v>1486</v>
      </c>
    </row>
    <row r="3" spans="1:39">
      <c r="A3" t="s">
        <v>1511</v>
      </c>
    </row>
    <row r="5" spans="1:39">
      <c r="A5" s="963" t="s">
        <v>1488</v>
      </c>
      <c r="B5" s="964">
        <v>45019</v>
      </c>
      <c r="D5" s="963" t="s">
        <v>1490</v>
      </c>
      <c r="E5" t="s">
        <v>1491</v>
      </c>
    </row>
    <row r="6" spans="1:39">
      <c r="A6" s="963" t="s">
        <v>1489</v>
      </c>
      <c r="B6" s="965">
        <v>0.78749999999999998</v>
      </c>
      <c r="D6" s="963" t="s">
        <v>1492</v>
      </c>
      <c r="E6" s="966" t="s">
        <v>1493</v>
      </c>
    </row>
    <row r="8" spans="1:39">
      <c r="E8" s="968" t="s">
        <v>170</v>
      </c>
      <c r="F8" s="968"/>
      <c r="G8" s="968"/>
    </row>
    <row r="9" spans="1:39">
      <c r="B9" s="969" t="s">
        <v>1512</v>
      </c>
      <c r="C9" s="968"/>
      <c r="D9" s="968"/>
      <c r="E9" s="969" t="s">
        <v>1495</v>
      </c>
      <c r="F9" s="968"/>
      <c r="G9" s="968"/>
    </row>
    <row r="10" spans="1:39" ht="15.75" thickBot="1">
      <c r="A10" t="s">
        <v>1513</v>
      </c>
      <c r="B10" s="983" t="s">
        <v>1500</v>
      </c>
      <c r="C10" s="983" t="s">
        <v>1501</v>
      </c>
      <c r="D10" t="s">
        <v>1502</v>
      </c>
      <c r="E10" s="984" t="s">
        <v>1503</v>
      </c>
      <c r="F10" s="984" t="s">
        <v>159</v>
      </c>
      <c r="G10" s="963" t="s">
        <v>1504</v>
      </c>
      <c r="H10" s="984" t="s">
        <v>1498</v>
      </c>
      <c r="K10" s="983" t="s">
        <v>1514</v>
      </c>
      <c r="L10" t="s">
        <v>1515</v>
      </c>
      <c r="M10" s="984" t="s">
        <v>1516</v>
      </c>
      <c r="N10" s="984" t="s">
        <v>1517</v>
      </c>
      <c r="O10" s="963" t="s">
        <v>1518</v>
      </c>
      <c r="P10" s="984" t="s">
        <v>1516</v>
      </c>
      <c r="Q10" s="984" t="s">
        <v>1519</v>
      </c>
      <c r="R10" s="963" t="s">
        <v>1518</v>
      </c>
      <c r="S10" s="984" t="s">
        <v>1516</v>
      </c>
      <c r="T10" s="984" t="s">
        <v>1520</v>
      </c>
      <c r="U10" s="963" t="s">
        <v>1518</v>
      </c>
      <c r="V10" s="984" t="s">
        <v>1521</v>
      </c>
      <c r="W10" s="984" t="s">
        <v>1517</v>
      </c>
      <c r="X10" s="963" t="s">
        <v>1518</v>
      </c>
      <c r="Y10" s="984" t="s">
        <v>1521</v>
      </c>
      <c r="Z10" s="984" t="s">
        <v>1519</v>
      </c>
      <c r="AA10" s="963" t="s">
        <v>1518</v>
      </c>
      <c r="AB10" s="984" t="s">
        <v>1521</v>
      </c>
      <c r="AC10" s="984" t="s">
        <v>1520</v>
      </c>
      <c r="AD10" s="963" t="s">
        <v>1518</v>
      </c>
      <c r="AE10" s="984" t="s">
        <v>1522</v>
      </c>
      <c r="AF10" s="984" t="s">
        <v>1517</v>
      </c>
      <c r="AG10" s="963" t="s">
        <v>1518</v>
      </c>
      <c r="AH10" s="984" t="s">
        <v>1522</v>
      </c>
      <c r="AI10" s="984" t="s">
        <v>1519</v>
      </c>
      <c r="AJ10" s="963" t="s">
        <v>1518</v>
      </c>
      <c r="AK10" s="984" t="s">
        <v>1522</v>
      </c>
      <c r="AL10" s="984" t="s">
        <v>1520</v>
      </c>
      <c r="AM10" s="984" t="s">
        <v>1518</v>
      </c>
    </row>
    <row r="11" spans="1:39" ht="15.75" thickBot="1">
      <c r="A11" s="985" t="s">
        <v>1550</v>
      </c>
      <c r="B11" t="s">
        <v>1563</v>
      </c>
      <c r="C11" t="s">
        <v>1564</v>
      </c>
      <c r="D11" s="992" t="s">
        <v>1565</v>
      </c>
      <c r="E11" s="967">
        <v>220019.98</v>
      </c>
      <c r="F11" s="967">
        <v>286360.65000000002</v>
      </c>
      <c r="G11" s="994">
        <v>449210.13</v>
      </c>
      <c r="H11" s="967">
        <v>229190.15</v>
      </c>
      <c r="K11" t="s">
        <v>704</v>
      </c>
      <c r="L11" s="992" t="s">
        <v>705</v>
      </c>
      <c r="M11" s="952">
        <v>1.8</v>
      </c>
      <c r="N11" s="952">
        <v>1.8</v>
      </c>
      <c r="O11" s="994">
        <v>220019.98</v>
      </c>
      <c r="P11" s="952">
        <v>1.8</v>
      </c>
      <c r="Q11" s="952">
        <v>2.5</v>
      </c>
      <c r="R11" s="994">
        <v>257482.4</v>
      </c>
      <c r="S11" s="952">
        <v>1.8</v>
      </c>
      <c r="T11" s="952">
        <v>5.3</v>
      </c>
      <c r="U11" s="994">
        <v>349443.13</v>
      </c>
      <c r="V11" s="952">
        <v>2.5</v>
      </c>
      <c r="W11" s="952">
        <v>1.8</v>
      </c>
      <c r="X11" s="994">
        <v>248898.23</v>
      </c>
      <c r="Y11" s="952">
        <v>2.5</v>
      </c>
      <c r="Z11" s="952">
        <v>2.5</v>
      </c>
      <c r="AA11" s="994">
        <v>286360.65000000002</v>
      </c>
      <c r="AB11" s="952">
        <v>2.5</v>
      </c>
      <c r="AC11" s="952">
        <v>5.3</v>
      </c>
      <c r="AD11" s="994">
        <v>378321.37</v>
      </c>
      <c r="AE11" s="952">
        <v>5.3</v>
      </c>
      <c r="AF11" s="952">
        <v>1.8</v>
      </c>
      <c r="AG11" s="994">
        <v>319786.99</v>
      </c>
      <c r="AH11" s="952">
        <v>5.3</v>
      </c>
      <c r="AI11" s="952">
        <v>2.5</v>
      </c>
      <c r="AJ11" s="994">
        <v>357249.4</v>
      </c>
      <c r="AK11" s="952">
        <v>5.3</v>
      </c>
      <c r="AL11" s="952">
        <v>5.3</v>
      </c>
      <c r="AM11" s="967">
        <v>449210.13</v>
      </c>
    </row>
    <row r="12" spans="1:39" ht="16.5" thickTop="1" thickBot="1">
      <c r="A12" s="986" t="s">
        <v>1535</v>
      </c>
      <c r="B12" s="982" t="s">
        <v>1555</v>
      </c>
      <c r="C12" t="s">
        <v>1556</v>
      </c>
      <c r="D12" s="989" t="s">
        <v>1557</v>
      </c>
      <c r="E12" s="967">
        <v>229735.8</v>
      </c>
      <c r="F12" s="967">
        <v>286360.65000000002</v>
      </c>
      <c r="G12" s="995">
        <v>378321.37</v>
      </c>
      <c r="H12" s="967">
        <v>148585.57</v>
      </c>
      <c r="K12" t="s">
        <v>699</v>
      </c>
      <c r="L12" s="989" t="s">
        <v>705</v>
      </c>
      <c r="M12" s="952">
        <v>7.5</v>
      </c>
      <c r="N12" s="952">
        <v>1.8</v>
      </c>
      <c r="O12" s="995">
        <v>248804.29</v>
      </c>
      <c r="P12" s="952">
        <v>7.5</v>
      </c>
      <c r="Q12" s="952">
        <v>2.5</v>
      </c>
      <c r="R12" s="995">
        <v>286266.71000000002</v>
      </c>
      <c r="S12" s="952">
        <v>7.5</v>
      </c>
      <c r="T12" s="952">
        <v>5.3</v>
      </c>
      <c r="U12" s="995">
        <v>378227.44</v>
      </c>
      <c r="V12" s="952">
        <v>8</v>
      </c>
      <c r="W12" s="952">
        <v>1.8</v>
      </c>
      <c r="X12" s="995">
        <v>248898.23</v>
      </c>
      <c r="Y12" s="952">
        <v>8</v>
      </c>
      <c r="Z12" s="952">
        <v>2.5</v>
      </c>
      <c r="AA12" s="995">
        <v>286360.65000000002</v>
      </c>
      <c r="AB12" s="952">
        <v>8</v>
      </c>
      <c r="AC12" s="952">
        <v>5.3</v>
      </c>
      <c r="AD12" s="995">
        <v>378321.37</v>
      </c>
      <c r="AE12" s="952">
        <v>11</v>
      </c>
      <c r="AF12" s="952">
        <v>1.8</v>
      </c>
      <c r="AG12" s="995">
        <v>229735.8</v>
      </c>
      <c r="AH12" s="952">
        <v>11</v>
      </c>
      <c r="AI12" s="952">
        <v>2.5</v>
      </c>
      <c r="AJ12" s="995">
        <v>267198.21999999997</v>
      </c>
      <c r="AK12" s="952">
        <v>11</v>
      </c>
      <c r="AL12" s="952">
        <v>5.3</v>
      </c>
      <c r="AM12" s="967">
        <v>359158.95</v>
      </c>
    </row>
    <row r="13" spans="1:39" ht="16.5" thickTop="1" thickBot="1">
      <c r="A13" s="987" t="s">
        <v>1529</v>
      </c>
      <c r="B13" s="354" t="s">
        <v>1555</v>
      </c>
      <c r="C13" s="918" t="s">
        <v>1556</v>
      </c>
      <c r="D13" s="993" t="s">
        <v>1557</v>
      </c>
      <c r="E13" s="967">
        <v>231167.94</v>
      </c>
      <c r="F13" s="967">
        <v>286360.65000000002</v>
      </c>
      <c r="G13" s="995">
        <v>378321.37</v>
      </c>
      <c r="H13" s="967">
        <v>147153.43</v>
      </c>
      <c r="K13" t="s">
        <v>698</v>
      </c>
      <c r="L13" s="989" t="s">
        <v>705</v>
      </c>
      <c r="M13" s="952">
        <v>7.5</v>
      </c>
      <c r="N13" s="952">
        <v>1.8</v>
      </c>
      <c r="O13" s="995">
        <v>248756.67</v>
      </c>
      <c r="P13" s="952">
        <v>7.5</v>
      </c>
      <c r="Q13" s="952">
        <v>2.5</v>
      </c>
      <c r="R13" s="995">
        <v>286219.09000000003</v>
      </c>
      <c r="S13" s="952">
        <v>7.5</v>
      </c>
      <c r="T13" s="952">
        <v>5.3</v>
      </c>
      <c r="U13" s="995">
        <v>378179.81</v>
      </c>
      <c r="V13" s="952">
        <v>8</v>
      </c>
      <c r="W13" s="952">
        <v>1.8</v>
      </c>
      <c r="X13" s="995">
        <v>248898.23</v>
      </c>
      <c r="Y13" s="952">
        <v>8</v>
      </c>
      <c r="Z13" s="952">
        <v>2.5</v>
      </c>
      <c r="AA13" s="995">
        <v>286360.65000000002</v>
      </c>
      <c r="AB13" s="952">
        <v>8</v>
      </c>
      <c r="AC13" s="952">
        <v>5.3</v>
      </c>
      <c r="AD13" s="995">
        <v>378321.37</v>
      </c>
      <c r="AE13" s="952">
        <v>11</v>
      </c>
      <c r="AF13" s="952">
        <v>1.8</v>
      </c>
      <c r="AG13" s="995">
        <v>231167.94</v>
      </c>
      <c r="AH13" s="952">
        <v>11</v>
      </c>
      <c r="AI13" s="952">
        <v>2.5</v>
      </c>
      <c r="AJ13" s="995">
        <v>268630.36</v>
      </c>
      <c r="AK13" s="952">
        <v>11</v>
      </c>
      <c r="AL13" s="952">
        <v>5.3</v>
      </c>
      <c r="AM13" s="967">
        <v>360591.08</v>
      </c>
    </row>
    <row r="14" spans="1:39" ht="16.5" thickTop="1" thickBot="1">
      <c r="A14" s="986" t="s">
        <v>1544</v>
      </c>
      <c r="B14" s="982" t="s">
        <v>1560</v>
      </c>
      <c r="C14" t="s">
        <v>1561</v>
      </c>
      <c r="D14" s="989" t="s">
        <v>1562</v>
      </c>
      <c r="E14" s="967">
        <v>237480.8</v>
      </c>
      <c r="F14" s="967">
        <v>286360.65000000002</v>
      </c>
      <c r="G14" s="995">
        <v>378321.37</v>
      </c>
      <c r="H14" s="967">
        <v>140840.57</v>
      </c>
      <c r="K14" t="s">
        <v>701</v>
      </c>
      <c r="L14" s="989" t="s">
        <v>705</v>
      </c>
      <c r="M14" s="952">
        <v>6.5</v>
      </c>
      <c r="N14" s="952">
        <v>1.8</v>
      </c>
      <c r="O14" s="995">
        <v>247953.34</v>
      </c>
      <c r="P14" s="952">
        <v>6.5</v>
      </c>
      <c r="Q14" s="952">
        <v>2.5</v>
      </c>
      <c r="R14" s="995">
        <v>285415.76</v>
      </c>
      <c r="S14" s="952">
        <v>6.5</v>
      </c>
      <c r="T14" s="952">
        <v>5.3</v>
      </c>
      <c r="U14" s="995">
        <v>377376.48</v>
      </c>
      <c r="V14" s="952">
        <v>7.5</v>
      </c>
      <c r="W14" s="952">
        <v>1.8</v>
      </c>
      <c r="X14" s="995">
        <v>248898.23</v>
      </c>
      <c r="Y14" s="952">
        <v>7.5</v>
      </c>
      <c r="Z14" s="952">
        <v>2.5</v>
      </c>
      <c r="AA14" s="995">
        <v>286360.65000000002</v>
      </c>
      <c r="AB14" s="952">
        <v>7.5</v>
      </c>
      <c r="AC14" s="952">
        <v>5.3</v>
      </c>
      <c r="AD14" s="995">
        <v>378321.37</v>
      </c>
      <c r="AE14" s="952">
        <v>10</v>
      </c>
      <c r="AF14" s="952">
        <v>1.8</v>
      </c>
      <c r="AG14" s="995">
        <v>237480.8</v>
      </c>
      <c r="AH14" s="952">
        <v>10</v>
      </c>
      <c r="AI14" s="952">
        <v>2.5</v>
      </c>
      <c r="AJ14" s="995">
        <v>274943.21999999997</v>
      </c>
      <c r="AK14" s="952">
        <v>10</v>
      </c>
      <c r="AL14" s="952">
        <v>5.3</v>
      </c>
      <c r="AM14" s="967">
        <v>366903.95</v>
      </c>
    </row>
    <row r="15" spans="1:39" ht="16.5" thickTop="1" thickBot="1">
      <c r="A15" s="986" t="s">
        <v>1547</v>
      </c>
      <c r="B15" s="982" t="s">
        <v>1560</v>
      </c>
      <c r="C15" t="s">
        <v>1561</v>
      </c>
      <c r="D15" s="989" t="s">
        <v>1562</v>
      </c>
      <c r="E15" s="967">
        <v>238623.94</v>
      </c>
      <c r="F15" s="967">
        <v>286360.65000000002</v>
      </c>
      <c r="G15" s="995">
        <v>378321.37</v>
      </c>
      <c r="H15" s="967">
        <v>139697.43</v>
      </c>
      <c r="K15" t="s">
        <v>702</v>
      </c>
      <c r="L15" s="989" t="s">
        <v>705</v>
      </c>
      <c r="M15" s="952">
        <v>6.5</v>
      </c>
      <c r="N15" s="952">
        <v>1.8</v>
      </c>
      <c r="O15" s="995">
        <v>248047.94</v>
      </c>
      <c r="P15" s="952">
        <v>6.5</v>
      </c>
      <c r="Q15" s="952">
        <v>2.5</v>
      </c>
      <c r="R15" s="995">
        <v>285510.36</v>
      </c>
      <c r="S15" s="952">
        <v>6.5</v>
      </c>
      <c r="T15" s="952">
        <v>5.3</v>
      </c>
      <c r="U15" s="995">
        <v>377471.09</v>
      </c>
      <c r="V15" s="952">
        <v>7.5</v>
      </c>
      <c r="W15" s="952">
        <v>1.8</v>
      </c>
      <c r="X15" s="995">
        <v>248898.23</v>
      </c>
      <c r="Y15" s="952">
        <v>7.5</v>
      </c>
      <c r="Z15" s="952">
        <v>2.5</v>
      </c>
      <c r="AA15" s="995">
        <v>286360.65000000002</v>
      </c>
      <c r="AB15" s="952">
        <v>7.5</v>
      </c>
      <c r="AC15" s="952">
        <v>5.3</v>
      </c>
      <c r="AD15" s="995">
        <v>378321.37</v>
      </c>
      <c r="AE15" s="952">
        <v>10</v>
      </c>
      <c r="AF15" s="952">
        <v>1.8</v>
      </c>
      <c r="AG15" s="995">
        <v>238623.94</v>
      </c>
      <c r="AH15" s="952">
        <v>10</v>
      </c>
      <c r="AI15" s="952">
        <v>2.5</v>
      </c>
      <c r="AJ15" s="995">
        <v>276086.36</v>
      </c>
      <c r="AK15" s="952">
        <v>10</v>
      </c>
      <c r="AL15" s="952">
        <v>5.3</v>
      </c>
      <c r="AM15" s="967">
        <v>368047.09</v>
      </c>
    </row>
    <row r="16" spans="1:39" ht="16.5" thickTop="1" thickBot="1">
      <c r="A16" s="986" t="s">
        <v>1540</v>
      </c>
      <c r="B16" s="982" t="s">
        <v>1560</v>
      </c>
      <c r="C16" t="s">
        <v>1561</v>
      </c>
      <c r="D16" s="989" t="s">
        <v>1562</v>
      </c>
      <c r="E16" s="967">
        <v>242211.66</v>
      </c>
      <c r="F16" s="967">
        <v>286360.65000000002</v>
      </c>
      <c r="G16" s="995">
        <v>378321.37</v>
      </c>
      <c r="H16" s="967">
        <v>136109.71</v>
      </c>
      <c r="K16" t="s">
        <v>700</v>
      </c>
      <c r="L16" s="989" t="s">
        <v>705</v>
      </c>
      <c r="M16" s="952">
        <v>6.5</v>
      </c>
      <c r="N16" s="952">
        <v>1.8</v>
      </c>
      <c r="O16" s="995">
        <v>248344.86</v>
      </c>
      <c r="P16" s="952">
        <v>6.5</v>
      </c>
      <c r="Q16" s="952">
        <v>2.5</v>
      </c>
      <c r="R16" s="995">
        <v>285807.27</v>
      </c>
      <c r="S16" s="952">
        <v>6.5</v>
      </c>
      <c r="T16" s="952">
        <v>5.3</v>
      </c>
      <c r="U16" s="995">
        <v>377768</v>
      </c>
      <c r="V16" s="952">
        <v>7.5</v>
      </c>
      <c r="W16" s="952">
        <v>1.8</v>
      </c>
      <c r="X16" s="995">
        <v>248898.23</v>
      </c>
      <c r="Y16" s="952">
        <v>7.5</v>
      </c>
      <c r="Z16" s="952">
        <v>2.5</v>
      </c>
      <c r="AA16" s="995">
        <v>286360.65000000002</v>
      </c>
      <c r="AB16" s="952">
        <v>7.5</v>
      </c>
      <c r="AC16" s="952">
        <v>5.3</v>
      </c>
      <c r="AD16" s="995">
        <v>378321.37</v>
      </c>
      <c r="AE16" s="952">
        <v>10</v>
      </c>
      <c r="AF16" s="952">
        <v>1.8</v>
      </c>
      <c r="AG16" s="995">
        <v>242211.66</v>
      </c>
      <c r="AH16" s="952">
        <v>10</v>
      </c>
      <c r="AI16" s="952">
        <v>2.5</v>
      </c>
      <c r="AJ16" s="995">
        <v>279674.08</v>
      </c>
      <c r="AK16" s="952">
        <v>10</v>
      </c>
      <c r="AL16" s="952">
        <v>5.3</v>
      </c>
      <c r="AM16" s="967">
        <v>371634.81</v>
      </c>
    </row>
    <row r="17" spans="1:39" ht="16.5" thickTop="1" thickBot="1">
      <c r="A17" s="986" t="s">
        <v>1549</v>
      </c>
      <c r="B17" s="982" t="s">
        <v>1560</v>
      </c>
      <c r="C17" t="s">
        <v>1561</v>
      </c>
      <c r="D17" s="989" t="s">
        <v>1562</v>
      </c>
      <c r="E17" s="967">
        <v>242604.99</v>
      </c>
      <c r="F17" s="967">
        <v>286360.65000000002</v>
      </c>
      <c r="G17" s="995">
        <v>378321.37</v>
      </c>
      <c r="H17" s="967">
        <v>135716.38</v>
      </c>
      <c r="K17" t="s">
        <v>703</v>
      </c>
      <c r="L17" s="989" t="s">
        <v>705</v>
      </c>
      <c r="M17" s="952">
        <v>6.5</v>
      </c>
      <c r="N17" s="952">
        <v>1.8</v>
      </c>
      <c r="O17" s="995">
        <v>248377.41</v>
      </c>
      <c r="P17" s="952">
        <v>6.5</v>
      </c>
      <c r="Q17" s="952">
        <v>2.5</v>
      </c>
      <c r="R17" s="995">
        <v>285839.83</v>
      </c>
      <c r="S17" s="952">
        <v>6.5</v>
      </c>
      <c r="T17" s="952">
        <v>5.3</v>
      </c>
      <c r="U17" s="995">
        <v>377800.55</v>
      </c>
      <c r="V17" s="952">
        <v>7.5</v>
      </c>
      <c r="W17" s="952">
        <v>1.8</v>
      </c>
      <c r="X17" s="995">
        <v>248898.23</v>
      </c>
      <c r="Y17" s="952">
        <v>7.5</v>
      </c>
      <c r="Z17" s="952">
        <v>2.5</v>
      </c>
      <c r="AA17" s="995">
        <v>286360.65000000002</v>
      </c>
      <c r="AB17" s="952">
        <v>7.5</v>
      </c>
      <c r="AC17" s="952">
        <v>5.3</v>
      </c>
      <c r="AD17" s="995">
        <v>378321.37</v>
      </c>
      <c r="AE17" s="952">
        <v>10</v>
      </c>
      <c r="AF17" s="952">
        <v>1.8</v>
      </c>
      <c r="AG17" s="995">
        <v>242604.99</v>
      </c>
      <c r="AH17" s="952">
        <v>10</v>
      </c>
      <c r="AI17" s="952">
        <v>2.5</v>
      </c>
      <c r="AJ17" s="995">
        <v>280067.40999999997</v>
      </c>
      <c r="AK17" s="952">
        <v>10</v>
      </c>
      <c r="AL17" s="952">
        <v>5.3</v>
      </c>
      <c r="AM17" s="967">
        <v>372028.13</v>
      </c>
    </row>
    <row r="18" spans="1:39" ht="16.5" thickTop="1" thickBot="1">
      <c r="A18" s="986" t="s">
        <v>1534</v>
      </c>
      <c r="B18" s="982" t="s">
        <v>1555</v>
      </c>
      <c r="C18" t="s">
        <v>1556</v>
      </c>
      <c r="D18" s="989" t="s">
        <v>1557</v>
      </c>
      <c r="E18" s="967">
        <v>238319.98</v>
      </c>
      <c r="F18" s="967">
        <v>286360.65000000002</v>
      </c>
      <c r="G18" s="995">
        <v>357249.4</v>
      </c>
      <c r="H18" s="967">
        <v>118929.42000000001</v>
      </c>
      <c r="K18" t="s">
        <v>699</v>
      </c>
      <c r="L18" s="989" t="s">
        <v>704</v>
      </c>
      <c r="M18" s="952">
        <v>7.5</v>
      </c>
      <c r="N18" s="952">
        <v>1.8</v>
      </c>
      <c r="O18" s="995">
        <v>257388.47</v>
      </c>
      <c r="P18" s="952">
        <v>7.5</v>
      </c>
      <c r="Q18" s="952">
        <v>2.5</v>
      </c>
      <c r="R18" s="995">
        <v>286266.71000000002</v>
      </c>
      <c r="S18" s="952">
        <v>7.5</v>
      </c>
      <c r="T18" s="952">
        <v>5.3</v>
      </c>
      <c r="U18" s="995">
        <v>357155.47</v>
      </c>
      <c r="V18" s="952">
        <v>8</v>
      </c>
      <c r="W18" s="952">
        <v>1.8</v>
      </c>
      <c r="X18" s="995">
        <v>257482.4</v>
      </c>
      <c r="Y18" s="952">
        <v>8</v>
      </c>
      <c r="Z18" s="952">
        <v>2.5</v>
      </c>
      <c r="AA18" s="995">
        <v>286360.65000000002</v>
      </c>
      <c r="AB18" s="952">
        <v>8</v>
      </c>
      <c r="AC18" s="952">
        <v>5.3</v>
      </c>
      <c r="AD18" s="995">
        <v>357249.4</v>
      </c>
      <c r="AE18" s="952">
        <v>11</v>
      </c>
      <c r="AF18" s="952">
        <v>1.8</v>
      </c>
      <c r="AG18" s="995">
        <v>238319.98</v>
      </c>
      <c r="AH18" s="952">
        <v>11</v>
      </c>
      <c r="AI18" s="952">
        <v>2.5</v>
      </c>
      <c r="AJ18" s="995">
        <v>267198.21999999997</v>
      </c>
      <c r="AK18" s="952">
        <v>11</v>
      </c>
      <c r="AL18" s="952">
        <v>5.3</v>
      </c>
      <c r="AM18" s="967">
        <v>338086.98</v>
      </c>
    </row>
    <row r="19" spans="1:39" ht="15.75" thickTop="1">
      <c r="A19" s="988" t="s">
        <v>1528</v>
      </c>
      <c r="B19" s="355" t="s">
        <v>1555</v>
      </c>
      <c r="C19" s="918" t="s">
        <v>1556</v>
      </c>
      <c r="D19" s="993" t="s">
        <v>1557</v>
      </c>
      <c r="E19" s="967">
        <v>239752.11</v>
      </c>
      <c r="F19" s="967">
        <v>286360.65000000002</v>
      </c>
      <c r="G19" s="995">
        <v>357249.4</v>
      </c>
      <c r="H19" s="967">
        <v>117497.29000000004</v>
      </c>
      <c r="K19" t="s">
        <v>698</v>
      </c>
      <c r="L19" s="989" t="s">
        <v>704</v>
      </c>
      <c r="M19" s="952">
        <v>7.5</v>
      </c>
      <c r="N19" s="952">
        <v>1.8</v>
      </c>
      <c r="O19" s="995">
        <v>257340.84</v>
      </c>
      <c r="P19" s="952">
        <v>7.5</v>
      </c>
      <c r="Q19" s="952">
        <v>2.5</v>
      </c>
      <c r="R19" s="995">
        <v>286219.09000000003</v>
      </c>
      <c r="S19" s="952">
        <v>7.5</v>
      </c>
      <c r="T19" s="952">
        <v>5.3</v>
      </c>
      <c r="U19" s="995">
        <v>357107.85</v>
      </c>
      <c r="V19" s="952">
        <v>8</v>
      </c>
      <c r="W19" s="952">
        <v>1.8</v>
      </c>
      <c r="X19" s="995">
        <v>257482.4</v>
      </c>
      <c r="Y19" s="952">
        <v>8</v>
      </c>
      <c r="Z19" s="952">
        <v>2.5</v>
      </c>
      <c r="AA19" s="995">
        <v>286360.65000000002</v>
      </c>
      <c r="AB19" s="952">
        <v>8</v>
      </c>
      <c r="AC19" s="952">
        <v>5.3</v>
      </c>
      <c r="AD19" s="995">
        <v>357249.4</v>
      </c>
      <c r="AE19" s="952">
        <v>11</v>
      </c>
      <c r="AF19" s="952">
        <v>1.8</v>
      </c>
      <c r="AG19" s="995">
        <v>239752.11</v>
      </c>
      <c r="AH19" s="952">
        <v>11</v>
      </c>
      <c r="AI19" s="952">
        <v>2.5</v>
      </c>
      <c r="AJ19" s="995">
        <v>268630.36</v>
      </c>
      <c r="AK19" s="952">
        <v>11</v>
      </c>
      <c r="AL19" s="952">
        <v>5.3</v>
      </c>
      <c r="AM19" s="967">
        <v>339519.11</v>
      </c>
    </row>
    <row r="20" spans="1:39">
      <c r="A20" s="989" t="s">
        <v>1543</v>
      </c>
      <c r="B20" t="s">
        <v>1560</v>
      </c>
      <c r="C20" t="s">
        <v>1561</v>
      </c>
      <c r="D20" s="989" t="s">
        <v>1562</v>
      </c>
      <c r="E20" s="967">
        <v>246064.98</v>
      </c>
      <c r="F20" s="967">
        <v>286360.65000000002</v>
      </c>
      <c r="G20" s="995">
        <v>357249.4</v>
      </c>
      <c r="H20" s="967">
        <v>111184.42000000001</v>
      </c>
      <c r="K20" t="s">
        <v>701</v>
      </c>
      <c r="L20" s="989" t="s">
        <v>704</v>
      </c>
      <c r="M20" s="952">
        <v>6.5</v>
      </c>
      <c r="N20" s="952">
        <v>1.8</v>
      </c>
      <c r="O20" s="995">
        <v>256537.51</v>
      </c>
      <c r="P20" s="952">
        <v>6.5</v>
      </c>
      <c r="Q20" s="952">
        <v>2.5</v>
      </c>
      <c r="R20" s="995">
        <v>285415.76</v>
      </c>
      <c r="S20" s="952">
        <v>6.5</v>
      </c>
      <c r="T20" s="952">
        <v>5.3</v>
      </c>
      <c r="U20" s="995">
        <v>356304.51</v>
      </c>
      <c r="V20" s="952">
        <v>7.5</v>
      </c>
      <c r="W20" s="952">
        <v>1.8</v>
      </c>
      <c r="X20" s="995">
        <v>257482.4</v>
      </c>
      <c r="Y20" s="952">
        <v>7.5</v>
      </c>
      <c r="Z20" s="952">
        <v>2.5</v>
      </c>
      <c r="AA20" s="995">
        <v>286360.65000000002</v>
      </c>
      <c r="AB20" s="952">
        <v>7.5</v>
      </c>
      <c r="AC20" s="952">
        <v>5.3</v>
      </c>
      <c r="AD20" s="995">
        <v>357249.4</v>
      </c>
      <c r="AE20" s="952">
        <v>10</v>
      </c>
      <c r="AF20" s="952">
        <v>1.8</v>
      </c>
      <c r="AG20" s="995">
        <v>246064.98</v>
      </c>
      <c r="AH20" s="952">
        <v>10</v>
      </c>
      <c r="AI20" s="952">
        <v>2.5</v>
      </c>
      <c r="AJ20" s="995">
        <v>274943.21999999997</v>
      </c>
      <c r="AK20" s="952">
        <v>10</v>
      </c>
      <c r="AL20" s="952">
        <v>5.3</v>
      </c>
      <c r="AM20" s="967">
        <v>345831.98</v>
      </c>
    </row>
    <row r="21" spans="1:39">
      <c r="A21" s="989" t="s">
        <v>1546</v>
      </c>
      <c r="B21" t="s">
        <v>1560</v>
      </c>
      <c r="C21" t="s">
        <v>1561</v>
      </c>
      <c r="D21" s="989" t="s">
        <v>1562</v>
      </c>
      <c r="E21" s="967">
        <v>247208.11</v>
      </c>
      <c r="F21" s="967">
        <v>286360.65000000002</v>
      </c>
      <c r="G21" s="995">
        <v>357249.4</v>
      </c>
      <c r="H21" s="967">
        <v>110041.29000000004</v>
      </c>
      <c r="K21" t="s">
        <v>702</v>
      </c>
      <c r="L21" s="989" t="s">
        <v>704</v>
      </c>
      <c r="M21" s="952">
        <v>6.5</v>
      </c>
      <c r="N21" s="952">
        <v>1.8</v>
      </c>
      <c r="O21" s="995">
        <v>256632.11</v>
      </c>
      <c r="P21" s="952">
        <v>6.5</v>
      </c>
      <c r="Q21" s="952">
        <v>2.5</v>
      </c>
      <c r="R21" s="995">
        <v>285510.36</v>
      </c>
      <c r="S21" s="952">
        <v>6.5</v>
      </c>
      <c r="T21" s="952">
        <v>5.3</v>
      </c>
      <c r="U21" s="995">
        <v>356399.12</v>
      </c>
      <c r="V21" s="952">
        <v>7.5</v>
      </c>
      <c r="W21" s="952">
        <v>1.8</v>
      </c>
      <c r="X21" s="995">
        <v>257482.4</v>
      </c>
      <c r="Y21" s="952">
        <v>7.5</v>
      </c>
      <c r="Z21" s="952">
        <v>2.5</v>
      </c>
      <c r="AA21" s="995">
        <v>286360.65000000002</v>
      </c>
      <c r="AB21" s="952">
        <v>7.5</v>
      </c>
      <c r="AC21" s="952">
        <v>5.3</v>
      </c>
      <c r="AD21" s="995">
        <v>357249.4</v>
      </c>
      <c r="AE21" s="952">
        <v>10</v>
      </c>
      <c r="AF21" s="952">
        <v>1.8</v>
      </c>
      <c r="AG21" s="995">
        <v>247208.11</v>
      </c>
      <c r="AH21" s="952">
        <v>10</v>
      </c>
      <c r="AI21" s="952">
        <v>2.5</v>
      </c>
      <c r="AJ21" s="995">
        <v>276086.36</v>
      </c>
      <c r="AK21" s="952">
        <v>10</v>
      </c>
      <c r="AL21" s="952">
        <v>5.3</v>
      </c>
      <c r="AM21" s="967">
        <v>346975.12</v>
      </c>
    </row>
    <row r="22" spans="1:39">
      <c r="A22" s="989" t="s">
        <v>1539</v>
      </c>
      <c r="B22" t="s">
        <v>1560</v>
      </c>
      <c r="C22" t="s">
        <v>1561</v>
      </c>
      <c r="D22" s="989" t="s">
        <v>1562</v>
      </c>
      <c r="E22" s="967">
        <v>250795.83</v>
      </c>
      <c r="F22" s="967">
        <v>286360.65000000002</v>
      </c>
      <c r="G22" s="995">
        <v>357249.4</v>
      </c>
      <c r="H22" s="967">
        <v>106453.57000000004</v>
      </c>
      <c r="K22" t="s">
        <v>700</v>
      </c>
      <c r="L22" s="989" t="s">
        <v>704</v>
      </c>
      <c r="M22" s="952">
        <v>6.5</v>
      </c>
      <c r="N22" s="952">
        <v>1.8</v>
      </c>
      <c r="O22" s="995">
        <v>256929.03</v>
      </c>
      <c r="P22" s="952">
        <v>6.5</v>
      </c>
      <c r="Q22" s="952">
        <v>2.5</v>
      </c>
      <c r="R22" s="995">
        <v>285807.27</v>
      </c>
      <c r="S22" s="952">
        <v>6.5</v>
      </c>
      <c r="T22" s="952">
        <v>5.3</v>
      </c>
      <c r="U22" s="995">
        <v>356696.03</v>
      </c>
      <c r="V22" s="952">
        <v>7.5</v>
      </c>
      <c r="W22" s="952">
        <v>1.8</v>
      </c>
      <c r="X22" s="995">
        <v>257482.4</v>
      </c>
      <c r="Y22" s="952">
        <v>7.5</v>
      </c>
      <c r="Z22" s="952">
        <v>2.5</v>
      </c>
      <c r="AA22" s="995">
        <v>286360.65000000002</v>
      </c>
      <c r="AB22" s="952">
        <v>7.5</v>
      </c>
      <c r="AC22" s="952">
        <v>5.3</v>
      </c>
      <c r="AD22" s="995">
        <v>357249.4</v>
      </c>
      <c r="AE22" s="952">
        <v>10</v>
      </c>
      <c r="AF22" s="952">
        <v>1.8</v>
      </c>
      <c r="AG22" s="995">
        <v>250795.83</v>
      </c>
      <c r="AH22" s="952">
        <v>10</v>
      </c>
      <c r="AI22" s="952">
        <v>2.5</v>
      </c>
      <c r="AJ22" s="995">
        <v>279674.08</v>
      </c>
      <c r="AK22" s="952">
        <v>10</v>
      </c>
      <c r="AL22" s="952">
        <v>5.3</v>
      </c>
      <c r="AM22" s="967">
        <v>350562.84</v>
      </c>
    </row>
    <row r="23" spans="1:39">
      <c r="A23" s="989" t="s">
        <v>1548</v>
      </c>
      <c r="B23" t="s">
        <v>1560</v>
      </c>
      <c r="C23" t="s">
        <v>1561</v>
      </c>
      <c r="D23" s="989" t="s">
        <v>1562</v>
      </c>
      <c r="E23" s="967">
        <v>251189.16</v>
      </c>
      <c r="F23" s="967">
        <v>286360.65000000002</v>
      </c>
      <c r="G23" s="995">
        <v>357249.4</v>
      </c>
      <c r="H23" s="967">
        <v>106060.24000000002</v>
      </c>
      <c r="K23" t="s">
        <v>703</v>
      </c>
      <c r="L23" s="989" t="s">
        <v>704</v>
      </c>
      <c r="M23" s="952">
        <v>6.5</v>
      </c>
      <c r="N23" s="952">
        <v>1.8</v>
      </c>
      <c r="O23" s="995">
        <v>256961.58</v>
      </c>
      <c r="P23" s="952">
        <v>6.5</v>
      </c>
      <c r="Q23" s="952">
        <v>2.5</v>
      </c>
      <c r="R23" s="995">
        <v>285839.83</v>
      </c>
      <c r="S23" s="952">
        <v>6.5</v>
      </c>
      <c r="T23" s="952">
        <v>5.3</v>
      </c>
      <c r="U23" s="995">
        <v>356728.58</v>
      </c>
      <c r="V23" s="952">
        <v>7.5</v>
      </c>
      <c r="W23" s="952">
        <v>1.8</v>
      </c>
      <c r="X23" s="995">
        <v>257482.4</v>
      </c>
      <c r="Y23" s="952">
        <v>7.5</v>
      </c>
      <c r="Z23" s="952">
        <v>2.5</v>
      </c>
      <c r="AA23" s="995">
        <v>286360.65000000002</v>
      </c>
      <c r="AB23" s="952">
        <v>7.5</v>
      </c>
      <c r="AC23" s="952">
        <v>5.3</v>
      </c>
      <c r="AD23" s="995">
        <v>357249.4</v>
      </c>
      <c r="AE23" s="952">
        <v>10</v>
      </c>
      <c r="AF23" s="952">
        <v>1.8</v>
      </c>
      <c r="AG23" s="995">
        <v>251189.16</v>
      </c>
      <c r="AH23" s="952">
        <v>10</v>
      </c>
      <c r="AI23" s="952">
        <v>2.5</v>
      </c>
      <c r="AJ23" s="995">
        <v>280067.40999999997</v>
      </c>
      <c r="AK23" s="952">
        <v>10</v>
      </c>
      <c r="AL23" s="952">
        <v>5.3</v>
      </c>
      <c r="AM23" s="967">
        <v>350956.17</v>
      </c>
    </row>
    <row r="24" spans="1:39">
      <c r="A24" s="990" t="s">
        <v>1523</v>
      </c>
      <c r="B24" s="355" t="s">
        <v>1551</v>
      </c>
      <c r="C24" s="918" t="s">
        <v>1552</v>
      </c>
      <c r="D24" s="993" t="s">
        <v>1552</v>
      </c>
      <c r="E24" s="967">
        <v>249467.93</v>
      </c>
      <c r="F24" s="967">
        <v>286360.65000000002</v>
      </c>
      <c r="G24" s="995">
        <v>286360.65000000002</v>
      </c>
      <c r="H24" s="967">
        <v>36892.72000000003</v>
      </c>
      <c r="K24" t="s">
        <v>698</v>
      </c>
      <c r="L24" s="989" t="s">
        <v>699</v>
      </c>
      <c r="M24" s="952">
        <v>7.5</v>
      </c>
      <c r="N24" s="952">
        <v>7.5</v>
      </c>
      <c r="O24" s="995">
        <v>286125.15000000002</v>
      </c>
      <c r="P24" s="952">
        <v>7.5</v>
      </c>
      <c r="Q24" s="952">
        <v>8</v>
      </c>
      <c r="R24" s="995">
        <v>286219.09000000003</v>
      </c>
      <c r="S24" s="952">
        <v>7.5</v>
      </c>
      <c r="T24" s="952">
        <v>11</v>
      </c>
      <c r="U24" s="995">
        <v>267056.65999999997</v>
      </c>
      <c r="V24" s="952">
        <v>8</v>
      </c>
      <c r="W24" s="952">
        <v>7.5</v>
      </c>
      <c r="X24" s="995">
        <v>286266.71000000002</v>
      </c>
      <c r="Y24" s="952">
        <v>8</v>
      </c>
      <c r="Z24" s="952">
        <v>8</v>
      </c>
      <c r="AA24" s="995">
        <v>286360.65000000002</v>
      </c>
      <c r="AB24" s="952">
        <v>8</v>
      </c>
      <c r="AC24" s="952">
        <v>11</v>
      </c>
      <c r="AD24" s="995">
        <v>267198.21999999997</v>
      </c>
      <c r="AE24" s="952">
        <v>11</v>
      </c>
      <c r="AF24" s="952">
        <v>7.5</v>
      </c>
      <c r="AG24" s="995">
        <v>268536.42</v>
      </c>
      <c r="AH24" s="952">
        <v>11</v>
      </c>
      <c r="AI24" s="952">
        <v>8</v>
      </c>
      <c r="AJ24" s="995">
        <v>268630.36</v>
      </c>
      <c r="AK24" s="952">
        <v>11</v>
      </c>
      <c r="AL24" s="952">
        <v>11</v>
      </c>
      <c r="AM24" s="967">
        <v>249467.93</v>
      </c>
    </row>
    <row r="25" spans="1:39">
      <c r="A25" s="989" t="s">
        <v>1531</v>
      </c>
      <c r="B25" t="s">
        <v>1553</v>
      </c>
      <c r="C25" t="s">
        <v>1554</v>
      </c>
      <c r="D25" s="989" t="s">
        <v>1554</v>
      </c>
      <c r="E25" s="967">
        <v>255780.8</v>
      </c>
      <c r="F25" s="967">
        <v>286360.65000000002</v>
      </c>
      <c r="G25" s="995">
        <v>286360.65000000002</v>
      </c>
      <c r="H25" s="967">
        <v>30579.850000000035</v>
      </c>
      <c r="K25" t="s">
        <v>699</v>
      </c>
      <c r="L25" s="989" t="s">
        <v>701</v>
      </c>
      <c r="M25" s="952">
        <v>7.5</v>
      </c>
      <c r="N25" s="952">
        <v>6.5</v>
      </c>
      <c r="O25" s="995">
        <v>285321.82</v>
      </c>
      <c r="P25" s="952">
        <v>7.5</v>
      </c>
      <c r="Q25" s="952">
        <v>7.5</v>
      </c>
      <c r="R25" s="995">
        <v>286266.71000000002</v>
      </c>
      <c r="S25" s="952">
        <v>7.5</v>
      </c>
      <c r="T25" s="952">
        <v>10</v>
      </c>
      <c r="U25" s="995">
        <v>274849.28999999998</v>
      </c>
      <c r="V25" s="952">
        <v>8</v>
      </c>
      <c r="W25" s="952">
        <v>6.5</v>
      </c>
      <c r="X25" s="995">
        <v>285415.76</v>
      </c>
      <c r="Y25" s="952">
        <v>8</v>
      </c>
      <c r="Z25" s="952">
        <v>7.5</v>
      </c>
      <c r="AA25" s="995">
        <v>286360.65000000002</v>
      </c>
      <c r="AB25" s="952">
        <v>8</v>
      </c>
      <c r="AC25" s="952">
        <v>10</v>
      </c>
      <c r="AD25" s="995">
        <v>274943.21999999997</v>
      </c>
      <c r="AE25" s="952">
        <v>11</v>
      </c>
      <c r="AF25" s="952">
        <v>6.5</v>
      </c>
      <c r="AG25" s="995">
        <v>266253.33</v>
      </c>
      <c r="AH25" s="952">
        <v>11</v>
      </c>
      <c r="AI25" s="952">
        <v>7.5</v>
      </c>
      <c r="AJ25" s="995">
        <v>267198.21999999997</v>
      </c>
      <c r="AK25" s="952">
        <v>11</v>
      </c>
      <c r="AL25" s="952">
        <v>10</v>
      </c>
      <c r="AM25" s="967">
        <v>255780.8</v>
      </c>
    </row>
    <row r="26" spans="1:39">
      <c r="A26" s="989" t="s">
        <v>1532</v>
      </c>
      <c r="B26" t="s">
        <v>1553</v>
      </c>
      <c r="C26" t="s">
        <v>1554</v>
      </c>
      <c r="D26" s="989" t="s">
        <v>1554</v>
      </c>
      <c r="E26" s="967">
        <v>256923.94</v>
      </c>
      <c r="F26" s="967">
        <v>286360.65000000002</v>
      </c>
      <c r="G26" s="995">
        <v>286360.65000000002</v>
      </c>
      <c r="H26" s="967">
        <v>29436.710000000021</v>
      </c>
      <c r="K26" t="s">
        <v>699</v>
      </c>
      <c r="L26" s="989" t="s">
        <v>702</v>
      </c>
      <c r="M26" s="952">
        <v>7.5</v>
      </c>
      <c r="N26" s="952">
        <v>6.5</v>
      </c>
      <c r="O26" s="995">
        <v>285416.43</v>
      </c>
      <c r="P26" s="952">
        <v>7.5</v>
      </c>
      <c r="Q26" s="952">
        <v>7.5</v>
      </c>
      <c r="R26" s="995">
        <v>286266.71000000002</v>
      </c>
      <c r="S26" s="952">
        <v>7.5</v>
      </c>
      <c r="T26" s="952">
        <v>10</v>
      </c>
      <c r="U26" s="995">
        <v>275992.43</v>
      </c>
      <c r="V26" s="952">
        <v>8</v>
      </c>
      <c r="W26" s="952">
        <v>6.5</v>
      </c>
      <c r="X26" s="995">
        <v>285510.36</v>
      </c>
      <c r="Y26" s="952">
        <v>8</v>
      </c>
      <c r="Z26" s="952">
        <v>7.5</v>
      </c>
      <c r="AA26" s="995">
        <v>286360.65000000002</v>
      </c>
      <c r="AB26" s="952">
        <v>8</v>
      </c>
      <c r="AC26" s="952">
        <v>10</v>
      </c>
      <c r="AD26" s="995">
        <v>276086.36</v>
      </c>
      <c r="AE26" s="952">
        <v>11</v>
      </c>
      <c r="AF26" s="952">
        <v>6.5</v>
      </c>
      <c r="AG26" s="995">
        <v>266347.94</v>
      </c>
      <c r="AH26" s="952">
        <v>11</v>
      </c>
      <c r="AI26" s="952">
        <v>7.5</v>
      </c>
      <c r="AJ26" s="995">
        <v>267198.21999999997</v>
      </c>
      <c r="AK26" s="952">
        <v>11</v>
      </c>
      <c r="AL26" s="952">
        <v>10</v>
      </c>
      <c r="AM26" s="967">
        <v>256923.94</v>
      </c>
    </row>
    <row r="27" spans="1:39">
      <c r="A27" s="990" t="s">
        <v>1525</v>
      </c>
      <c r="B27" s="355" t="s">
        <v>1553</v>
      </c>
      <c r="C27" s="918" t="s">
        <v>1554</v>
      </c>
      <c r="D27" s="993" t="s">
        <v>1554</v>
      </c>
      <c r="E27" s="967">
        <v>257212.93</v>
      </c>
      <c r="F27" s="967">
        <v>286360.65000000002</v>
      </c>
      <c r="G27" s="995">
        <v>286360.65000000002</v>
      </c>
      <c r="H27" s="967">
        <v>29147.72000000003</v>
      </c>
      <c r="K27" t="s">
        <v>698</v>
      </c>
      <c r="L27" s="989" t="s">
        <v>701</v>
      </c>
      <c r="M27" s="952">
        <v>7.5</v>
      </c>
      <c r="N27" s="952">
        <v>6.5</v>
      </c>
      <c r="O27" s="995">
        <v>285274.2</v>
      </c>
      <c r="P27" s="952">
        <v>7.5</v>
      </c>
      <c r="Q27" s="952">
        <v>7.5</v>
      </c>
      <c r="R27" s="995">
        <v>286219.09000000003</v>
      </c>
      <c r="S27" s="952">
        <v>7.5</v>
      </c>
      <c r="T27" s="952">
        <v>10</v>
      </c>
      <c r="U27" s="995">
        <v>274801.65999999997</v>
      </c>
      <c r="V27" s="952">
        <v>8</v>
      </c>
      <c r="W27" s="952">
        <v>6.5</v>
      </c>
      <c r="X27" s="995">
        <v>285415.76</v>
      </c>
      <c r="Y27" s="952">
        <v>8</v>
      </c>
      <c r="Z27" s="952">
        <v>7.5</v>
      </c>
      <c r="AA27" s="995">
        <v>286360.65000000002</v>
      </c>
      <c r="AB27" s="952">
        <v>8</v>
      </c>
      <c r="AC27" s="952">
        <v>10</v>
      </c>
      <c r="AD27" s="995">
        <v>274943.21999999997</v>
      </c>
      <c r="AE27" s="952">
        <v>11</v>
      </c>
      <c r="AF27" s="952">
        <v>6.5</v>
      </c>
      <c r="AG27" s="995">
        <v>267685.46999999997</v>
      </c>
      <c r="AH27" s="952">
        <v>11</v>
      </c>
      <c r="AI27" s="952">
        <v>7.5</v>
      </c>
      <c r="AJ27" s="995">
        <v>268630.36</v>
      </c>
      <c r="AK27" s="952">
        <v>11</v>
      </c>
      <c r="AL27" s="952">
        <v>10</v>
      </c>
      <c r="AM27" s="967">
        <v>257212.93</v>
      </c>
    </row>
    <row r="28" spans="1:39">
      <c r="A28" s="990" t="s">
        <v>1526</v>
      </c>
      <c r="B28" s="355" t="s">
        <v>1553</v>
      </c>
      <c r="C28" s="918" t="s">
        <v>1554</v>
      </c>
      <c r="D28" s="993" t="s">
        <v>1554</v>
      </c>
      <c r="E28" s="967">
        <v>258356.07</v>
      </c>
      <c r="F28" s="967">
        <v>286360.65000000002</v>
      </c>
      <c r="G28" s="995">
        <v>286360.65000000002</v>
      </c>
      <c r="H28" s="967">
        <v>28004.580000000016</v>
      </c>
      <c r="K28" t="s">
        <v>698</v>
      </c>
      <c r="L28" s="989" t="s">
        <v>702</v>
      </c>
      <c r="M28" s="952">
        <v>7.5</v>
      </c>
      <c r="N28" s="952">
        <v>6.5</v>
      </c>
      <c r="O28" s="995">
        <v>285368.8</v>
      </c>
      <c r="P28" s="952">
        <v>7.5</v>
      </c>
      <c r="Q28" s="952">
        <v>7.5</v>
      </c>
      <c r="R28" s="995">
        <v>286219.09000000003</v>
      </c>
      <c r="S28" s="952">
        <v>7.5</v>
      </c>
      <c r="T28" s="952">
        <v>10</v>
      </c>
      <c r="U28" s="995">
        <v>275944.8</v>
      </c>
      <c r="V28" s="952">
        <v>8</v>
      </c>
      <c r="W28" s="952">
        <v>6.5</v>
      </c>
      <c r="X28" s="995">
        <v>285510.36</v>
      </c>
      <c r="Y28" s="952">
        <v>8</v>
      </c>
      <c r="Z28" s="952">
        <v>7.5</v>
      </c>
      <c r="AA28" s="995">
        <v>286360.65000000002</v>
      </c>
      <c r="AB28" s="952">
        <v>8</v>
      </c>
      <c r="AC28" s="952">
        <v>10</v>
      </c>
      <c r="AD28" s="995">
        <v>276086.36</v>
      </c>
      <c r="AE28" s="952">
        <v>11</v>
      </c>
      <c r="AF28" s="952">
        <v>6.5</v>
      </c>
      <c r="AG28" s="995">
        <v>267780.07</v>
      </c>
      <c r="AH28" s="952">
        <v>11</v>
      </c>
      <c r="AI28" s="952">
        <v>7.5</v>
      </c>
      <c r="AJ28" s="995">
        <v>268630.36</v>
      </c>
      <c r="AK28" s="952">
        <v>11</v>
      </c>
      <c r="AL28" s="952">
        <v>10</v>
      </c>
      <c r="AM28" s="967">
        <v>258356.07</v>
      </c>
    </row>
    <row r="29" spans="1:39">
      <c r="A29" s="988" t="s">
        <v>1530</v>
      </c>
      <c r="B29" s="355" t="s">
        <v>1553</v>
      </c>
      <c r="C29" s="918" t="s">
        <v>1554</v>
      </c>
      <c r="D29" s="993" t="s">
        <v>1554</v>
      </c>
      <c r="E29" s="967">
        <v>260511.66</v>
      </c>
      <c r="F29" s="967">
        <v>286360.65000000002</v>
      </c>
      <c r="G29" s="995">
        <v>286360.65000000002</v>
      </c>
      <c r="H29" s="967">
        <v>25848.99000000002</v>
      </c>
      <c r="K29" t="s">
        <v>699</v>
      </c>
      <c r="L29" s="989" t="s">
        <v>700</v>
      </c>
      <c r="M29" s="952">
        <v>7.5</v>
      </c>
      <c r="N29" s="952">
        <v>6.5</v>
      </c>
      <c r="O29" s="995">
        <v>285713.34000000003</v>
      </c>
      <c r="P29" s="952">
        <v>7.5</v>
      </c>
      <c r="Q29" s="952">
        <v>7.5</v>
      </c>
      <c r="R29" s="995">
        <v>286266.71000000002</v>
      </c>
      <c r="S29" s="952">
        <v>7.5</v>
      </c>
      <c r="T29" s="952">
        <v>10</v>
      </c>
      <c r="U29" s="995">
        <v>279580.14</v>
      </c>
      <c r="V29" s="952">
        <v>8</v>
      </c>
      <c r="W29" s="952">
        <v>6.5</v>
      </c>
      <c r="X29" s="995">
        <v>285807.27</v>
      </c>
      <c r="Y29" s="952">
        <v>8</v>
      </c>
      <c r="Z29" s="952">
        <v>7.5</v>
      </c>
      <c r="AA29" s="995">
        <v>286360.65000000002</v>
      </c>
      <c r="AB29" s="952">
        <v>8</v>
      </c>
      <c r="AC29" s="952">
        <v>10</v>
      </c>
      <c r="AD29" s="995">
        <v>279674.08</v>
      </c>
      <c r="AE29" s="952">
        <v>11</v>
      </c>
      <c r="AF29" s="952">
        <v>6.5</v>
      </c>
      <c r="AG29" s="995">
        <v>266644.84999999998</v>
      </c>
      <c r="AH29" s="952">
        <v>11</v>
      </c>
      <c r="AI29" s="952">
        <v>7.5</v>
      </c>
      <c r="AJ29" s="995">
        <v>267198.21999999997</v>
      </c>
      <c r="AK29" s="952">
        <v>11</v>
      </c>
      <c r="AL29" s="952">
        <v>10</v>
      </c>
      <c r="AM29" s="967">
        <v>260511.66</v>
      </c>
    </row>
    <row r="30" spans="1:39">
      <c r="A30" s="989" t="s">
        <v>1533</v>
      </c>
      <c r="B30" t="s">
        <v>1553</v>
      </c>
      <c r="C30" t="s">
        <v>1554</v>
      </c>
      <c r="D30" s="989" t="s">
        <v>1554</v>
      </c>
      <c r="E30" s="967">
        <v>260904.98</v>
      </c>
      <c r="F30" s="967">
        <v>286360.65000000002</v>
      </c>
      <c r="G30" s="995">
        <v>286360.65000000002</v>
      </c>
      <c r="H30" s="967">
        <v>25455.670000000013</v>
      </c>
      <c r="K30" t="s">
        <v>699</v>
      </c>
      <c r="L30" s="989" t="s">
        <v>703</v>
      </c>
      <c r="M30" s="952">
        <v>7.5</v>
      </c>
      <c r="N30" s="952">
        <v>6.5</v>
      </c>
      <c r="O30" s="995">
        <v>285745.89</v>
      </c>
      <c r="P30" s="952">
        <v>7.5</v>
      </c>
      <c r="Q30" s="952">
        <v>7.5</v>
      </c>
      <c r="R30" s="995">
        <v>286266.71000000002</v>
      </c>
      <c r="S30" s="952">
        <v>7.5</v>
      </c>
      <c r="T30" s="952">
        <v>10</v>
      </c>
      <c r="U30" s="995">
        <v>279973.46999999997</v>
      </c>
      <c r="V30" s="952">
        <v>8</v>
      </c>
      <c r="W30" s="952">
        <v>6.5</v>
      </c>
      <c r="X30" s="995">
        <v>285839.83</v>
      </c>
      <c r="Y30" s="952">
        <v>8</v>
      </c>
      <c r="Z30" s="952">
        <v>7.5</v>
      </c>
      <c r="AA30" s="995">
        <v>286360.65000000002</v>
      </c>
      <c r="AB30" s="952">
        <v>8</v>
      </c>
      <c r="AC30" s="952">
        <v>10</v>
      </c>
      <c r="AD30" s="995">
        <v>280067.40999999997</v>
      </c>
      <c r="AE30" s="952">
        <v>11</v>
      </c>
      <c r="AF30" s="952">
        <v>6.5</v>
      </c>
      <c r="AG30" s="995">
        <v>266677.40000000002</v>
      </c>
      <c r="AH30" s="952">
        <v>11</v>
      </c>
      <c r="AI30" s="952">
        <v>7.5</v>
      </c>
      <c r="AJ30" s="995">
        <v>267198.21999999997</v>
      </c>
      <c r="AK30" s="952">
        <v>11</v>
      </c>
      <c r="AL30" s="952">
        <v>10</v>
      </c>
      <c r="AM30" s="967">
        <v>260904.98</v>
      </c>
    </row>
    <row r="31" spans="1:39">
      <c r="A31" s="990" t="s">
        <v>1524</v>
      </c>
      <c r="B31" s="355" t="s">
        <v>1553</v>
      </c>
      <c r="C31" s="918" t="s">
        <v>1554</v>
      </c>
      <c r="D31" s="993" t="s">
        <v>1554</v>
      </c>
      <c r="E31" s="967">
        <v>261943.79</v>
      </c>
      <c r="F31" s="967">
        <v>286360.65000000002</v>
      </c>
      <c r="G31" s="995">
        <v>286360.65000000002</v>
      </c>
      <c r="H31" s="967">
        <v>24416.860000000015</v>
      </c>
      <c r="K31" t="s">
        <v>698</v>
      </c>
      <c r="L31" s="989" t="s">
        <v>700</v>
      </c>
      <c r="M31" s="952">
        <v>7.5</v>
      </c>
      <c r="N31" s="952">
        <v>6.5</v>
      </c>
      <c r="O31" s="995">
        <v>285665.71000000002</v>
      </c>
      <c r="P31" s="952">
        <v>7.5</v>
      </c>
      <c r="Q31" s="952">
        <v>7.5</v>
      </c>
      <c r="R31" s="995">
        <v>286219.09000000003</v>
      </c>
      <c r="S31" s="952">
        <v>7.5</v>
      </c>
      <c r="T31" s="952">
        <v>10</v>
      </c>
      <c r="U31" s="995">
        <v>279532.52</v>
      </c>
      <c r="V31" s="952">
        <v>8</v>
      </c>
      <c r="W31" s="952">
        <v>6.5</v>
      </c>
      <c r="X31" s="995">
        <v>285807.27</v>
      </c>
      <c r="Y31" s="952">
        <v>8</v>
      </c>
      <c r="Z31" s="952">
        <v>7.5</v>
      </c>
      <c r="AA31" s="995">
        <v>286360.65000000002</v>
      </c>
      <c r="AB31" s="952">
        <v>8</v>
      </c>
      <c r="AC31" s="952">
        <v>10</v>
      </c>
      <c r="AD31" s="995">
        <v>279674.08</v>
      </c>
      <c r="AE31" s="952">
        <v>11</v>
      </c>
      <c r="AF31" s="952">
        <v>6.5</v>
      </c>
      <c r="AG31" s="995">
        <v>268076.98</v>
      </c>
      <c r="AH31" s="952">
        <v>11</v>
      </c>
      <c r="AI31" s="952">
        <v>7.5</v>
      </c>
      <c r="AJ31" s="995">
        <v>268630.36</v>
      </c>
      <c r="AK31" s="952">
        <v>11</v>
      </c>
      <c r="AL31" s="952">
        <v>10</v>
      </c>
      <c r="AM31" s="967">
        <v>261943.79</v>
      </c>
    </row>
    <row r="32" spans="1:39">
      <c r="A32" s="991" t="s">
        <v>1527</v>
      </c>
      <c r="B32" s="355" t="s">
        <v>1553</v>
      </c>
      <c r="C32" s="918" t="s">
        <v>1554</v>
      </c>
      <c r="D32" s="993" t="s">
        <v>1554</v>
      </c>
      <c r="E32" s="967">
        <v>262337.12</v>
      </c>
      <c r="F32" s="967">
        <v>286360.65000000002</v>
      </c>
      <c r="G32" s="995">
        <v>286360.65000000002</v>
      </c>
      <c r="H32" s="967">
        <v>24023.530000000028</v>
      </c>
      <c r="K32" t="s">
        <v>698</v>
      </c>
      <c r="L32" s="989" t="s">
        <v>703</v>
      </c>
      <c r="M32" s="952">
        <v>7.5</v>
      </c>
      <c r="N32" s="952">
        <v>6.5</v>
      </c>
      <c r="O32" s="995">
        <v>285698.27</v>
      </c>
      <c r="P32" s="952">
        <v>7.5</v>
      </c>
      <c r="Q32" s="952">
        <v>7.5</v>
      </c>
      <c r="R32" s="995">
        <v>286219.09000000003</v>
      </c>
      <c r="S32" s="952">
        <v>7.5</v>
      </c>
      <c r="T32" s="952">
        <v>10</v>
      </c>
      <c r="U32" s="995">
        <v>279925.84999999998</v>
      </c>
      <c r="V32" s="952">
        <v>8</v>
      </c>
      <c r="W32" s="952">
        <v>6.5</v>
      </c>
      <c r="X32" s="995">
        <v>285839.83</v>
      </c>
      <c r="Y32" s="952">
        <v>8</v>
      </c>
      <c r="Z32" s="952">
        <v>7.5</v>
      </c>
      <c r="AA32" s="995">
        <v>286360.65000000002</v>
      </c>
      <c r="AB32" s="952">
        <v>8</v>
      </c>
      <c r="AC32" s="952">
        <v>10</v>
      </c>
      <c r="AD32" s="995">
        <v>280067.40999999997</v>
      </c>
      <c r="AE32" s="952">
        <v>11</v>
      </c>
      <c r="AF32" s="952">
        <v>6.5</v>
      </c>
      <c r="AG32" s="995">
        <v>268109.53999999998</v>
      </c>
      <c r="AH32" s="952">
        <v>11</v>
      </c>
      <c r="AI32" s="952">
        <v>7.5</v>
      </c>
      <c r="AJ32" s="995">
        <v>268630.36</v>
      </c>
      <c r="AK32" s="952">
        <v>11</v>
      </c>
      <c r="AL32" s="952">
        <v>10</v>
      </c>
      <c r="AM32" s="967">
        <v>262337.12</v>
      </c>
    </row>
    <row r="33" spans="1:39">
      <c r="A33" s="989" t="s">
        <v>1541</v>
      </c>
      <c r="B33" t="s">
        <v>1558</v>
      </c>
      <c r="C33" t="s">
        <v>1559</v>
      </c>
      <c r="D33" s="989" t="s">
        <v>1559</v>
      </c>
      <c r="E33" s="967">
        <v>264668.94</v>
      </c>
      <c r="F33" s="967">
        <v>286360.65000000002</v>
      </c>
      <c r="G33" s="995">
        <v>286360.65000000002</v>
      </c>
      <c r="H33" s="967">
        <v>21691.710000000021</v>
      </c>
      <c r="K33" t="s">
        <v>701</v>
      </c>
      <c r="L33" s="989" t="s">
        <v>702</v>
      </c>
      <c r="M33" s="952">
        <v>6.5</v>
      </c>
      <c r="N33" s="952">
        <v>6.5</v>
      </c>
      <c r="O33" s="995">
        <v>284565.46999999997</v>
      </c>
      <c r="P33" s="952">
        <v>6.5</v>
      </c>
      <c r="Q33" s="952">
        <v>7.5</v>
      </c>
      <c r="R33" s="995">
        <v>285415.76</v>
      </c>
      <c r="S33" s="952">
        <v>6.5</v>
      </c>
      <c r="T33" s="952">
        <v>10</v>
      </c>
      <c r="U33" s="995">
        <v>275141.46999999997</v>
      </c>
      <c r="V33" s="952">
        <v>7.5</v>
      </c>
      <c r="W33" s="952">
        <v>6.5</v>
      </c>
      <c r="X33" s="995">
        <v>285510.36</v>
      </c>
      <c r="Y33" s="952">
        <v>7.5</v>
      </c>
      <c r="Z33" s="952">
        <v>7.5</v>
      </c>
      <c r="AA33" s="995">
        <v>286360.65000000002</v>
      </c>
      <c r="AB33" s="952">
        <v>7.5</v>
      </c>
      <c r="AC33" s="952">
        <v>10</v>
      </c>
      <c r="AD33" s="995">
        <v>276086.36</v>
      </c>
      <c r="AE33" s="952">
        <v>10</v>
      </c>
      <c r="AF33" s="952">
        <v>6.5</v>
      </c>
      <c r="AG33" s="995">
        <v>274092.94</v>
      </c>
      <c r="AH33" s="952">
        <v>10</v>
      </c>
      <c r="AI33" s="952">
        <v>7.5</v>
      </c>
      <c r="AJ33" s="995">
        <v>274943.21999999997</v>
      </c>
      <c r="AK33" s="952">
        <v>10</v>
      </c>
      <c r="AL33" s="952">
        <v>10</v>
      </c>
      <c r="AM33" s="967">
        <v>264668.94</v>
      </c>
    </row>
    <row r="34" spans="1:39">
      <c r="A34" s="989" t="s">
        <v>1536</v>
      </c>
      <c r="B34" t="s">
        <v>1558</v>
      </c>
      <c r="C34" t="s">
        <v>1559</v>
      </c>
      <c r="D34" s="989" t="s">
        <v>1559</v>
      </c>
      <c r="E34" s="967">
        <v>268256.65999999997</v>
      </c>
      <c r="F34" s="967">
        <v>286360.65000000002</v>
      </c>
      <c r="G34" s="995">
        <v>286360.65000000002</v>
      </c>
      <c r="H34" s="967">
        <v>18103.990000000049</v>
      </c>
      <c r="K34" t="s">
        <v>700</v>
      </c>
      <c r="L34" s="989" t="s">
        <v>701</v>
      </c>
      <c r="M34" s="952">
        <v>6.5</v>
      </c>
      <c r="N34" s="952">
        <v>6.5</v>
      </c>
      <c r="O34" s="995">
        <v>284862.38</v>
      </c>
      <c r="P34" s="952">
        <v>6.5</v>
      </c>
      <c r="Q34" s="952">
        <v>7.5</v>
      </c>
      <c r="R34" s="995">
        <v>285807.27</v>
      </c>
      <c r="S34" s="952">
        <v>6.5</v>
      </c>
      <c r="T34" s="952">
        <v>10</v>
      </c>
      <c r="U34" s="995">
        <v>274389.84999999998</v>
      </c>
      <c r="V34" s="952">
        <v>7.5</v>
      </c>
      <c r="W34" s="952">
        <v>6.5</v>
      </c>
      <c r="X34" s="995">
        <v>285415.76</v>
      </c>
      <c r="Y34" s="952">
        <v>7.5</v>
      </c>
      <c r="Z34" s="952">
        <v>7.5</v>
      </c>
      <c r="AA34" s="995">
        <v>286360.65000000002</v>
      </c>
      <c r="AB34" s="952">
        <v>7.5</v>
      </c>
      <c r="AC34" s="952">
        <v>10</v>
      </c>
      <c r="AD34" s="995">
        <v>274943.21999999997</v>
      </c>
      <c r="AE34" s="952">
        <v>10</v>
      </c>
      <c r="AF34" s="952">
        <v>6.5</v>
      </c>
      <c r="AG34" s="995">
        <v>278729.19</v>
      </c>
      <c r="AH34" s="952">
        <v>10</v>
      </c>
      <c r="AI34" s="952">
        <v>7.5</v>
      </c>
      <c r="AJ34" s="995">
        <v>279674.08</v>
      </c>
      <c r="AK34" s="952">
        <v>10</v>
      </c>
      <c r="AL34" s="952">
        <v>10</v>
      </c>
      <c r="AM34" s="967">
        <v>268256.65999999997</v>
      </c>
    </row>
    <row r="35" spans="1:39">
      <c r="A35" s="989" t="s">
        <v>1542</v>
      </c>
      <c r="B35" t="s">
        <v>1558</v>
      </c>
      <c r="C35" t="s">
        <v>1559</v>
      </c>
      <c r="D35" s="989" t="s">
        <v>1559</v>
      </c>
      <c r="E35" s="967">
        <v>268649.98</v>
      </c>
      <c r="F35" s="967">
        <v>286360.65000000002</v>
      </c>
      <c r="G35" s="995">
        <v>286360.65000000002</v>
      </c>
      <c r="H35" s="967">
        <v>17710.670000000042</v>
      </c>
      <c r="K35" t="s">
        <v>701</v>
      </c>
      <c r="L35" s="989" t="s">
        <v>703</v>
      </c>
      <c r="M35" s="952">
        <v>6.5</v>
      </c>
      <c r="N35" s="952">
        <v>6.5</v>
      </c>
      <c r="O35" s="995">
        <v>284894.94</v>
      </c>
      <c r="P35" s="952">
        <v>6.5</v>
      </c>
      <c r="Q35" s="952">
        <v>7.5</v>
      </c>
      <c r="R35" s="995">
        <v>285415.76</v>
      </c>
      <c r="S35" s="952">
        <v>6.5</v>
      </c>
      <c r="T35" s="952">
        <v>10</v>
      </c>
      <c r="U35" s="995">
        <v>279122.52</v>
      </c>
      <c r="V35" s="952">
        <v>7.5</v>
      </c>
      <c r="W35" s="952">
        <v>6.5</v>
      </c>
      <c r="X35" s="995">
        <v>285839.83</v>
      </c>
      <c r="Y35" s="952">
        <v>7.5</v>
      </c>
      <c r="Z35" s="952">
        <v>7.5</v>
      </c>
      <c r="AA35" s="995">
        <v>286360.65000000002</v>
      </c>
      <c r="AB35" s="952">
        <v>7.5</v>
      </c>
      <c r="AC35" s="952">
        <v>10</v>
      </c>
      <c r="AD35" s="995">
        <v>280067.40999999997</v>
      </c>
      <c r="AE35" s="952">
        <v>10</v>
      </c>
      <c r="AF35" s="952">
        <v>6.5</v>
      </c>
      <c r="AG35" s="995">
        <v>274422.40000000002</v>
      </c>
      <c r="AH35" s="952">
        <v>10</v>
      </c>
      <c r="AI35" s="952">
        <v>7.5</v>
      </c>
      <c r="AJ35" s="995">
        <v>274943.21999999997</v>
      </c>
      <c r="AK35" s="952">
        <v>10</v>
      </c>
      <c r="AL35" s="952">
        <v>10</v>
      </c>
      <c r="AM35" s="967">
        <v>268649.98</v>
      </c>
    </row>
    <row r="36" spans="1:39">
      <c r="A36" s="989" t="s">
        <v>1537</v>
      </c>
      <c r="B36" t="s">
        <v>1558</v>
      </c>
      <c r="C36" t="s">
        <v>1559</v>
      </c>
      <c r="D36" s="989" t="s">
        <v>1559</v>
      </c>
      <c r="E36" s="967">
        <v>269399.78999999998</v>
      </c>
      <c r="F36" s="967">
        <v>286360.65000000002</v>
      </c>
      <c r="G36" s="995">
        <v>286360.65000000002</v>
      </c>
      <c r="H36" s="967">
        <v>16960.860000000044</v>
      </c>
      <c r="K36" t="s">
        <v>700</v>
      </c>
      <c r="L36" s="989" t="s">
        <v>702</v>
      </c>
      <c r="M36" s="952">
        <v>6.5</v>
      </c>
      <c r="N36" s="952">
        <v>6.5</v>
      </c>
      <c r="O36" s="995">
        <v>284956.99</v>
      </c>
      <c r="P36" s="952">
        <v>6.5</v>
      </c>
      <c r="Q36" s="952">
        <v>7.5</v>
      </c>
      <c r="R36" s="995">
        <v>285807.27</v>
      </c>
      <c r="S36" s="952">
        <v>6.5</v>
      </c>
      <c r="T36" s="952">
        <v>10</v>
      </c>
      <c r="U36" s="995">
        <v>275532.99</v>
      </c>
      <c r="V36" s="952">
        <v>7.5</v>
      </c>
      <c r="W36" s="952">
        <v>6.5</v>
      </c>
      <c r="X36" s="995">
        <v>285510.36</v>
      </c>
      <c r="Y36" s="952">
        <v>7.5</v>
      </c>
      <c r="Z36" s="952">
        <v>7.5</v>
      </c>
      <c r="AA36" s="995">
        <v>286360.65000000002</v>
      </c>
      <c r="AB36" s="952">
        <v>7.5</v>
      </c>
      <c r="AC36" s="952">
        <v>10</v>
      </c>
      <c r="AD36" s="995">
        <v>276086.36</v>
      </c>
      <c r="AE36" s="952">
        <v>10</v>
      </c>
      <c r="AF36" s="952">
        <v>6.5</v>
      </c>
      <c r="AG36" s="995">
        <v>278823.78999999998</v>
      </c>
      <c r="AH36" s="952">
        <v>10</v>
      </c>
      <c r="AI36" s="952">
        <v>7.5</v>
      </c>
      <c r="AJ36" s="995">
        <v>279674.08</v>
      </c>
      <c r="AK36" s="952">
        <v>10</v>
      </c>
      <c r="AL36" s="952">
        <v>10</v>
      </c>
      <c r="AM36" s="967">
        <v>269399.78999999998</v>
      </c>
    </row>
    <row r="37" spans="1:39">
      <c r="A37" s="989" t="s">
        <v>1545</v>
      </c>
      <c r="B37" t="s">
        <v>1558</v>
      </c>
      <c r="C37" t="s">
        <v>1559</v>
      </c>
      <c r="D37" s="989" t="s">
        <v>1559</v>
      </c>
      <c r="E37" s="967">
        <v>269793.12</v>
      </c>
      <c r="F37" s="967">
        <v>286360.65000000002</v>
      </c>
      <c r="G37" s="995">
        <v>286360.65000000002</v>
      </c>
      <c r="H37" s="967">
        <v>16567.530000000028</v>
      </c>
      <c r="K37" t="s">
        <v>702</v>
      </c>
      <c r="L37" s="989" t="s">
        <v>703</v>
      </c>
      <c r="M37" s="952">
        <v>6.5</v>
      </c>
      <c r="N37" s="952">
        <v>6.5</v>
      </c>
      <c r="O37" s="995">
        <v>284989.53999999998</v>
      </c>
      <c r="P37" s="952">
        <v>6.5</v>
      </c>
      <c r="Q37" s="952">
        <v>7.5</v>
      </c>
      <c r="R37" s="995">
        <v>285510.36</v>
      </c>
      <c r="S37" s="952">
        <v>6.5</v>
      </c>
      <c r="T37" s="952">
        <v>10</v>
      </c>
      <c r="U37" s="995">
        <v>279217.12</v>
      </c>
      <c r="V37" s="952">
        <v>7.5</v>
      </c>
      <c r="W37" s="952">
        <v>6.5</v>
      </c>
      <c r="X37" s="995">
        <v>285839.83</v>
      </c>
      <c r="Y37" s="952">
        <v>7.5</v>
      </c>
      <c r="Z37" s="952">
        <v>7.5</v>
      </c>
      <c r="AA37" s="995">
        <v>286360.65000000002</v>
      </c>
      <c r="AB37" s="952">
        <v>7.5</v>
      </c>
      <c r="AC37" s="952">
        <v>10</v>
      </c>
      <c r="AD37" s="995">
        <v>280067.40999999997</v>
      </c>
      <c r="AE37" s="952">
        <v>10</v>
      </c>
      <c r="AF37" s="952">
        <v>6.5</v>
      </c>
      <c r="AG37" s="995">
        <v>275565.53999999998</v>
      </c>
      <c r="AH37" s="952">
        <v>10</v>
      </c>
      <c r="AI37" s="952">
        <v>7.5</v>
      </c>
      <c r="AJ37" s="995">
        <v>276086.36</v>
      </c>
      <c r="AK37" s="952">
        <v>10</v>
      </c>
      <c r="AL37" s="952">
        <v>10</v>
      </c>
      <c r="AM37" s="967">
        <v>269793.12</v>
      </c>
    </row>
    <row r="38" spans="1:39">
      <c r="A38" s="989" t="s">
        <v>1538</v>
      </c>
      <c r="B38" t="s">
        <v>1558</v>
      </c>
      <c r="C38" t="s">
        <v>1559</v>
      </c>
      <c r="D38" s="989" t="s">
        <v>1559</v>
      </c>
      <c r="E38" s="967">
        <v>273380.84000000003</v>
      </c>
      <c r="F38" s="967">
        <v>286360.65000000002</v>
      </c>
      <c r="G38" s="995">
        <v>286360.65000000002</v>
      </c>
      <c r="H38" s="967">
        <v>12979.809999999998</v>
      </c>
      <c r="K38" t="s">
        <v>700</v>
      </c>
      <c r="L38" s="989" t="s">
        <v>703</v>
      </c>
      <c r="M38" s="952">
        <v>6.5</v>
      </c>
      <c r="N38" s="952">
        <v>6.5</v>
      </c>
      <c r="O38" s="995">
        <v>285286.45</v>
      </c>
      <c r="P38" s="952">
        <v>6.5</v>
      </c>
      <c r="Q38" s="952">
        <v>7.5</v>
      </c>
      <c r="R38" s="995">
        <v>285807.27</v>
      </c>
      <c r="S38" s="952">
        <v>6.5</v>
      </c>
      <c r="T38" s="952">
        <v>10</v>
      </c>
      <c r="U38" s="995">
        <v>279514.03000000003</v>
      </c>
      <c r="V38" s="952">
        <v>7.5</v>
      </c>
      <c r="W38" s="952">
        <v>6.5</v>
      </c>
      <c r="X38" s="995">
        <v>285839.83</v>
      </c>
      <c r="Y38" s="952">
        <v>7.5</v>
      </c>
      <c r="Z38" s="952">
        <v>7.5</v>
      </c>
      <c r="AA38" s="995">
        <v>286360.65000000002</v>
      </c>
      <c r="AB38" s="952">
        <v>7.5</v>
      </c>
      <c r="AC38" s="952">
        <v>10</v>
      </c>
      <c r="AD38" s="995">
        <v>280067.40999999997</v>
      </c>
      <c r="AE38" s="952">
        <v>10</v>
      </c>
      <c r="AF38" s="952">
        <v>6.5</v>
      </c>
      <c r="AG38" s="995">
        <v>279153.26</v>
      </c>
      <c r="AH38" s="952">
        <v>10</v>
      </c>
      <c r="AI38" s="952">
        <v>7.5</v>
      </c>
      <c r="AJ38" s="995">
        <v>279674.08</v>
      </c>
      <c r="AK38" s="952">
        <v>10</v>
      </c>
      <c r="AL38" s="952">
        <v>10</v>
      </c>
      <c r="AM38" s="967">
        <v>273380.84000000003</v>
      </c>
    </row>
  </sheetData>
  <sortState xmlns:xlrd2="http://schemas.microsoft.com/office/spreadsheetml/2017/richdata2" ref="A11:AM38">
    <sortCondition descending="1" ref="H11"/>
  </sortState>
  <phoneticPr fontId="87" type="noConversion"/>
  <pageMargins left="0.7" right="0.7" top="0.75" bottom="0.75" header="0.3" footer="0.3"/>
  <pageSetup fitToHeight="0"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pageSetUpPr fitToPage="1"/>
  </sheetPr>
  <dimension ref="A1:Y327"/>
  <sheetViews>
    <sheetView showGridLines="0" showRowColHeaders="0" zoomScaleNormal="100" zoomScaleSheetLayoutView="70" workbookViewId="0">
      <pane ySplit="1" topLeftCell="A134" activePane="bottomLeft" state="frozen"/>
      <selection activeCell="D50" sqref="D50"/>
      <selection pane="bottomLeft" activeCell="G184" sqref="G184"/>
    </sheetView>
  </sheetViews>
  <sheetFormatPr defaultColWidth="9.140625" defaultRowHeight="12.95" customHeight="1"/>
  <cols>
    <col min="1" max="1" width="14.5703125" style="7" customWidth="1"/>
    <col min="2" max="2" width="16.42578125" style="7" bestFit="1" customWidth="1"/>
    <col min="3" max="3" width="12.42578125" style="7" customWidth="1"/>
    <col min="4" max="10" width="10.5703125" style="7" customWidth="1"/>
    <col min="11" max="11" width="12.85546875" style="7" bestFit="1" customWidth="1"/>
    <col min="12" max="12" width="9.5703125" style="7" customWidth="1"/>
    <col min="13" max="13" width="10.140625" style="7" bestFit="1" customWidth="1"/>
    <col min="14" max="14" width="8" style="7" bestFit="1" customWidth="1"/>
    <col min="15" max="15" width="8.42578125" style="7" bestFit="1" customWidth="1"/>
    <col min="16" max="16" width="8.5703125" style="7" customWidth="1"/>
    <col min="17" max="17" width="13.5703125" style="7" bestFit="1" customWidth="1"/>
    <col min="18" max="25" width="10" style="7" bestFit="1" customWidth="1"/>
    <col min="26" max="16384" width="9.140625" style="7"/>
  </cols>
  <sheetData>
    <row r="1" spans="1:24" s="1" customFormat="1" ht="32.1" customHeight="1">
      <c r="K1" s="521" t="str">
        <f>"Current Cycle "&amp;CurrentCycle</f>
        <v>Current Cycle 12</v>
      </c>
      <c r="L1" s="522" t="str">
        <f>"Calculating "&amp;CycleInCalculation</f>
        <v>Calculating 12</v>
      </c>
    </row>
    <row r="2" spans="1:24" s="1" customFormat="1" ht="41.25" customHeight="1"/>
    <row r="3" spans="1:24" s="1" customFormat="1" ht="12.95" customHeight="1"/>
    <row r="4" spans="1:24" s="1" customFormat="1" ht="12.95" customHeight="1"/>
    <row r="5" spans="1:24" ht="15.75">
      <c r="A5" s="178">
        <v>1</v>
      </c>
      <c r="B5" s="122" t="s">
        <v>143</v>
      </c>
      <c r="C5" s="122"/>
      <c r="D5" s="178"/>
      <c r="E5" s="12"/>
      <c r="G5" s="35"/>
      <c r="H5" s="35"/>
      <c r="I5" s="12"/>
      <c r="J5" s="12"/>
      <c r="K5" s="12"/>
      <c r="L5" s="12"/>
      <c r="M5" s="35"/>
      <c r="N5" s="35"/>
      <c r="O5" s="12"/>
      <c r="P5" s="16"/>
      <c r="Q5" s="12"/>
      <c r="R5" s="12"/>
      <c r="S5" s="12"/>
      <c r="T5" s="12"/>
      <c r="U5" s="12"/>
      <c r="V5" s="12"/>
      <c r="W5" s="12"/>
      <c r="X5" s="12"/>
    </row>
    <row r="6" spans="1:24" ht="12.95" customHeight="1" thickBot="1">
      <c r="A6" s="182"/>
      <c r="B6" s="523"/>
      <c r="C6" s="523"/>
      <c r="D6" s="523"/>
      <c r="E6" s="523"/>
      <c r="F6" s="523"/>
      <c r="G6" s="524"/>
      <c r="H6" s="524"/>
      <c r="I6" s="524"/>
      <c r="J6" s="524"/>
      <c r="K6" s="524"/>
      <c r="L6" s="12"/>
      <c r="M6" s="35"/>
      <c r="N6" s="35"/>
      <c r="O6" s="12"/>
      <c r="P6" s="16"/>
      <c r="Q6" s="12"/>
      <c r="R6" s="12"/>
      <c r="S6" s="12"/>
      <c r="T6" s="12"/>
      <c r="U6" s="12"/>
      <c r="V6" s="12"/>
      <c r="W6" s="12"/>
      <c r="X6" s="12"/>
    </row>
    <row r="7" spans="1:24" ht="12.95" customHeight="1" thickBot="1">
      <c r="A7" s="525" t="s">
        <v>464</v>
      </c>
      <c r="B7" s="1215"/>
      <c r="C7" s="1216"/>
      <c r="D7" s="1216"/>
      <c r="E7" s="1216"/>
      <c r="F7" s="1217"/>
      <c r="G7" s="526" t="s">
        <v>95</v>
      </c>
      <c r="H7" s="526" t="s">
        <v>35</v>
      </c>
      <c r="I7" s="526" t="s">
        <v>34</v>
      </c>
      <c r="J7" s="526" t="s">
        <v>33</v>
      </c>
      <c r="K7" s="527" t="s">
        <v>94</v>
      </c>
      <c r="L7" s="12"/>
      <c r="M7" s="35"/>
      <c r="N7" s="35"/>
      <c r="O7" s="12"/>
      <c r="P7" s="16"/>
      <c r="Q7" s="12"/>
      <c r="R7" s="12"/>
      <c r="S7" s="12"/>
      <c r="T7" s="12"/>
      <c r="U7" s="12"/>
      <c r="V7" s="12"/>
      <c r="W7" s="12"/>
      <c r="X7" s="12"/>
    </row>
    <row r="8" spans="1:24" ht="12.95" customHeight="1">
      <c r="A8" s="182"/>
      <c r="B8" s="1218" t="s">
        <v>99</v>
      </c>
      <c r="C8" s="1219"/>
      <c r="D8" s="1219"/>
      <c r="E8" s="1220"/>
      <c r="F8" s="528" t="s">
        <v>49</v>
      </c>
      <c r="G8" s="529"/>
      <c r="H8" s="530">
        <f>'Project-Start'!H8</f>
        <v>0.357328125</v>
      </c>
      <c r="I8" s="530">
        <f>'Project-Start'!I8</f>
        <v>0.38038155241935484</v>
      </c>
      <c r="J8" s="530">
        <f>'Project-Start'!J8</f>
        <v>0.41496169354838708</v>
      </c>
      <c r="K8" s="531">
        <f>'Project-Start'!K8</f>
        <v>0.38422379032258064</v>
      </c>
      <c r="L8" s="12"/>
      <c r="M8" s="35"/>
      <c r="N8" s="35"/>
      <c r="O8" s="12"/>
      <c r="P8" s="16"/>
      <c r="Q8" s="12"/>
      <c r="R8" s="12"/>
      <c r="S8" s="12"/>
      <c r="T8" s="12"/>
      <c r="U8" s="12"/>
      <c r="V8" s="12"/>
      <c r="W8" s="12"/>
      <c r="X8" s="12"/>
    </row>
    <row r="9" spans="1:24" ht="12.95" customHeight="1">
      <c r="A9" s="182"/>
      <c r="B9" s="1221" t="s">
        <v>98</v>
      </c>
      <c r="C9" s="1222"/>
      <c r="D9" s="1222"/>
      <c r="E9" s="1223"/>
      <c r="F9" s="532" t="s">
        <v>96</v>
      </c>
      <c r="G9" s="533"/>
      <c r="H9" s="533">
        <f>'Project-Start'!H9</f>
        <v>1</v>
      </c>
      <c r="I9" s="533">
        <f>'Project-Start'!I9</f>
        <v>1</v>
      </c>
      <c r="J9" s="533">
        <f>'Project-Start'!J9</f>
        <v>1</v>
      </c>
      <c r="K9" s="742">
        <f>AVERAGE(H9:J9)</f>
        <v>1</v>
      </c>
      <c r="L9" s="12"/>
      <c r="M9" s="35"/>
      <c r="N9" s="35"/>
      <c r="O9" s="12"/>
      <c r="P9" s="16"/>
      <c r="Q9" s="12"/>
      <c r="R9" s="12"/>
      <c r="S9" s="12"/>
      <c r="T9" s="12"/>
      <c r="U9" s="12"/>
      <c r="V9" s="12"/>
      <c r="W9" s="12"/>
      <c r="X9" s="12"/>
    </row>
    <row r="10" spans="1:24" ht="12.95" customHeight="1" thickBot="1">
      <c r="A10" s="182"/>
      <c r="B10" s="1224" t="s">
        <v>97</v>
      </c>
      <c r="C10" s="1225"/>
      <c r="D10" s="1225"/>
      <c r="E10" s="1226"/>
      <c r="F10" s="534" t="s">
        <v>96</v>
      </c>
      <c r="G10" s="535"/>
      <c r="H10" s="535">
        <f>'Project-Start'!H10</f>
        <v>1</v>
      </c>
      <c r="I10" s="535">
        <f>'Project-Start'!I10</f>
        <v>1</v>
      </c>
      <c r="J10" s="535">
        <f>'Project-Start'!J10</f>
        <v>2</v>
      </c>
      <c r="K10" s="743">
        <f>AVERAGE(H10:J10)</f>
        <v>1.3333333333333333</v>
      </c>
      <c r="L10" s="12"/>
      <c r="M10" s="35"/>
      <c r="N10" s="35"/>
      <c r="O10" s="12"/>
      <c r="P10" s="16"/>
      <c r="Q10" s="12"/>
      <c r="R10" s="12"/>
      <c r="S10" s="12"/>
      <c r="T10" s="12"/>
      <c r="U10" s="12"/>
      <c r="V10" s="12"/>
      <c r="W10" s="12"/>
      <c r="X10" s="12"/>
    </row>
    <row r="11" spans="1:24" ht="12.95" customHeight="1" thickBot="1">
      <c r="A11" s="182"/>
      <c r="B11" s="433"/>
      <c r="C11" s="433"/>
      <c r="D11" s="182"/>
      <c r="E11" s="12"/>
      <c r="G11" s="35"/>
      <c r="H11" s="35"/>
      <c r="I11" s="12"/>
      <c r="J11" s="12"/>
      <c r="K11" s="12"/>
      <c r="L11" s="12"/>
      <c r="M11" s="35"/>
      <c r="N11" s="35"/>
      <c r="O11" s="12"/>
      <c r="P11" s="16"/>
      <c r="Q11" s="12"/>
      <c r="R11" s="12"/>
      <c r="S11" s="12"/>
      <c r="T11" s="12"/>
      <c r="U11" s="12"/>
      <c r="V11" s="12"/>
      <c r="W11" s="12"/>
      <c r="X11" s="12"/>
    </row>
    <row r="12" spans="1:24" ht="12.95" customHeight="1" thickBot="1">
      <c r="A12" s="536" t="s">
        <v>465</v>
      </c>
      <c r="B12" s="1227"/>
      <c r="C12" s="1228"/>
      <c r="D12" s="1228"/>
      <c r="E12" s="1228"/>
      <c r="F12" s="1228"/>
      <c r="G12" s="537" t="s">
        <v>95</v>
      </c>
      <c r="H12" s="537" t="s">
        <v>35</v>
      </c>
      <c r="I12" s="537" t="s">
        <v>34</v>
      </c>
      <c r="J12" s="537" t="s">
        <v>33</v>
      </c>
      <c r="K12" s="538" t="s">
        <v>94</v>
      </c>
      <c r="L12" s="12"/>
      <c r="M12" s="35"/>
      <c r="N12" s="35"/>
      <c r="O12" s="12"/>
      <c r="P12" s="16"/>
      <c r="Q12" s="12"/>
      <c r="R12" s="12"/>
      <c r="S12" s="12"/>
      <c r="T12" s="12"/>
      <c r="U12" s="12"/>
      <c r="V12" s="12"/>
      <c r="W12" s="12"/>
      <c r="X12" s="12"/>
    </row>
    <row r="13" spans="1:24" ht="12.95" customHeight="1">
      <c r="B13" s="1229" t="s">
        <v>99</v>
      </c>
      <c r="C13" s="1230"/>
      <c r="D13" s="1230"/>
      <c r="E13" s="1230"/>
      <c r="F13" s="539" t="s">
        <v>49</v>
      </c>
      <c r="G13" s="540"/>
      <c r="H13" s="541">
        <f>'36-Mo-Fin-Pr'!P38/H52</f>
        <v>0.338464167171875</v>
      </c>
      <c r="I13" s="541">
        <f>'36-Mo-Fin-Pr'!P39/I52</f>
        <v>0.35677083333333331</v>
      </c>
      <c r="J13" s="541">
        <f>'36-Mo-Fin-Pr'!P40/J52</f>
        <v>0.39583333333333331</v>
      </c>
      <c r="K13" s="542">
        <f>'36-Mo-Fin-Pr'!P41/SUM(H52:J52)</f>
        <v>0.36368944461284725</v>
      </c>
      <c r="L13" s="12"/>
      <c r="M13" s="35"/>
      <c r="N13" s="35"/>
      <c r="O13" s="12"/>
      <c r="P13" s="16"/>
      <c r="Q13" s="12"/>
      <c r="R13" s="12"/>
      <c r="S13" s="12"/>
      <c r="T13" s="12"/>
      <c r="U13" s="12"/>
      <c r="V13" s="12"/>
      <c r="W13" s="12"/>
      <c r="X13" s="12"/>
    </row>
    <row r="14" spans="1:24" ht="12.95" customHeight="1">
      <c r="A14" s="182"/>
      <c r="B14" s="1233" t="s">
        <v>633</v>
      </c>
      <c r="C14" s="1234"/>
      <c r="D14" s="1234"/>
      <c r="E14" s="1234"/>
      <c r="F14" s="543" t="s">
        <v>96</v>
      </c>
      <c r="G14" s="544"/>
      <c r="H14" s="544">
        <v>1</v>
      </c>
      <c r="I14" s="544">
        <v>1</v>
      </c>
      <c r="J14" s="544">
        <v>1</v>
      </c>
      <c r="K14" s="744">
        <f>AVERAGE(H14:J14)</f>
        <v>1</v>
      </c>
      <c r="L14" s="12"/>
      <c r="M14" s="35"/>
      <c r="N14" s="35"/>
      <c r="O14" s="12"/>
      <c r="P14" s="16"/>
      <c r="Q14" s="12"/>
      <c r="R14" s="12"/>
      <c r="S14" s="12"/>
      <c r="T14" s="12"/>
      <c r="U14" s="12"/>
      <c r="V14" s="12"/>
      <c r="W14" s="12"/>
      <c r="X14" s="12"/>
    </row>
    <row r="15" spans="1:24" ht="12.95" customHeight="1" thickBot="1">
      <c r="A15" s="182"/>
      <c r="B15" s="1235" t="s">
        <v>634</v>
      </c>
      <c r="C15" s="1236"/>
      <c r="D15" s="1236"/>
      <c r="E15" s="1236"/>
      <c r="F15" s="545" t="s">
        <v>96</v>
      </c>
      <c r="G15" s="546"/>
      <c r="H15" s="546">
        <v>1</v>
      </c>
      <c r="I15" s="546">
        <v>1</v>
      </c>
      <c r="J15" s="546">
        <v>1</v>
      </c>
      <c r="K15" s="745">
        <f>AVERAGE(H15:J15)</f>
        <v>1</v>
      </c>
      <c r="L15" s="12"/>
      <c r="M15" s="35"/>
      <c r="N15" s="35"/>
      <c r="O15" s="12"/>
      <c r="P15" s="16"/>
      <c r="Q15" s="12"/>
      <c r="R15" s="12"/>
      <c r="S15" s="12"/>
      <c r="T15" s="12"/>
      <c r="U15" s="12"/>
      <c r="V15" s="12"/>
      <c r="W15" s="12"/>
      <c r="X15" s="12"/>
    </row>
    <row r="16" spans="1:24" ht="12.95" customHeight="1">
      <c r="A16" s="182"/>
      <c r="B16" s="12"/>
      <c r="C16" s="12"/>
      <c r="D16" s="12"/>
      <c r="E16" s="16"/>
      <c r="F16" s="16"/>
      <c r="G16" s="16"/>
      <c r="H16" s="16"/>
      <c r="I16" s="16"/>
      <c r="J16" s="16"/>
      <c r="K16" s="12"/>
      <c r="L16" s="12"/>
      <c r="M16" s="35"/>
      <c r="N16" s="35"/>
      <c r="O16" s="12"/>
      <c r="P16" s="16"/>
      <c r="Q16" s="12"/>
      <c r="R16" s="12"/>
      <c r="S16" s="12"/>
      <c r="T16" s="12"/>
      <c r="U16" s="12"/>
      <c r="V16" s="12"/>
      <c r="W16" s="12"/>
      <c r="X16" s="12"/>
    </row>
    <row r="17" spans="1:24" ht="12.95" customHeight="1">
      <c r="A17" s="182"/>
      <c r="B17" s="12"/>
      <c r="C17" s="12"/>
      <c r="D17" s="12"/>
      <c r="E17" s="16"/>
      <c r="F17" s="16"/>
      <c r="G17" s="16"/>
      <c r="H17" s="16"/>
      <c r="I17" s="16"/>
      <c r="J17" s="16"/>
      <c r="K17" s="12"/>
      <c r="L17" s="12"/>
      <c r="M17" s="35"/>
      <c r="N17" s="35"/>
      <c r="O17" s="12"/>
      <c r="P17" s="16"/>
      <c r="Q17" s="12"/>
      <c r="R17" s="12"/>
      <c r="S17" s="12"/>
      <c r="T17" s="12"/>
      <c r="U17" s="12"/>
      <c r="V17" s="12"/>
      <c r="W17" s="12"/>
      <c r="X17" s="12"/>
    </row>
    <row r="18" spans="1:24" ht="12.95" customHeight="1">
      <c r="A18" s="182"/>
      <c r="B18" s="12"/>
      <c r="C18" s="12"/>
      <c r="D18" s="12"/>
      <c r="E18" s="16"/>
      <c r="F18" s="16"/>
      <c r="G18" s="16"/>
      <c r="H18" s="16"/>
      <c r="I18" s="16"/>
      <c r="J18" s="16"/>
      <c r="K18" s="12"/>
      <c r="L18" s="12"/>
      <c r="M18" s="35"/>
      <c r="N18" s="35"/>
      <c r="O18" s="12"/>
      <c r="P18" s="16"/>
      <c r="Q18" s="12"/>
      <c r="R18" s="12"/>
      <c r="S18" s="12"/>
      <c r="T18" s="12"/>
      <c r="U18" s="12"/>
      <c r="V18" s="12"/>
      <c r="W18" s="12"/>
      <c r="X18" s="12"/>
    </row>
    <row r="19" spans="1:24" ht="12.95" customHeight="1">
      <c r="A19" s="182"/>
      <c r="B19" s="12"/>
      <c r="C19" s="12"/>
      <c r="D19" s="12"/>
      <c r="E19" s="16"/>
      <c r="F19" s="16"/>
      <c r="G19" s="16"/>
      <c r="H19" s="16"/>
      <c r="I19" s="16"/>
      <c r="J19" s="16"/>
      <c r="K19" s="12"/>
      <c r="L19" s="12"/>
      <c r="M19" s="35"/>
      <c r="N19" s="35"/>
      <c r="O19" s="12"/>
      <c r="P19" s="16"/>
      <c r="Q19" s="12"/>
      <c r="R19" s="12"/>
      <c r="S19" s="12"/>
      <c r="T19" s="12"/>
      <c r="U19" s="12"/>
      <c r="V19" s="12"/>
      <c r="W19" s="12"/>
      <c r="X19" s="12"/>
    </row>
    <row r="20" spans="1:24" ht="12.95" customHeight="1">
      <c r="A20" s="182"/>
      <c r="B20" s="12"/>
      <c r="C20" s="12"/>
      <c r="D20" s="12"/>
      <c r="E20" s="16"/>
      <c r="F20" s="16"/>
      <c r="G20" s="16"/>
      <c r="H20" s="16"/>
      <c r="I20" s="16"/>
      <c r="J20" s="16"/>
      <c r="K20" s="12"/>
      <c r="L20" s="12"/>
      <c r="M20" s="35"/>
      <c r="N20" s="35"/>
      <c r="O20" s="12"/>
      <c r="P20" s="16"/>
      <c r="Q20" s="12"/>
      <c r="R20" s="12"/>
      <c r="S20" s="12"/>
      <c r="T20" s="12"/>
      <c r="U20" s="12"/>
      <c r="V20" s="12"/>
      <c r="W20" s="12"/>
      <c r="X20" s="12"/>
    </row>
    <row r="21" spans="1:24" ht="12.95" customHeight="1">
      <c r="A21" s="182"/>
      <c r="B21" s="12"/>
      <c r="C21" s="12"/>
      <c r="D21" s="12"/>
      <c r="E21" s="16"/>
      <c r="F21" s="16"/>
      <c r="G21" s="16"/>
      <c r="H21" s="16"/>
      <c r="I21" s="16"/>
      <c r="J21" s="16"/>
      <c r="K21" s="12"/>
      <c r="L21" s="12"/>
      <c r="M21" s="35"/>
      <c r="N21" s="35"/>
      <c r="O21" s="12"/>
      <c r="P21" s="16"/>
      <c r="Q21" s="12"/>
      <c r="R21" s="12"/>
      <c r="S21" s="12"/>
      <c r="T21" s="12"/>
      <c r="U21" s="12"/>
      <c r="V21" s="12"/>
      <c r="W21" s="12"/>
      <c r="X21" s="12"/>
    </row>
    <row r="22" spans="1:24" ht="12.95" customHeight="1">
      <c r="A22" s="182"/>
      <c r="B22" s="12"/>
      <c r="C22" s="12"/>
      <c r="D22" s="12"/>
      <c r="E22" s="16"/>
      <c r="F22" s="16"/>
      <c r="G22" s="16"/>
      <c r="H22" s="16"/>
      <c r="I22" s="16"/>
      <c r="J22" s="16"/>
      <c r="K22" s="12"/>
      <c r="L22" s="12"/>
      <c r="M22" s="35"/>
      <c r="N22" s="35"/>
      <c r="O22" s="12"/>
      <c r="P22" s="16"/>
      <c r="Q22" s="12"/>
      <c r="R22" s="12"/>
      <c r="S22" s="12"/>
      <c r="T22" s="12"/>
      <c r="U22" s="12"/>
      <c r="V22" s="12"/>
      <c r="W22" s="12"/>
      <c r="X22" s="12"/>
    </row>
    <row r="23" spans="1:24" ht="12.95" customHeight="1">
      <c r="A23" s="182"/>
      <c r="B23" s="12"/>
      <c r="C23" s="12"/>
      <c r="D23" s="12"/>
      <c r="E23" s="16"/>
      <c r="F23" s="16"/>
      <c r="G23" s="16"/>
      <c r="H23" s="16"/>
      <c r="I23" s="16"/>
      <c r="J23" s="16"/>
      <c r="K23" s="12"/>
      <c r="L23" s="12"/>
      <c r="M23" s="35"/>
      <c r="N23" s="35"/>
      <c r="O23" s="12"/>
      <c r="P23" s="16"/>
      <c r="Q23" s="12"/>
      <c r="R23" s="12"/>
      <c r="S23" s="12"/>
      <c r="T23" s="12"/>
      <c r="U23" s="12"/>
      <c r="V23" s="12"/>
      <c r="W23" s="12"/>
      <c r="X23" s="12"/>
    </row>
    <row r="24" spans="1:24" ht="12.95" customHeight="1">
      <c r="A24" s="182"/>
      <c r="B24" s="12"/>
      <c r="C24" s="12"/>
      <c r="D24" s="12"/>
      <c r="E24" s="16"/>
      <c r="F24" s="16"/>
      <c r="G24" s="16"/>
      <c r="H24" s="16"/>
      <c r="I24" s="16"/>
      <c r="J24" s="16"/>
      <c r="K24" s="12"/>
      <c r="L24" s="12"/>
      <c r="M24" s="35"/>
      <c r="N24" s="35"/>
      <c r="O24" s="12"/>
      <c r="P24" s="16"/>
      <c r="Q24" s="12"/>
      <c r="R24" s="12"/>
      <c r="S24" s="12"/>
      <c r="T24" s="12"/>
      <c r="U24" s="12"/>
      <c r="V24" s="12"/>
      <c r="W24" s="12"/>
      <c r="X24" s="12"/>
    </row>
    <row r="25" spans="1:24" ht="12.95" customHeight="1">
      <c r="A25" s="182"/>
      <c r="B25" s="12"/>
      <c r="C25" s="12"/>
      <c r="D25" s="12"/>
      <c r="E25" s="16"/>
      <c r="F25" s="16"/>
      <c r="G25" s="16"/>
      <c r="H25" s="16"/>
      <c r="I25" s="16"/>
      <c r="J25" s="16"/>
      <c r="K25" s="12"/>
      <c r="L25" s="12"/>
      <c r="M25" s="35"/>
      <c r="N25" s="35"/>
      <c r="O25" s="12"/>
      <c r="P25" s="16"/>
      <c r="Q25" s="12"/>
      <c r="R25" s="12"/>
      <c r="S25" s="12"/>
      <c r="T25" s="12"/>
      <c r="U25" s="12"/>
      <c r="V25" s="12"/>
      <c r="W25" s="12"/>
      <c r="X25" s="12"/>
    </row>
    <row r="26" spans="1:24" ht="12.95" customHeight="1">
      <c r="A26" s="182"/>
      <c r="B26" s="12"/>
      <c r="C26" s="12"/>
      <c r="D26" s="12"/>
      <c r="E26" s="16"/>
      <c r="F26" s="16"/>
      <c r="G26" s="16"/>
      <c r="H26" s="16"/>
      <c r="I26" s="16"/>
      <c r="J26" s="16"/>
      <c r="K26" s="12"/>
      <c r="L26" s="12"/>
      <c r="M26" s="35"/>
      <c r="N26" s="35"/>
      <c r="O26" s="12"/>
      <c r="P26" s="16"/>
      <c r="Q26" s="12"/>
      <c r="R26" s="12"/>
      <c r="S26" s="12"/>
      <c r="T26" s="12"/>
      <c r="U26" s="12"/>
      <c r="V26" s="12"/>
      <c r="W26" s="12"/>
      <c r="X26" s="12"/>
    </row>
    <row r="27" spans="1:24" ht="12.95" customHeight="1">
      <c r="A27" s="182"/>
      <c r="B27" s="12"/>
      <c r="C27" s="12"/>
      <c r="D27" s="12"/>
      <c r="E27" s="16"/>
      <c r="F27" s="16"/>
      <c r="G27" s="16"/>
      <c r="H27" s="16"/>
      <c r="I27" s="16"/>
      <c r="J27" s="16"/>
      <c r="K27" s="12"/>
      <c r="L27" s="12"/>
      <c r="M27" s="35"/>
      <c r="N27" s="35"/>
      <c r="O27" s="12"/>
      <c r="P27" s="16"/>
      <c r="Q27" s="12"/>
      <c r="R27" s="12"/>
      <c r="S27" s="12"/>
      <c r="T27" s="12"/>
      <c r="U27" s="12"/>
      <c r="V27" s="12"/>
      <c r="W27" s="12"/>
      <c r="X27" s="12"/>
    </row>
    <row r="28" spans="1:24" ht="12.95" customHeight="1">
      <c r="A28" s="182"/>
      <c r="B28" s="12"/>
      <c r="C28" s="12"/>
      <c r="D28" s="12"/>
      <c r="E28" s="16"/>
      <c r="F28" s="16"/>
      <c r="G28" s="16"/>
      <c r="H28" s="16"/>
      <c r="I28" s="16"/>
      <c r="J28" s="16"/>
      <c r="K28" s="12"/>
      <c r="L28" s="12"/>
      <c r="M28" s="35"/>
      <c r="N28" s="35"/>
      <c r="O28" s="12"/>
      <c r="P28" s="16"/>
      <c r="Q28" s="12"/>
      <c r="R28" s="12"/>
      <c r="S28" s="12"/>
      <c r="T28" s="12"/>
      <c r="U28" s="12"/>
      <c r="V28" s="12"/>
      <c r="W28" s="12"/>
      <c r="X28" s="12"/>
    </row>
    <row r="29" spans="1:24" ht="12.95" customHeight="1">
      <c r="A29" s="182"/>
      <c r="B29" s="12"/>
      <c r="C29" s="12"/>
      <c r="D29" s="12"/>
      <c r="E29" s="16"/>
      <c r="F29" s="16"/>
      <c r="G29" s="16"/>
      <c r="H29" s="16"/>
      <c r="I29" s="16"/>
      <c r="J29" s="16"/>
      <c r="K29" s="12"/>
      <c r="L29" s="12"/>
      <c r="M29" s="35"/>
      <c r="N29" s="35"/>
      <c r="O29" s="12"/>
      <c r="P29" s="16"/>
      <c r="Q29" s="12"/>
      <c r="R29" s="12"/>
      <c r="S29" s="12"/>
      <c r="T29" s="12"/>
      <c r="U29" s="12"/>
      <c r="V29" s="12"/>
      <c r="W29" s="12"/>
      <c r="X29" s="12"/>
    </row>
    <row r="30" spans="1:24" ht="12.95" customHeight="1">
      <c r="A30" s="182"/>
      <c r="B30" s="12"/>
      <c r="C30" s="12"/>
      <c r="D30" s="12"/>
      <c r="E30" s="16"/>
      <c r="F30" s="16"/>
      <c r="G30" s="16"/>
      <c r="H30" s="16"/>
      <c r="I30" s="16"/>
      <c r="J30" s="16"/>
      <c r="K30" s="12"/>
      <c r="L30" s="12"/>
      <c r="M30" s="35"/>
      <c r="N30" s="35"/>
      <c r="O30" s="12"/>
      <c r="P30" s="16"/>
      <c r="Q30" s="12"/>
      <c r="R30" s="12"/>
      <c r="S30" s="12"/>
      <c r="T30" s="12"/>
      <c r="U30" s="12"/>
      <c r="V30" s="12"/>
      <c r="W30" s="12"/>
      <c r="X30" s="12"/>
    </row>
    <row r="31" spans="1:24" ht="12.95" customHeight="1">
      <c r="A31" s="182"/>
      <c r="B31" s="12"/>
      <c r="C31" s="12"/>
      <c r="D31" s="12"/>
      <c r="E31" s="16"/>
      <c r="F31" s="16"/>
      <c r="G31" s="16"/>
      <c r="H31" s="16"/>
      <c r="I31" s="16"/>
      <c r="J31" s="16"/>
      <c r="K31" s="12"/>
      <c r="L31" s="12"/>
      <c r="M31" s="35"/>
      <c r="N31" s="35"/>
      <c r="O31" s="12"/>
      <c r="P31" s="16"/>
      <c r="Q31" s="12"/>
      <c r="R31" s="12"/>
      <c r="S31" s="12"/>
      <c r="T31" s="12"/>
      <c r="U31" s="12"/>
      <c r="V31" s="12"/>
      <c r="W31" s="12"/>
      <c r="X31" s="12"/>
    </row>
    <row r="32" spans="1:24" ht="12.95" customHeight="1">
      <c r="A32" s="182"/>
      <c r="B32" s="12"/>
      <c r="C32" s="12"/>
      <c r="D32" s="12"/>
      <c r="E32" s="16"/>
      <c r="F32" s="16"/>
      <c r="G32" s="16"/>
      <c r="H32" s="16"/>
      <c r="I32" s="16"/>
      <c r="J32" s="16"/>
      <c r="K32" s="12"/>
      <c r="L32" s="12"/>
      <c r="M32" s="35"/>
      <c r="N32" s="35"/>
      <c r="O32" s="12"/>
      <c r="P32" s="16"/>
      <c r="Q32" s="12"/>
      <c r="R32" s="12"/>
      <c r="S32" s="12"/>
      <c r="T32" s="12"/>
      <c r="U32" s="12"/>
      <c r="V32" s="12"/>
      <c r="W32" s="12"/>
      <c r="X32" s="12"/>
    </row>
    <row r="33" spans="1:25" ht="12.95" customHeight="1">
      <c r="A33" s="182"/>
      <c r="B33" s="12"/>
      <c r="C33" s="12"/>
      <c r="D33" s="12"/>
      <c r="E33" s="16"/>
      <c r="F33" s="16"/>
      <c r="G33" s="16"/>
      <c r="H33" s="16"/>
      <c r="I33" s="16"/>
      <c r="J33" s="16"/>
      <c r="K33" s="12"/>
      <c r="L33" s="12"/>
      <c r="M33" s="35"/>
      <c r="N33" s="35"/>
      <c r="O33" s="12"/>
      <c r="P33" s="16"/>
      <c r="Q33" s="12"/>
      <c r="R33" s="12"/>
      <c r="S33" s="12"/>
      <c r="T33" s="12"/>
      <c r="U33" s="12"/>
      <c r="V33" s="12"/>
      <c r="W33" s="12"/>
      <c r="X33" s="12"/>
    </row>
    <row r="34" spans="1:25" ht="12.95" customHeight="1">
      <c r="A34" s="182"/>
      <c r="B34" s="12"/>
      <c r="C34" s="12"/>
      <c r="D34" s="12"/>
      <c r="E34" s="16"/>
      <c r="F34" s="16"/>
      <c r="G34" s="16"/>
      <c r="H34" s="16"/>
      <c r="I34" s="16"/>
      <c r="J34" s="16"/>
      <c r="K34" s="12"/>
      <c r="L34" s="12"/>
      <c r="M34" s="35"/>
      <c r="N34" s="35"/>
      <c r="O34" s="12"/>
      <c r="P34" s="16"/>
      <c r="Q34" s="12"/>
      <c r="R34" s="12"/>
      <c r="S34" s="12"/>
      <c r="T34" s="12"/>
      <c r="U34" s="12"/>
      <c r="V34" s="12"/>
      <c r="W34" s="12"/>
      <c r="X34" s="12"/>
    </row>
    <row r="35" spans="1:25" ht="12.95" customHeight="1">
      <c r="A35" s="182"/>
      <c r="B35" s="12"/>
      <c r="C35" s="12"/>
      <c r="D35" s="12"/>
      <c r="E35" s="16"/>
      <c r="F35" s="16"/>
      <c r="G35" s="16"/>
      <c r="H35" s="16"/>
      <c r="I35" s="16"/>
      <c r="J35" s="16"/>
      <c r="K35" s="12"/>
      <c r="L35" s="12"/>
      <c r="M35" s="35"/>
      <c r="N35" s="35"/>
      <c r="O35" s="12"/>
      <c r="P35" s="16"/>
      <c r="Q35" s="12"/>
      <c r="R35" s="12"/>
      <c r="S35" s="12"/>
      <c r="T35" s="12"/>
      <c r="U35" s="12"/>
      <c r="V35" s="12"/>
      <c r="W35" s="12"/>
      <c r="X35" s="12"/>
    </row>
    <row r="36" spans="1:25" ht="15.75">
      <c r="A36" s="178">
        <v>2</v>
      </c>
      <c r="B36" s="124" t="s">
        <v>14</v>
      </c>
      <c r="C36" s="178"/>
      <c r="D36" s="178"/>
      <c r="E36" s="12"/>
      <c r="F36" s="12"/>
      <c r="G36" s="35"/>
      <c r="H36" s="35"/>
      <c r="I36" s="12"/>
      <c r="J36" s="12"/>
      <c r="K36" s="12"/>
      <c r="L36" s="12"/>
      <c r="M36" s="35"/>
      <c r="N36" s="35"/>
      <c r="O36" s="35"/>
      <c r="P36" s="12"/>
      <c r="Q36" s="12"/>
      <c r="R36" s="12"/>
      <c r="S36" s="12"/>
      <c r="T36" s="12"/>
      <c r="U36" s="12"/>
      <c r="V36" s="12"/>
      <c r="W36" s="43"/>
      <c r="X36" s="43"/>
      <c r="Y36" s="43"/>
    </row>
    <row r="37" spans="1:25" ht="12.95" customHeight="1" thickBot="1">
      <c r="L37" s="12"/>
      <c r="M37" s="12"/>
      <c r="N37" s="47"/>
      <c r="O37" s="47"/>
      <c r="P37" s="47"/>
      <c r="Q37" s="12"/>
      <c r="R37" s="12"/>
      <c r="S37" s="12"/>
      <c r="T37" s="12"/>
      <c r="U37" s="12"/>
      <c r="V37" s="12"/>
      <c r="W37" s="43"/>
      <c r="X37" s="43"/>
      <c r="Y37" s="43"/>
    </row>
    <row r="38" spans="1:25" ht="12.95" customHeight="1" thickBot="1">
      <c r="A38" s="525" t="s">
        <v>464</v>
      </c>
      <c r="B38" s="1237"/>
      <c r="C38" s="1238"/>
      <c r="D38" s="1238"/>
      <c r="E38" s="1238"/>
      <c r="F38" s="1239"/>
      <c r="G38" s="547" t="s">
        <v>95</v>
      </c>
      <c r="H38" s="547" t="s">
        <v>35</v>
      </c>
      <c r="I38" s="547" t="s">
        <v>34</v>
      </c>
      <c r="J38" s="547" t="s">
        <v>33</v>
      </c>
      <c r="K38" s="548" t="s">
        <v>94</v>
      </c>
      <c r="L38" s="12"/>
      <c r="M38" s="12"/>
      <c r="N38" s="264"/>
      <c r="O38" s="264"/>
      <c r="P38" s="264"/>
      <c r="Q38" s="12"/>
      <c r="R38" s="12"/>
      <c r="S38" s="12"/>
      <c r="T38" s="12"/>
      <c r="U38" s="12"/>
      <c r="V38" s="12"/>
      <c r="W38" s="43"/>
      <c r="X38" s="43"/>
      <c r="Y38" s="43"/>
    </row>
    <row r="39" spans="1:25" ht="12.95" customHeight="1">
      <c r="A39" s="549" t="s">
        <v>507</v>
      </c>
      <c r="B39" s="1240" t="s">
        <v>91</v>
      </c>
      <c r="C39" s="1241"/>
      <c r="D39" s="1241"/>
      <c r="E39" s="1241"/>
      <c r="F39" s="550" t="s">
        <v>85</v>
      </c>
      <c r="G39" s="551">
        <f>'Project-Start'!G15</f>
        <v>10000000</v>
      </c>
      <c r="H39" s="552">
        <f>'Project-Start'!H15</f>
        <v>1.03</v>
      </c>
      <c r="I39" s="552">
        <f>'Project-Start'!I15</f>
        <v>1.06</v>
      </c>
      <c r="J39" s="552">
        <f>'Project-Start'!J15</f>
        <v>1.1000000000000001</v>
      </c>
      <c r="K39" s="553"/>
      <c r="L39" s="12"/>
      <c r="M39" s="12"/>
      <c r="N39" s="16"/>
      <c r="O39" s="16"/>
      <c r="P39" s="16"/>
      <c r="Q39" s="12"/>
      <c r="R39" s="12"/>
      <c r="S39" s="12"/>
      <c r="T39" s="12"/>
      <c r="U39" s="12"/>
      <c r="V39" s="12"/>
      <c r="W39" s="43"/>
      <c r="X39" s="43"/>
      <c r="Y39" s="43"/>
    </row>
    <row r="40" spans="1:25" ht="12.95" customHeight="1">
      <c r="A40" s="549" t="s">
        <v>508</v>
      </c>
      <c r="B40" s="1231" t="s">
        <v>635</v>
      </c>
      <c r="C40" s="1232"/>
      <c r="D40" s="1232"/>
      <c r="E40" s="1232"/>
      <c r="F40" s="554" t="s">
        <v>89</v>
      </c>
      <c r="G40" s="555">
        <f>'Project-Start'!G16</f>
        <v>52800</v>
      </c>
      <c r="H40" s="556"/>
      <c r="I40" s="556"/>
      <c r="J40" s="556"/>
      <c r="K40" s="557"/>
      <c r="L40" s="12"/>
      <c r="M40" s="16"/>
      <c r="N40" s="16"/>
      <c r="O40" s="16"/>
      <c r="P40" s="16"/>
      <c r="Q40" s="16"/>
      <c r="R40" s="12"/>
      <c r="S40" s="12"/>
      <c r="T40" s="12"/>
      <c r="U40" s="12"/>
      <c r="V40" s="12"/>
      <c r="W40" s="43"/>
      <c r="X40" s="43"/>
      <c r="Y40" s="43"/>
    </row>
    <row r="41" spans="1:25" ht="12.95" customHeight="1">
      <c r="A41" s="549" t="s">
        <v>509</v>
      </c>
      <c r="B41" s="1231" t="s">
        <v>88</v>
      </c>
      <c r="C41" s="1232"/>
      <c r="D41" s="1232"/>
      <c r="E41" s="1232"/>
      <c r="F41" s="558" t="s">
        <v>85</v>
      </c>
      <c r="G41" s="559">
        <f>'Project-Start'!G17</f>
        <v>1.5</v>
      </c>
      <c r="H41" s="556"/>
      <c r="I41" s="556"/>
      <c r="J41" s="556"/>
      <c r="K41" s="557"/>
      <c r="L41" s="12"/>
      <c r="M41" s="35"/>
      <c r="N41" s="35"/>
      <c r="O41" s="12"/>
      <c r="P41" s="16"/>
      <c r="Q41" s="12"/>
      <c r="R41" s="12"/>
      <c r="S41" s="12"/>
      <c r="T41" s="12"/>
      <c r="U41" s="12"/>
      <c r="V41" s="12"/>
      <c r="W41" s="12"/>
      <c r="X41" s="12"/>
    </row>
    <row r="42" spans="1:25" ht="12.95" customHeight="1">
      <c r="A42" s="549" t="s">
        <v>510</v>
      </c>
      <c r="B42" s="1231" t="s">
        <v>93</v>
      </c>
      <c r="C42" s="1232"/>
      <c r="D42" s="1232"/>
      <c r="E42" s="1232"/>
      <c r="F42" s="558" t="s">
        <v>49</v>
      </c>
      <c r="G42" s="560">
        <f>'Project-Start'!G18</f>
        <v>0</v>
      </c>
      <c r="H42" s="560">
        <f>'Project-Start'!H18</f>
        <v>1.05</v>
      </c>
      <c r="I42" s="560">
        <f>'Project-Start'!I18</f>
        <v>1.1000000000000001</v>
      </c>
      <c r="J42" s="560">
        <f>'Project-Start'!J18</f>
        <v>1.1499999999999999</v>
      </c>
      <c r="K42" s="561"/>
      <c r="L42" s="12"/>
      <c r="M42" s="35"/>
      <c r="N42" s="35"/>
      <c r="O42" s="12"/>
      <c r="P42" s="16"/>
      <c r="Q42" s="12"/>
      <c r="R42" s="12"/>
      <c r="S42" s="12"/>
      <c r="T42" s="12"/>
      <c r="U42" s="12"/>
      <c r="V42" s="12"/>
      <c r="W42" s="12"/>
      <c r="X42" s="12"/>
    </row>
    <row r="43" spans="1:25" ht="12.95" customHeight="1">
      <c r="A43" s="549"/>
      <c r="B43" s="1231"/>
      <c r="C43" s="1232"/>
      <c r="D43" s="1232"/>
      <c r="E43" s="1232"/>
      <c r="F43" s="558" t="s">
        <v>85</v>
      </c>
      <c r="G43" s="555">
        <f>G41*G40</f>
        <v>79200</v>
      </c>
      <c r="H43" s="562">
        <f>G43*H42</f>
        <v>83160</v>
      </c>
      <c r="I43" s="562">
        <f>G43*I42</f>
        <v>87120</v>
      </c>
      <c r="J43" s="562">
        <f>G43*J42</f>
        <v>91080</v>
      </c>
      <c r="K43" s="561">
        <f>SUM(H43:J43)</f>
        <v>261360</v>
      </c>
      <c r="L43" s="12"/>
      <c r="M43" s="35"/>
      <c r="N43" s="35"/>
      <c r="O43" s="12"/>
      <c r="P43" s="16"/>
      <c r="Q43" s="12"/>
      <c r="R43" s="12"/>
      <c r="S43" s="12"/>
      <c r="T43" s="12"/>
      <c r="U43" s="12"/>
      <c r="V43" s="12"/>
      <c r="W43" s="12"/>
      <c r="X43" s="12"/>
    </row>
    <row r="44" spans="1:25" ht="12.95" customHeight="1">
      <c r="A44" s="549" t="s">
        <v>511</v>
      </c>
      <c r="B44" s="1231" t="s">
        <v>13</v>
      </c>
      <c r="C44" s="1232"/>
      <c r="D44" s="1232"/>
      <c r="E44" s="1232"/>
      <c r="F44" s="558" t="s">
        <v>49</v>
      </c>
      <c r="G44" s="563"/>
      <c r="H44" s="564"/>
      <c r="I44" s="564"/>
      <c r="J44" s="564"/>
      <c r="K44" s="565">
        <f>'Project-Start'!K20</f>
        <v>2.1</v>
      </c>
      <c r="L44" s="12"/>
      <c r="M44" s="35"/>
      <c r="N44" s="35"/>
      <c r="O44" s="12"/>
      <c r="P44" s="16"/>
      <c r="Q44" s="12"/>
      <c r="R44" s="12"/>
      <c r="S44" s="12"/>
      <c r="T44" s="12"/>
      <c r="U44" s="12"/>
      <c r="V44" s="12"/>
      <c r="W44" s="12"/>
      <c r="X44" s="12"/>
    </row>
    <row r="45" spans="1:25" ht="12.95" customHeight="1">
      <c r="A45" s="549" t="s">
        <v>512</v>
      </c>
      <c r="B45" s="1231" t="s">
        <v>92</v>
      </c>
      <c r="C45" s="1232"/>
      <c r="D45" s="1232"/>
      <c r="E45" s="1232"/>
      <c r="F45" s="558" t="s">
        <v>49</v>
      </c>
      <c r="G45" s="566"/>
      <c r="H45" s="351">
        <f>'Project-Start'!H21</f>
        <v>0.31</v>
      </c>
      <c r="I45" s="351">
        <f>'Project-Start'!I21</f>
        <v>0.33</v>
      </c>
      <c r="J45" s="351">
        <f>'Project-Start'!J21</f>
        <v>0.36</v>
      </c>
      <c r="K45" s="567">
        <f>H45+I45+J45</f>
        <v>1</v>
      </c>
      <c r="L45" s="12"/>
      <c r="M45" s="35"/>
      <c r="N45" s="35"/>
      <c r="O45" s="12"/>
      <c r="P45" s="16"/>
      <c r="Q45" s="12"/>
      <c r="R45" s="12"/>
      <c r="S45" s="12"/>
      <c r="T45" s="12"/>
      <c r="U45" s="12"/>
      <c r="V45" s="12"/>
      <c r="W45" s="12"/>
      <c r="X45" s="12"/>
    </row>
    <row r="46" spans="1:25" ht="12.95" customHeight="1">
      <c r="A46" s="549"/>
      <c r="B46" s="1231" t="s">
        <v>404</v>
      </c>
      <c r="C46" s="1232"/>
      <c r="D46" s="1232"/>
      <c r="E46" s="1232"/>
      <c r="F46" s="558" t="s">
        <v>85</v>
      </c>
      <c r="G46" s="566"/>
      <c r="H46" s="352">
        <f>H45*K46</f>
        <v>170145.36</v>
      </c>
      <c r="I46" s="352">
        <f>I45*K46</f>
        <v>181122.48</v>
      </c>
      <c r="J46" s="352">
        <f>J45*K46</f>
        <v>197588.16</v>
      </c>
      <c r="K46" s="568">
        <f>K43*K44</f>
        <v>548856</v>
      </c>
      <c r="L46" s="12"/>
      <c r="M46" s="35"/>
      <c r="N46" s="35"/>
      <c r="O46" s="12"/>
      <c r="P46" s="16"/>
      <c r="Q46" s="12"/>
      <c r="R46" s="12"/>
      <c r="S46" s="12"/>
      <c r="T46" s="12"/>
      <c r="U46" s="12"/>
      <c r="V46" s="12"/>
      <c r="W46" s="12"/>
      <c r="X46" s="12"/>
    </row>
    <row r="47" spans="1:25" ht="12.95" customHeight="1">
      <c r="A47" s="549" t="s">
        <v>513</v>
      </c>
      <c r="B47" s="1209" t="s">
        <v>87</v>
      </c>
      <c r="C47" s="1210"/>
      <c r="D47" s="1210"/>
      <c r="E47" s="1211"/>
      <c r="F47" s="558" t="s">
        <v>49</v>
      </c>
      <c r="G47" s="556"/>
      <c r="H47" s="569">
        <f>'Project-Start'!H23</f>
        <v>0.31</v>
      </c>
      <c r="I47" s="569">
        <f>'Project-Start'!I23</f>
        <v>0.315</v>
      </c>
      <c r="J47" s="569">
        <f>'Project-Start'!J23</f>
        <v>0.32</v>
      </c>
      <c r="K47" s="570">
        <f>K48/K46</f>
        <v>0.31524999999999997</v>
      </c>
      <c r="L47" s="12"/>
      <c r="M47" s="35"/>
      <c r="N47" s="35"/>
      <c r="O47" s="12"/>
      <c r="P47" s="16"/>
      <c r="Q47" s="12"/>
      <c r="R47" s="12"/>
      <c r="S47" s="12"/>
      <c r="T47" s="12"/>
      <c r="U47" s="12"/>
      <c r="V47" s="12"/>
      <c r="W47" s="12"/>
      <c r="X47" s="12"/>
    </row>
    <row r="48" spans="1:25" ht="12.95" customHeight="1">
      <c r="A48" s="549"/>
      <c r="B48" s="1212"/>
      <c r="C48" s="1213"/>
      <c r="D48" s="1213"/>
      <c r="E48" s="1214"/>
      <c r="F48" s="558" t="s">
        <v>85</v>
      </c>
      <c r="G48" s="556"/>
      <c r="H48" s="725">
        <f>H46*H47</f>
        <v>52745.061599999994</v>
      </c>
      <c r="I48" s="725">
        <f>I46*I47</f>
        <v>57053.581200000001</v>
      </c>
      <c r="J48" s="725">
        <f>J46*J47</f>
        <v>63228.211200000005</v>
      </c>
      <c r="K48" s="568">
        <f>SUM(H48:J48)</f>
        <v>173026.85399999999</v>
      </c>
      <c r="L48" s="12"/>
      <c r="M48" s="35"/>
      <c r="N48" s="35"/>
      <c r="O48" s="12"/>
      <c r="P48" s="16"/>
      <c r="Q48" s="12"/>
      <c r="R48" s="12"/>
      <c r="S48" s="12"/>
      <c r="T48" s="12"/>
      <c r="U48" s="12"/>
      <c r="V48" s="12"/>
      <c r="W48" s="12"/>
      <c r="X48" s="12"/>
    </row>
    <row r="49" spans="1:24" ht="12.95" customHeight="1">
      <c r="A49" s="549"/>
      <c r="B49" s="1231" t="s">
        <v>405</v>
      </c>
      <c r="C49" s="1232"/>
      <c r="D49" s="1232"/>
      <c r="E49" s="1232"/>
      <c r="F49" s="558" t="s">
        <v>49</v>
      </c>
      <c r="G49" s="556"/>
      <c r="H49" s="560">
        <f>H48/H43</f>
        <v>0.63425999999999993</v>
      </c>
      <c r="I49" s="560">
        <f>I48/I43</f>
        <v>0.65488500000000005</v>
      </c>
      <c r="J49" s="560">
        <f>J48/J43</f>
        <v>0.69420521739130436</v>
      </c>
      <c r="K49" s="557"/>
      <c r="L49" s="12"/>
      <c r="M49" s="35"/>
      <c r="N49" s="35"/>
      <c r="O49" s="12"/>
      <c r="P49" s="16"/>
      <c r="Q49" s="12"/>
      <c r="R49" s="12"/>
      <c r="S49" s="12"/>
      <c r="T49" s="12"/>
      <c r="U49" s="12"/>
      <c r="V49" s="12"/>
      <c r="W49" s="12"/>
      <c r="X49" s="12"/>
    </row>
    <row r="50" spans="1:24" ht="12.95" customHeight="1">
      <c r="A50" s="549"/>
      <c r="B50" s="1209" t="s">
        <v>406</v>
      </c>
      <c r="C50" s="1210"/>
      <c r="D50" s="1210"/>
      <c r="E50" s="1211"/>
      <c r="F50" s="558" t="s">
        <v>49</v>
      </c>
      <c r="G50" s="556"/>
      <c r="H50" s="571">
        <f>1-H47</f>
        <v>0.69</v>
      </c>
      <c r="I50" s="571">
        <f>1-I47</f>
        <v>0.68500000000000005</v>
      </c>
      <c r="J50" s="571">
        <f>1-J47</f>
        <v>0.67999999999999994</v>
      </c>
      <c r="K50" s="570">
        <f>K51/K46</f>
        <v>0.68474999999999986</v>
      </c>
      <c r="L50" s="12"/>
      <c r="M50" s="35"/>
      <c r="N50" s="35"/>
      <c r="O50" s="12"/>
      <c r="P50" s="16"/>
      <c r="Q50" s="12"/>
      <c r="R50" s="12"/>
      <c r="S50" s="12"/>
      <c r="T50" s="12"/>
      <c r="U50" s="12"/>
      <c r="V50" s="12"/>
      <c r="W50" s="12"/>
      <c r="X50" s="12"/>
    </row>
    <row r="51" spans="1:24" ht="12.95" customHeight="1">
      <c r="A51" s="549"/>
      <c r="B51" s="1212"/>
      <c r="C51" s="1213"/>
      <c r="D51" s="1213"/>
      <c r="E51" s="1214"/>
      <c r="F51" s="558" t="s">
        <v>85</v>
      </c>
      <c r="G51" s="556"/>
      <c r="H51" s="725">
        <f>H50*H46</f>
        <v>117400.29839999999</v>
      </c>
      <c r="I51" s="725">
        <f>I50*I46</f>
        <v>124068.89880000001</v>
      </c>
      <c r="J51" s="725">
        <f>J50*J46</f>
        <v>134359.94879999998</v>
      </c>
      <c r="K51" s="568">
        <f>SUM(H51:J51)</f>
        <v>375829.14599999995</v>
      </c>
      <c r="L51" s="12"/>
      <c r="M51" s="35"/>
      <c r="N51" s="35"/>
      <c r="O51" s="12"/>
      <c r="P51" s="16"/>
      <c r="Q51" s="12"/>
      <c r="R51" s="12"/>
      <c r="S51" s="12"/>
      <c r="T51" s="12"/>
      <c r="U51" s="12"/>
      <c r="V51" s="12"/>
      <c r="W51" s="12"/>
      <c r="X51" s="12"/>
    </row>
    <row r="52" spans="1:24" ht="12.95" customHeight="1" thickBot="1">
      <c r="A52" s="549" t="s">
        <v>514</v>
      </c>
      <c r="B52" s="1201" t="s">
        <v>86</v>
      </c>
      <c r="C52" s="1202"/>
      <c r="D52" s="1202"/>
      <c r="E52" s="1202"/>
      <c r="F52" s="572" t="s">
        <v>85</v>
      </c>
      <c r="G52" s="573">
        <f>'Project-Start'!G28</f>
        <v>476160</v>
      </c>
      <c r="H52" s="573">
        <f>'Project-Start'!H28</f>
        <v>476160</v>
      </c>
      <c r="I52" s="573">
        <f>'Project-Start'!I28</f>
        <v>476160</v>
      </c>
      <c r="J52" s="573">
        <f>'Project-Start'!J28</f>
        <v>476160</v>
      </c>
      <c r="K52" s="574"/>
      <c r="L52" s="12"/>
      <c r="M52" s="35"/>
      <c r="N52" s="35"/>
      <c r="O52" s="12"/>
      <c r="P52" s="16"/>
      <c r="Q52" s="12"/>
      <c r="R52" s="12"/>
      <c r="S52" s="12"/>
      <c r="T52" s="12"/>
      <c r="U52" s="12"/>
      <c r="V52" s="12"/>
      <c r="W52" s="12"/>
      <c r="X52" s="12"/>
    </row>
    <row r="53" spans="1:24" ht="12.95" customHeight="1" thickBot="1">
      <c r="A53" s="182"/>
      <c r="B53" s="433"/>
      <c r="C53" s="433"/>
      <c r="D53" s="182"/>
      <c r="E53" s="12"/>
      <c r="G53" s="35"/>
      <c r="H53" s="35"/>
      <c r="I53" s="12"/>
      <c r="J53" s="12"/>
      <c r="K53" s="12"/>
      <c r="L53" s="12"/>
      <c r="M53" s="35"/>
      <c r="N53" s="35"/>
      <c r="O53" s="12"/>
      <c r="P53" s="16"/>
      <c r="Q53" s="12"/>
      <c r="R53" s="12"/>
      <c r="S53" s="12"/>
      <c r="T53" s="12"/>
      <c r="U53" s="12"/>
      <c r="V53" s="12"/>
      <c r="W53" s="12"/>
      <c r="X53" s="12"/>
    </row>
    <row r="54" spans="1:24" ht="12.95" customHeight="1" thickBot="1">
      <c r="A54" s="575" t="s">
        <v>465</v>
      </c>
      <c r="B54" s="1203"/>
      <c r="C54" s="1204"/>
      <c r="D54" s="1204"/>
      <c r="E54" s="1204"/>
      <c r="F54" s="1204"/>
      <c r="G54" s="537" t="s">
        <v>95</v>
      </c>
      <c r="H54" s="537" t="s">
        <v>35</v>
      </c>
      <c r="I54" s="537" t="s">
        <v>34</v>
      </c>
      <c r="J54" s="537" t="s">
        <v>33</v>
      </c>
      <c r="K54" s="538" t="s">
        <v>94</v>
      </c>
      <c r="L54" s="12"/>
      <c r="M54" s="35"/>
      <c r="N54" s="35"/>
      <c r="O54" s="12"/>
      <c r="P54" s="16"/>
      <c r="Q54" s="12"/>
      <c r="R54" s="12"/>
      <c r="S54" s="12"/>
      <c r="T54" s="12"/>
      <c r="U54" s="12"/>
      <c r="V54" s="12"/>
      <c r="W54" s="12"/>
      <c r="X54" s="12"/>
    </row>
    <row r="55" spans="1:24" ht="12.95" customHeight="1">
      <c r="A55" s="427" t="s">
        <v>507</v>
      </c>
      <c r="B55" s="1205" t="s">
        <v>91</v>
      </c>
      <c r="C55" s="1206"/>
      <c r="D55" s="1206"/>
      <c r="E55" s="1206"/>
      <c r="F55" s="576" t="s">
        <v>85</v>
      </c>
      <c r="G55" s="577">
        <f>G39</f>
        <v>10000000</v>
      </c>
      <c r="H55" s="578">
        <f>H39</f>
        <v>1.03</v>
      </c>
      <c r="I55" s="578">
        <f>I39</f>
        <v>1.06</v>
      </c>
      <c r="J55" s="578">
        <f>J39</f>
        <v>1.1000000000000001</v>
      </c>
      <c r="K55" s="579"/>
      <c r="L55" s="12"/>
      <c r="M55" s="35"/>
      <c r="N55" s="35"/>
      <c r="O55" s="12"/>
      <c r="P55" s="16"/>
      <c r="Q55" s="12"/>
      <c r="R55" s="12"/>
      <c r="S55" s="12"/>
      <c r="T55" s="12"/>
      <c r="U55" s="12"/>
      <c r="V55" s="12"/>
      <c r="W55" s="12"/>
      <c r="X55" s="12"/>
    </row>
    <row r="56" spans="1:24" ht="12.95" customHeight="1">
      <c r="A56" s="427" t="s">
        <v>508</v>
      </c>
      <c r="B56" s="1207" t="s">
        <v>90</v>
      </c>
      <c r="C56" s="1208"/>
      <c r="D56" s="1208"/>
      <c r="E56" s="1208"/>
      <c r="F56" s="580" t="s">
        <v>89</v>
      </c>
      <c r="G56" s="577">
        <f t="shared" ref="G56:J58" si="0">G40</f>
        <v>52800</v>
      </c>
      <c r="H56" s="581"/>
      <c r="I56" s="581"/>
      <c r="J56" s="581"/>
      <c r="K56" s="582"/>
      <c r="L56" s="12"/>
      <c r="M56" s="35"/>
      <c r="N56" s="35"/>
      <c r="O56" s="12"/>
      <c r="P56" s="16"/>
      <c r="Q56" s="12"/>
      <c r="R56" s="12"/>
      <c r="S56" s="12"/>
      <c r="T56" s="12"/>
      <c r="U56" s="12"/>
      <c r="V56" s="12"/>
      <c r="W56" s="12"/>
      <c r="X56" s="12"/>
    </row>
    <row r="57" spans="1:24" ht="12.95" customHeight="1">
      <c r="A57" s="427" t="s">
        <v>509</v>
      </c>
      <c r="B57" s="1207" t="s">
        <v>88</v>
      </c>
      <c r="C57" s="1208"/>
      <c r="D57" s="1208"/>
      <c r="E57" s="1208"/>
      <c r="F57" s="583" t="s">
        <v>85</v>
      </c>
      <c r="G57" s="577">
        <f t="shared" si="0"/>
        <v>1.5</v>
      </c>
      <c r="H57" s="581"/>
      <c r="I57" s="581"/>
      <c r="J57" s="581"/>
      <c r="K57" s="582"/>
      <c r="L57" s="12"/>
      <c r="M57" s="35"/>
      <c r="N57" s="35"/>
      <c r="O57" s="12"/>
      <c r="P57" s="16"/>
      <c r="Q57" s="12"/>
      <c r="R57" s="12"/>
      <c r="S57" s="12"/>
      <c r="T57" s="12"/>
      <c r="U57" s="12"/>
      <c r="V57" s="12"/>
      <c r="W57" s="12"/>
      <c r="X57" s="12"/>
    </row>
    <row r="58" spans="1:24" ht="12.95" customHeight="1">
      <c r="A58" s="427" t="s">
        <v>510</v>
      </c>
      <c r="B58" s="1207" t="s">
        <v>93</v>
      </c>
      <c r="C58" s="1208"/>
      <c r="D58" s="1208"/>
      <c r="E58" s="1208"/>
      <c r="F58" s="583" t="s">
        <v>49</v>
      </c>
      <c r="G58" s="578">
        <f t="shared" si="0"/>
        <v>0</v>
      </c>
      <c r="H58" s="578">
        <f t="shared" si="0"/>
        <v>1.05</v>
      </c>
      <c r="I58" s="578">
        <f t="shared" si="0"/>
        <v>1.1000000000000001</v>
      </c>
      <c r="J58" s="578">
        <f t="shared" si="0"/>
        <v>1.1499999999999999</v>
      </c>
      <c r="K58" s="584"/>
      <c r="L58" s="12"/>
      <c r="M58" s="35"/>
      <c r="N58" s="35"/>
      <c r="O58" s="12"/>
      <c r="P58" s="16"/>
      <c r="Q58" s="12"/>
      <c r="R58" s="12"/>
      <c r="S58" s="12"/>
      <c r="T58" s="12"/>
      <c r="U58" s="12"/>
      <c r="V58" s="12"/>
      <c r="W58" s="12"/>
      <c r="X58" s="12"/>
    </row>
    <row r="59" spans="1:24" ht="12.95" customHeight="1">
      <c r="A59" s="427"/>
      <c r="B59" s="1207"/>
      <c r="C59" s="1208"/>
      <c r="D59" s="1208"/>
      <c r="E59" s="1208"/>
      <c r="F59" s="583" t="s">
        <v>85</v>
      </c>
      <c r="G59" s="585">
        <f>G57*G56</f>
        <v>79200</v>
      </c>
      <c r="H59" s="586">
        <f>G59*H58</f>
        <v>83160</v>
      </c>
      <c r="I59" s="586">
        <f>G59*I58</f>
        <v>87120</v>
      </c>
      <c r="J59" s="586">
        <f>G59*J58</f>
        <v>91080</v>
      </c>
      <c r="K59" s="584">
        <f>SUM(H59:J59)</f>
        <v>261360</v>
      </c>
      <c r="L59" s="12"/>
      <c r="M59" s="35"/>
      <c r="N59" s="35"/>
      <c r="O59" s="12"/>
      <c r="P59" s="16"/>
      <c r="Q59" s="12"/>
      <c r="R59" s="12"/>
      <c r="S59" s="12"/>
      <c r="T59" s="12"/>
      <c r="U59" s="12"/>
      <c r="V59" s="12"/>
      <c r="W59" s="12"/>
      <c r="X59" s="12"/>
    </row>
    <row r="60" spans="1:24" ht="12.95" customHeight="1">
      <c r="A60" s="427" t="s">
        <v>511</v>
      </c>
      <c r="B60" s="1207" t="s">
        <v>13</v>
      </c>
      <c r="C60" s="1208"/>
      <c r="D60" s="1208"/>
      <c r="E60" s="1208"/>
      <c r="F60" s="583" t="s">
        <v>49</v>
      </c>
      <c r="G60" s="587"/>
      <c r="H60" s="588"/>
      <c r="I60" s="588"/>
      <c r="J60" s="588"/>
      <c r="K60" s="589">
        <f>K44</f>
        <v>2.1</v>
      </c>
      <c r="L60" s="12"/>
      <c r="M60" s="35"/>
      <c r="N60" s="35"/>
      <c r="O60" s="12"/>
      <c r="P60" s="16"/>
      <c r="Q60" s="12"/>
      <c r="R60" s="12"/>
      <c r="S60" s="12"/>
      <c r="T60" s="12"/>
      <c r="U60" s="12"/>
      <c r="V60" s="12"/>
      <c r="W60" s="12"/>
      <c r="X60" s="12"/>
    </row>
    <row r="61" spans="1:24" ht="12.95" customHeight="1">
      <c r="A61" s="427" t="s">
        <v>512</v>
      </c>
      <c r="B61" s="1207" t="s">
        <v>92</v>
      </c>
      <c r="C61" s="1208"/>
      <c r="D61" s="1208"/>
      <c r="E61" s="1208"/>
      <c r="F61" s="583" t="s">
        <v>49</v>
      </c>
      <c r="G61" s="590"/>
      <c r="H61" s="353"/>
      <c r="I61" s="353"/>
      <c r="J61" s="353"/>
      <c r="K61" s="591">
        <f>H61+I61+J61</f>
        <v>0</v>
      </c>
      <c r="L61" s="12"/>
      <c r="M61" s="35"/>
      <c r="N61" s="35"/>
      <c r="O61" s="12"/>
      <c r="P61" s="16"/>
      <c r="Q61" s="12"/>
      <c r="R61" s="12"/>
      <c r="S61" s="12"/>
      <c r="T61" s="12"/>
      <c r="U61" s="12"/>
      <c r="V61" s="12"/>
      <c r="W61" s="12"/>
      <c r="X61" s="12"/>
    </row>
    <row r="62" spans="1:24" ht="12.95" customHeight="1">
      <c r="A62" s="427"/>
      <c r="B62" s="1207" t="s">
        <v>404</v>
      </c>
      <c r="C62" s="1208"/>
      <c r="D62" s="1208"/>
      <c r="E62" s="1208"/>
      <c r="F62" s="583" t="s">
        <v>85</v>
      </c>
      <c r="G62" s="590"/>
      <c r="H62" s="586">
        <f>'36-Mo-Fin-Pr'!P38</f>
        <v>161163.09784055999</v>
      </c>
      <c r="I62" s="586">
        <f>'36-Mo-Fin-Pr'!P39</f>
        <v>169880</v>
      </c>
      <c r="J62" s="586">
        <f>'36-Mo-Fin-Pr'!P40</f>
        <v>188480</v>
      </c>
      <c r="K62" s="592">
        <f>SUM(H62:J62)</f>
        <v>519523.09784056002</v>
      </c>
      <c r="L62" s="12"/>
      <c r="M62" s="35"/>
      <c r="N62" s="35"/>
      <c r="O62" s="12"/>
      <c r="P62" s="16"/>
      <c r="Q62" s="12"/>
      <c r="R62" s="12"/>
      <c r="S62" s="12"/>
      <c r="T62" s="12"/>
      <c r="U62" s="12"/>
      <c r="V62" s="12"/>
      <c r="W62" s="12"/>
      <c r="X62" s="12"/>
    </row>
    <row r="63" spans="1:24" ht="12.95" customHeight="1">
      <c r="A63" s="427" t="s">
        <v>513</v>
      </c>
      <c r="B63" s="1195" t="s">
        <v>87</v>
      </c>
      <c r="C63" s="1196"/>
      <c r="D63" s="1196"/>
      <c r="E63" s="1197"/>
      <c r="F63" s="583" t="s">
        <v>49</v>
      </c>
      <c r="G63" s="581"/>
      <c r="H63" s="593">
        <f>H64/H62</f>
        <v>0.31848210533922788</v>
      </c>
      <c r="I63" s="593">
        <f>I64/I62</f>
        <v>0.32535899285383896</v>
      </c>
      <c r="J63" s="593">
        <f>J64/J62</f>
        <v>0.32740651572706592</v>
      </c>
      <c r="K63" s="594">
        <f>K64/K62</f>
        <v>0.32396851880713606</v>
      </c>
      <c r="L63" s="12"/>
      <c r="M63" s="35"/>
      <c r="N63" s="35"/>
      <c r="O63" s="12"/>
      <c r="P63" s="16"/>
      <c r="Q63" s="12"/>
      <c r="R63" s="12"/>
      <c r="S63" s="12"/>
      <c r="T63" s="12"/>
      <c r="U63" s="12"/>
      <c r="V63" s="12"/>
      <c r="W63" s="12"/>
      <c r="X63" s="12"/>
    </row>
    <row r="64" spans="1:24" ht="12.95" customHeight="1">
      <c r="A64" s="427"/>
      <c r="B64" s="1198"/>
      <c r="C64" s="1199"/>
      <c r="D64" s="1199"/>
      <c r="E64" s="1200"/>
      <c r="F64" s="583" t="s">
        <v>85</v>
      </c>
      <c r="G64" s="581"/>
      <c r="H64" s="585">
        <f>FindValue4Performanse("FY-1","[retail]")</f>
        <v>51327.562703253512</v>
      </c>
      <c r="I64" s="585">
        <f>FindValue4Performanse("FY-2","[retail]")</f>
        <v>55271.985706010164</v>
      </c>
      <c r="J64" s="585">
        <f>FindValue4Performanse("FY-3","[retail]")</f>
        <v>61709.580084237386</v>
      </c>
      <c r="K64" s="592">
        <f>SUM(H64:J64)</f>
        <v>168309.12849350105</v>
      </c>
      <c r="L64" s="12"/>
      <c r="M64" s="35"/>
      <c r="N64" s="35"/>
      <c r="O64" s="12"/>
      <c r="P64" s="16"/>
      <c r="Q64" s="12"/>
      <c r="R64" s="12"/>
      <c r="S64" s="12"/>
      <c r="T64" s="12"/>
      <c r="U64" s="12"/>
      <c r="V64" s="12"/>
      <c r="W64" s="12"/>
      <c r="X64" s="12"/>
    </row>
    <row r="65" spans="1:24" ht="12.95" customHeight="1">
      <c r="A65" s="427"/>
      <c r="B65" s="1207" t="s">
        <v>405</v>
      </c>
      <c r="C65" s="1208"/>
      <c r="D65" s="1208"/>
      <c r="E65" s="1208"/>
      <c r="F65" s="583" t="s">
        <v>49</v>
      </c>
      <c r="G65" s="581"/>
      <c r="H65" s="593">
        <f>H64/H59</f>
        <v>0.61721455872118225</v>
      </c>
      <c r="I65" s="593">
        <f>I64/I59</f>
        <v>0.63443509763556205</v>
      </c>
      <c r="J65" s="593">
        <f>J64/J59</f>
        <v>0.6775316214782322</v>
      </c>
      <c r="K65" s="582"/>
      <c r="L65" s="12"/>
      <c r="M65" s="35"/>
      <c r="N65" s="35"/>
      <c r="O65" s="12"/>
      <c r="P65" s="16"/>
      <c r="Q65" s="12"/>
      <c r="R65" s="12"/>
      <c r="S65" s="12"/>
      <c r="T65" s="12"/>
      <c r="U65" s="12"/>
      <c r="V65" s="12"/>
      <c r="W65" s="12"/>
      <c r="X65" s="12"/>
    </row>
    <row r="66" spans="1:24" ht="12.95" customHeight="1">
      <c r="A66" s="427"/>
      <c r="B66" s="1195" t="s">
        <v>406</v>
      </c>
      <c r="C66" s="1196"/>
      <c r="D66" s="1196"/>
      <c r="E66" s="1197"/>
      <c r="F66" s="583" t="s">
        <v>49</v>
      </c>
      <c r="G66" s="581"/>
      <c r="H66" s="593">
        <f>1-H63</f>
        <v>0.68151789466077206</v>
      </c>
      <c r="I66" s="593">
        <f>1-I63</f>
        <v>0.67464100714616104</v>
      </c>
      <c r="J66" s="593">
        <f>1-J63</f>
        <v>0.67259348427293408</v>
      </c>
      <c r="K66" s="594">
        <f>K67/K62</f>
        <v>0.67603148119286371</v>
      </c>
      <c r="L66" s="12"/>
      <c r="M66" s="35"/>
      <c r="N66" s="35"/>
      <c r="O66" s="12"/>
      <c r="P66" s="16"/>
      <c r="Q66" s="12"/>
      <c r="R66" s="12"/>
      <c r="S66" s="12"/>
      <c r="T66" s="12"/>
      <c r="U66" s="12"/>
      <c r="V66" s="12"/>
      <c r="W66" s="12"/>
      <c r="X66" s="12"/>
    </row>
    <row r="67" spans="1:24" ht="12.95" customHeight="1">
      <c r="A67" s="427"/>
      <c r="B67" s="1198"/>
      <c r="C67" s="1199"/>
      <c r="D67" s="1199"/>
      <c r="E67" s="1200"/>
      <c r="F67" s="583" t="s">
        <v>85</v>
      </c>
      <c r="G67" s="581"/>
      <c r="H67" s="585">
        <f>FindValue4Performanse("FY-1","[wholesale]")</f>
        <v>109835.53513730646</v>
      </c>
      <c r="I67" s="585">
        <f>FindValue4Performanse("FY-2","[wholesale]")</f>
        <v>114608.01429398981</v>
      </c>
      <c r="J67" s="585">
        <f>FindValue4Performanse("FY-3","[wholesale]")</f>
        <v>126770.41991576258</v>
      </c>
      <c r="K67" s="592">
        <f>SUM(H67:J67)</f>
        <v>351213.96934705885</v>
      </c>
      <c r="L67" s="12"/>
      <c r="M67" s="35"/>
      <c r="N67" s="35"/>
      <c r="O67" s="12"/>
      <c r="P67" s="16"/>
      <c r="Q67" s="12"/>
      <c r="R67" s="12"/>
      <c r="S67" s="12"/>
      <c r="T67" s="12"/>
      <c r="U67" s="12"/>
      <c r="V67" s="12"/>
      <c r="W67" s="12"/>
      <c r="X67" s="12"/>
    </row>
    <row r="68" spans="1:24" ht="12.95" customHeight="1" thickBot="1">
      <c r="A68" s="427" t="s">
        <v>514</v>
      </c>
      <c r="B68" s="1252" t="s">
        <v>86</v>
      </c>
      <c r="C68" s="1253"/>
      <c r="D68" s="1253"/>
      <c r="E68" s="1253"/>
      <c r="F68" s="595" t="s">
        <v>85</v>
      </c>
      <c r="G68" s="596">
        <f>'Project-Start'!G28</f>
        <v>476160</v>
      </c>
      <c r="H68" s="596">
        <f>'Project-Start'!H28</f>
        <v>476160</v>
      </c>
      <c r="I68" s="596">
        <f>'Project-Start'!I28</f>
        <v>476160</v>
      </c>
      <c r="J68" s="596">
        <f>'Project-Start'!J28</f>
        <v>476160</v>
      </c>
      <c r="K68" s="597"/>
      <c r="L68" s="12"/>
      <c r="M68" s="35"/>
      <c r="N68" s="35"/>
      <c r="O68" s="12"/>
      <c r="P68" s="16"/>
      <c r="Q68" s="12"/>
      <c r="R68" s="12"/>
      <c r="S68" s="12"/>
      <c r="T68" s="12"/>
      <c r="U68" s="12"/>
      <c r="V68" s="12"/>
      <c r="W68" s="12"/>
      <c r="X68" s="12"/>
    </row>
    <row r="69" spans="1:24" ht="12.95" customHeight="1" thickBot="1">
      <c r="A69" s="182"/>
      <c r="B69" s="433"/>
      <c r="C69" s="433"/>
      <c r="D69" s="182"/>
      <c r="E69" s="12"/>
      <c r="G69" s="35"/>
      <c r="H69" s="35"/>
      <c r="I69" s="12"/>
      <c r="J69" s="12"/>
      <c r="K69" s="12"/>
      <c r="L69" s="12"/>
      <c r="M69" s="35"/>
      <c r="N69" s="35"/>
      <c r="O69" s="12"/>
      <c r="P69" s="16"/>
      <c r="Q69" s="12"/>
      <c r="R69" s="12"/>
      <c r="S69" s="12"/>
      <c r="T69" s="12"/>
      <c r="U69" s="12"/>
      <c r="V69" s="12"/>
      <c r="W69" s="12"/>
      <c r="X69" s="12"/>
    </row>
    <row r="70" spans="1:24" ht="12.95" customHeight="1">
      <c r="A70" s="182"/>
      <c r="B70" s="1254" t="s">
        <v>475</v>
      </c>
      <c r="C70" s="1255"/>
      <c r="D70" s="1255"/>
      <c r="E70" s="1256"/>
      <c r="G70" s="1254" t="s">
        <v>476</v>
      </c>
      <c r="H70" s="1255"/>
      <c r="I70" s="1255"/>
      <c r="J70" s="1255"/>
      <c r="K70" s="1256"/>
      <c r="L70" s="12"/>
      <c r="M70" s="1187" t="s">
        <v>477</v>
      </c>
      <c r="N70" s="1188"/>
      <c r="O70" s="1188"/>
      <c r="P70" s="1188"/>
      <c r="Q70" s="1257"/>
      <c r="R70" s="12"/>
      <c r="S70" s="12"/>
      <c r="T70" s="12"/>
      <c r="U70" s="12"/>
      <c r="V70" s="12"/>
      <c r="W70" s="12"/>
      <c r="X70" s="12"/>
    </row>
    <row r="71" spans="1:24" ht="12.95" customHeight="1" thickBot="1">
      <c r="A71" s="182"/>
      <c r="B71" s="598"/>
      <c r="C71" s="599" t="s">
        <v>35</v>
      </c>
      <c r="D71" s="599" t="s">
        <v>34</v>
      </c>
      <c r="E71" s="600" t="s">
        <v>33</v>
      </c>
      <c r="F71" s="601"/>
      <c r="G71" s="1242"/>
      <c r="H71" s="1243"/>
      <c r="I71" s="599" t="s">
        <v>35</v>
      </c>
      <c r="J71" s="599" t="s">
        <v>34</v>
      </c>
      <c r="K71" s="600" t="s">
        <v>33</v>
      </c>
      <c r="L71" s="12"/>
      <c r="M71" s="1244"/>
      <c r="N71" s="1245"/>
      <c r="O71" s="602" t="s">
        <v>35</v>
      </c>
      <c r="P71" s="602" t="s">
        <v>34</v>
      </c>
      <c r="Q71" s="603" t="s">
        <v>33</v>
      </c>
      <c r="R71" s="12"/>
      <c r="S71" s="12"/>
      <c r="T71" s="12"/>
      <c r="U71" s="12"/>
      <c r="V71" s="12"/>
      <c r="W71" s="12"/>
      <c r="X71" s="12"/>
    </row>
    <row r="72" spans="1:24" ht="12.95" customHeight="1" thickTop="1">
      <c r="A72" s="182"/>
      <c r="B72" s="604" t="s">
        <v>478</v>
      </c>
      <c r="C72" s="605">
        <f>H48</f>
        <v>52745.061599999994</v>
      </c>
      <c r="D72" s="605">
        <f>I48</f>
        <v>57053.581200000001</v>
      </c>
      <c r="E72" s="606">
        <f>J48</f>
        <v>63228.211200000005</v>
      </c>
      <c r="F72" s="601"/>
      <c r="G72" s="1250" t="s">
        <v>478</v>
      </c>
      <c r="H72" s="1251"/>
      <c r="I72" s="607">
        <f>H51</f>
        <v>117400.29839999999</v>
      </c>
      <c r="J72" s="607">
        <f>I51</f>
        <v>124068.89880000001</v>
      </c>
      <c r="K72" s="608">
        <f>J51</f>
        <v>134359.94879999998</v>
      </c>
      <c r="L72" s="12"/>
      <c r="M72" s="1270" t="s">
        <v>479</v>
      </c>
      <c r="N72" s="1271"/>
      <c r="O72" s="609">
        <f>H46</f>
        <v>170145.36</v>
      </c>
      <c r="P72" s="609">
        <f>I46</f>
        <v>181122.48</v>
      </c>
      <c r="Q72" s="610">
        <f>J46</f>
        <v>197588.16</v>
      </c>
      <c r="R72" s="12"/>
      <c r="S72" s="12"/>
      <c r="T72" s="12"/>
      <c r="U72" s="12"/>
      <c r="V72" s="12"/>
      <c r="W72" s="12"/>
      <c r="X72" s="12"/>
    </row>
    <row r="73" spans="1:24" ht="12.95" customHeight="1">
      <c r="A73" s="182"/>
      <c r="B73" s="611" t="s">
        <v>480</v>
      </c>
      <c r="C73" s="612">
        <f>H64</f>
        <v>51327.562703253512</v>
      </c>
      <c r="D73" s="612">
        <f>I64</f>
        <v>55271.985706010164</v>
      </c>
      <c r="E73" s="613">
        <f>J64</f>
        <v>61709.580084237386</v>
      </c>
      <c r="G73" s="1246" t="s">
        <v>480</v>
      </c>
      <c r="H73" s="1247"/>
      <c r="I73" s="614">
        <f>H67</f>
        <v>109835.53513730646</v>
      </c>
      <c r="J73" s="614">
        <f>I67</f>
        <v>114608.01429398981</v>
      </c>
      <c r="K73" s="615">
        <f>J67</f>
        <v>126770.41991576258</v>
      </c>
      <c r="L73" s="12"/>
      <c r="M73" s="1272" t="s">
        <v>481</v>
      </c>
      <c r="N73" s="1273"/>
      <c r="O73" s="616">
        <f>H62</f>
        <v>161163.09784055999</v>
      </c>
      <c r="P73" s="616">
        <f>I62</f>
        <v>169880</v>
      </c>
      <c r="Q73" s="617">
        <f>J62</f>
        <v>188480</v>
      </c>
      <c r="R73" s="12"/>
      <c r="S73" s="12"/>
      <c r="T73" s="12"/>
      <c r="U73" s="12"/>
      <c r="V73" s="12"/>
      <c r="W73" s="12"/>
      <c r="X73" s="12"/>
    </row>
    <row r="74" spans="1:24" ht="12.95" customHeight="1" thickBot="1">
      <c r="A74" s="182"/>
      <c r="B74" s="618"/>
      <c r="C74" s="619">
        <f>C73/C72</f>
        <v>0.97312546703431124</v>
      </c>
      <c r="D74" s="619">
        <f>D73/D72</f>
        <v>0.96877329246442045</v>
      </c>
      <c r="E74" s="620">
        <f>E73/E72</f>
        <v>0.97598174791061276</v>
      </c>
      <c r="G74" s="1274"/>
      <c r="H74" s="1275"/>
      <c r="I74" s="621">
        <f>I73/I72</f>
        <v>0.93556436085946504</v>
      </c>
      <c r="J74" s="621">
        <f>J73/J72</f>
        <v>0.92374491433778894</v>
      </c>
      <c r="K74" s="622">
        <f>K73/K72</f>
        <v>0.94351345805039932</v>
      </c>
      <c r="L74" s="12"/>
      <c r="M74" s="1248" t="s">
        <v>482</v>
      </c>
      <c r="N74" s="1249"/>
      <c r="O74" s="623">
        <f>O72-O73</f>
        <v>8982.262159439997</v>
      </c>
      <c r="P74" s="623">
        <f>P72-P73</f>
        <v>11242.48000000001</v>
      </c>
      <c r="Q74" s="624">
        <f>Q72-Q73</f>
        <v>9108.1600000000035</v>
      </c>
      <c r="R74" s="12"/>
      <c r="S74" s="12"/>
      <c r="T74" s="12"/>
      <c r="U74" s="12"/>
      <c r="V74" s="12"/>
      <c r="W74" s="12"/>
      <c r="X74" s="12"/>
    </row>
    <row r="75" spans="1:24" ht="12.95" customHeight="1">
      <c r="A75" s="182"/>
      <c r="B75" s="433"/>
      <c r="C75" s="433"/>
      <c r="D75" s="182"/>
      <c r="E75" s="12"/>
      <c r="G75" s="35"/>
      <c r="H75" s="35"/>
      <c r="I75" s="12"/>
      <c r="J75" s="12"/>
      <c r="K75" s="12"/>
      <c r="L75" s="12"/>
      <c r="M75" s="35"/>
      <c r="N75" s="35"/>
      <c r="O75" s="12"/>
      <c r="P75" s="16"/>
      <c r="Q75" s="12"/>
      <c r="R75" s="12"/>
      <c r="S75" s="12"/>
      <c r="T75" s="12"/>
      <c r="U75" s="12"/>
      <c r="V75" s="12"/>
      <c r="W75" s="12"/>
      <c r="X75" s="12"/>
    </row>
    <row r="76" spans="1:24" ht="12.95" customHeight="1">
      <c r="A76" s="182"/>
      <c r="B76" s="433"/>
      <c r="C76" s="433"/>
      <c r="D76" s="182"/>
      <c r="E76" s="12"/>
      <c r="G76" s="35"/>
      <c r="H76" s="35"/>
      <c r="I76" s="12"/>
      <c r="J76" s="12"/>
      <c r="K76" s="12"/>
      <c r="L76" s="12"/>
      <c r="M76" s="35"/>
      <c r="N76" s="35"/>
      <c r="O76" s="12"/>
      <c r="P76" s="16"/>
      <c r="Q76" s="12"/>
      <c r="R76" s="12"/>
      <c r="S76" s="12"/>
      <c r="T76" s="12"/>
      <c r="U76" s="12"/>
      <c r="V76" s="12"/>
      <c r="W76" s="12"/>
      <c r="X76" s="12"/>
    </row>
    <row r="77" spans="1:24" ht="12.95" customHeight="1">
      <c r="A77" s="182"/>
      <c r="B77" s="433"/>
      <c r="C77" s="433"/>
      <c r="D77" s="182"/>
      <c r="E77" s="12"/>
      <c r="G77" s="35"/>
      <c r="H77" s="35"/>
      <c r="I77" s="12"/>
      <c r="J77" s="12"/>
      <c r="K77" s="12"/>
      <c r="L77" s="12"/>
      <c r="M77" s="35"/>
      <c r="N77" s="35"/>
      <c r="O77" s="12"/>
      <c r="P77" s="16"/>
      <c r="Q77" s="12"/>
      <c r="R77" s="12"/>
      <c r="S77" s="12"/>
      <c r="T77" s="12"/>
      <c r="U77" s="12"/>
      <c r="V77" s="12"/>
      <c r="W77" s="12"/>
      <c r="X77" s="12"/>
    </row>
    <row r="78" spans="1:24" ht="12.95" customHeight="1">
      <c r="A78" s="182"/>
      <c r="B78" s="433"/>
      <c r="C78" s="433"/>
      <c r="D78" s="182"/>
      <c r="E78" s="12"/>
      <c r="G78" s="35"/>
      <c r="H78" s="35"/>
      <c r="I78" s="12"/>
      <c r="J78" s="12"/>
      <c r="K78" s="12"/>
      <c r="L78" s="12"/>
      <c r="M78" s="35"/>
      <c r="N78" s="35"/>
      <c r="O78" s="12"/>
      <c r="P78" s="16"/>
      <c r="Q78" s="12"/>
      <c r="R78" s="12"/>
      <c r="S78" s="12"/>
      <c r="T78" s="12"/>
      <c r="U78" s="12"/>
      <c r="V78" s="12"/>
      <c r="W78" s="12"/>
      <c r="X78" s="12"/>
    </row>
    <row r="79" spans="1:24" ht="12.95" customHeight="1">
      <c r="A79" s="182"/>
      <c r="B79" s="433"/>
      <c r="C79" s="433"/>
      <c r="D79" s="182"/>
      <c r="E79" s="12"/>
      <c r="G79" s="35"/>
      <c r="H79" s="35"/>
      <c r="I79" s="12"/>
      <c r="J79" s="12"/>
      <c r="K79" s="12"/>
      <c r="L79" s="12"/>
      <c r="M79" s="35"/>
      <c r="N79" s="35"/>
      <c r="O79" s="12"/>
      <c r="P79" s="16"/>
      <c r="Q79" s="12"/>
      <c r="R79" s="12"/>
      <c r="S79" s="12"/>
      <c r="T79" s="12"/>
      <c r="U79" s="12"/>
      <c r="V79" s="12"/>
      <c r="W79" s="12"/>
      <c r="X79" s="12"/>
    </row>
    <row r="80" spans="1:24" ht="12.95" customHeight="1">
      <c r="A80" s="182"/>
      <c r="B80" s="433"/>
      <c r="C80" s="433"/>
      <c r="D80" s="182"/>
      <c r="E80" s="12"/>
      <c r="G80" s="35"/>
      <c r="H80" s="35"/>
      <c r="I80" s="12"/>
      <c r="J80" s="12"/>
      <c r="K80" s="12"/>
      <c r="L80" s="12"/>
      <c r="M80" s="35"/>
      <c r="N80" s="35"/>
      <c r="O80" s="12"/>
      <c r="P80" s="16"/>
      <c r="Q80" s="12"/>
      <c r="R80" s="12"/>
      <c r="S80" s="12"/>
      <c r="T80" s="12"/>
      <c r="U80" s="12"/>
      <c r="V80" s="12"/>
      <c r="W80" s="12"/>
      <c r="X80" s="12"/>
    </row>
    <row r="81" spans="1:24" ht="12.95" customHeight="1">
      <c r="A81" s="182"/>
      <c r="B81" s="433"/>
      <c r="C81" s="433"/>
      <c r="D81" s="182"/>
      <c r="E81" s="12"/>
      <c r="G81" s="35"/>
      <c r="H81" s="35"/>
      <c r="I81" s="12"/>
      <c r="J81" s="12"/>
      <c r="K81" s="12"/>
      <c r="L81" s="12"/>
      <c r="M81" s="35"/>
      <c r="N81" s="35"/>
      <c r="O81" s="12"/>
      <c r="P81" s="16"/>
      <c r="Q81" s="12"/>
      <c r="R81" s="12"/>
      <c r="S81" s="12"/>
      <c r="T81" s="12"/>
      <c r="U81" s="12"/>
      <c r="V81" s="12"/>
      <c r="W81" s="12"/>
      <c r="X81" s="12"/>
    </row>
    <row r="82" spans="1:24" ht="12.95" customHeight="1">
      <c r="A82" s="182"/>
      <c r="B82" s="433"/>
      <c r="C82" s="433"/>
      <c r="D82" s="182"/>
      <c r="E82" s="12"/>
      <c r="G82" s="35"/>
      <c r="H82" s="35"/>
      <c r="I82" s="12"/>
      <c r="J82" s="12"/>
      <c r="K82" s="12"/>
      <c r="L82" s="12"/>
      <c r="M82" s="35"/>
      <c r="N82" s="35"/>
      <c r="O82" s="12"/>
      <c r="P82" s="16"/>
      <c r="Q82" s="12"/>
      <c r="R82" s="12"/>
      <c r="S82" s="12"/>
      <c r="T82" s="12"/>
      <c r="U82" s="12"/>
      <c r="V82" s="12"/>
      <c r="W82" s="12"/>
      <c r="X82" s="12"/>
    </row>
    <row r="83" spans="1:24" ht="12.95" customHeight="1">
      <c r="A83" s="182"/>
      <c r="B83" s="433"/>
      <c r="C83" s="433"/>
      <c r="D83" s="182"/>
      <c r="E83" s="12"/>
      <c r="G83" s="35"/>
      <c r="H83" s="35"/>
      <c r="I83" s="12"/>
      <c r="J83" s="12"/>
      <c r="K83" s="12"/>
      <c r="L83" s="12"/>
      <c r="M83" s="35"/>
      <c r="N83" s="35"/>
      <c r="O83" s="12"/>
      <c r="P83" s="16"/>
      <c r="Q83" s="12"/>
      <c r="R83" s="12"/>
      <c r="S83" s="12"/>
      <c r="T83" s="12"/>
      <c r="U83" s="12"/>
      <c r="V83" s="12"/>
      <c r="W83" s="12"/>
      <c r="X83" s="12"/>
    </row>
    <row r="84" spans="1:24" ht="12.95" customHeight="1">
      <c r="A84" s="182"/>
      <c r="B84" s="433"/>
      <c r="C84" s="433"/>
      <c r="D84" s="182"/>
      <c r="E84" s="12"/>
      <c r="G84" s="35"/>
      <c r="H84" s="35"/>
      <c r="I84" s="12"/>
      <c r="J84" s="12"/>
      <c r="K84" s="12"/>
      <c r="L84" s="12"/>
      <c r="M84" s="35"/>
      <c r="N84" s="35"/>
      <c r="O84" s="12"/>
      <c r="P84" s="16"/>
      <c r="Q84" s="12"/>
      <c r="R84" s="12"/>
      <c r="S84" s="12"/>
      <c r="T84" s="12"/>
      <c r="U84" s="12"/>
      <c r="V84" s="12"/>
      <c r="W84" s="12"/>
      <c r="X84" s="12"/>
    </row>
    <row r="85" spans="1:24" ht="12.95" customHeight="1">
      <c r="A85" s="182"/>
      <c r="B85" s="433"/>
      <c r="C85" s="433"/>
      <c r="D85" s="182"/>
      <c r="E85" s="12"/>
      <c r="G85" s="35"/>
      <c r="H85" s="35"/>
      <c r="I85" s="12"/>
      <c r="J85" s="12"/>
      <c r="K85" s="12"/>
      <c r="L85" s="12"/>
      <c r="M85" s="35"/>
      <c r="N85" s="35"/>
      <c r="O85" s="12"/>
      <c r="P85" s="16"/>
      <c r="Q85" s="12"/>
      <c r="R85" s="12"/>
      <c r="S85" s="12"/>
      <c r="T85" s="12"/>
      <c r="U85" s="12"/>
      <c r="V85" s="12"/>
      <c r="W85" s="12"/>
      <c r="X85" s="12"/>
    </row>
    <row r="86" spans="1:24" ht="12.95" customHeight="1">
      <c r="A86" s="182"/>
      <c r="B86" s="433"/>
      <c r="C86" s="433"/>
      <c r="D86" s="182"/>
      <c r="E86" s="12"/>
      <c r="G86" s="35"/>
      <c r="H86" s="35"/>
      <c r="I86" s="12"/>
      <c r="J86" s="12"/>
      <c r="K86" s="12"/>
      <c r="L86" s="12"/>
      <c r="M86" s="35"/>
      <c r="N86" s="35"/>
      <c r="O86" s="12"/>
      <c r="P86" s="16"/>
      <c r="Q86" s="12"/>
      <c r="R86" s="12"/>
      <c r="S86" s="12"/>
      <c r="T86" s="12"/>
      <c r="U86" s="12"/>
      <c r="V86" s="12"/>
      <c r="W86" s="12"/>
      <c r="X86" s="12"/>
    </row>
    <row r="87" spans="1:24" ht="12.95" customHeight="1">
      <c r="A87" s="182"/>
      <c r="B87" s="433"/>
      <c r="C87" s="433"/>
      <c r="D87" s="182"/>
      <c r="E87" s="12"/>
      <c r="G87" s="35"/>
      <c r="H87" s="35"/>
      <c r="I87" s="12"/>
      <c r="J87" s="12"/>
      <c r="K87" s="12"/>
      <c r="L87" s="12"/>
      <c r="M87" s="35"/>
      <c r="N87" s="35"/>
      <c r="O87" s="12"/>
      <c r="P87" s="16"/>
      <c r="Q87" s="12"/>
      <c r="R87" s="12"/>
      <c r="S87" s="12"/>
      <c r="T87" s="12"/>
      <c r="U87" s="12"/>
      <c r="V87" s="12"/>
      <c r="W87" s="12"/>
      <c r="X87" s="12"/>
    </row>
    <row r="88" spans="1:24" ht="12.95" customHeight="1">
      <c r="A88" s="182"/>
      <c r="B88" s="433"/>
      <c r="C88" s="433"/>
      <c r="D88" s="182"/>
      <c r="E88" s="12"/>
      <c r="G88" s="35"/>
      <c r="H88" s="35"/>
      <c r="I88" s="12"/>
      <c r="J88" s="12"/>
      <c r="K88" s="12"/>
      <c r="L88" s="12"/>
      <c r="M88" s="35"/>
      <c r="N88" s="35"/>
      <c r="O88" s="12"/>
      <c r="P88" s="16"/>
      <c r="Q88" s="12"/>
      <c r="R88" s="12"/>
      <c r="S88" s="12"/>
      <c r="T88" s="12"/>
      <c r="U88" s="12"/>
      <c r="V88" s="12"/>
      <c r="W88" s="12"/>
      <c r="X88" s="12"/>
    </row>
    <row r="89" spans="1:24" ht="12.95" customHeight="1">
      <c r="A89" s="182"/>
      <c r="B89" s="433"/>
      <c r="C89" s="433"/>
      <c r="D89" s="182"/>
      <c r="E89" s="12"/>
      <c r="G89" s="35"/>
      <c r="H89" s="35"/>
      <c r="I89" s="12"/>
      <c r="J89" s="12"/>
      <c r="K89" s="12"/>
      <c r="L89" s="12"/>
      <c r="M89" s="35"/>
      <c r="N89" s="35"/>
      <c r="O89" s="12"/>
      <c r="P89" s="16"/>
      <c r="Q89" s="12"/>
      <c r="R89" s="12"/>
      <c r="S89" s="12"/>
      <c r="T89" s="12"/>
      <c r="U89" s="12"/>
      <c r="V89" s="12"/>
      <c r="W89" s="12"/>
      <c r="X89" s="12"/>
    </row>
    <row r="90" spans="1:24" ht="12.95" customHeight="1">
      <c r="A90" s="182"/>
      <c r="B90" s="433"/>
      <c r="C90" s="433"/>
      <c r="D90" s="182"/>
      <c r="E90" s="12"/>
      <c r="G90" s="35"/>
      <c r="H90" s="35"/>
      <c r="I90" s="12"/>
      <c r="J90" s="12"/>
      <c r="K90" s="12"/>
      <c r="L90" s="12"/>
      <c r="M90" s="35"/>
      <c r="N90" s="35"/>
      <c r="O90" s="12"/>
      <c r="P90" s="16"/>
      <c r="Q90" s="12"/>
      <c r="R90" s="12"/>
      <c r="S90" s="12"/>
      <c r="T90" s="12"/>
      <c r="U90" s="12"/>
      <c r="V90" s="12"/>
      <c r="W90" s="12"/>
      <c r="X90" s="12"/>
    </row>
    <row r="91" spans="1:24" ht="12.95" customHeight="1">
      <c r="A91" s="182"/>
      <c r="B91" s="433"/>
      <c r="C91" s="433"/>
      <c r="D91" s="182"/>
      <c r="E91" s="12"/>
      <c r="G91" s="35"/>
      <c r="H91" s="35"/>
      <c r="I91" s="12"/>
      <c r="J91" s="12"/>
      <c r="K91" s="12"/>
      <c r="L91" s="12"/>
      <c r="M91" s="35"/>
      <c r="N91" s="35"/>
      <c r="O91" s="12"/>
      <c r="P91" s="16"/>
      <c r="Q91" s="12"/>
      <c r="R91" s="12"/>
      <c r="S91" s="12"/>
      <c r="T91" s="12"/>
      <c r="U91" s="12"/>
      <c r="V91" s="12"/>
      <c r="W91" s="12"/>
      <c r="X91" s="12"/>
    </row>
    <row r="92" spans="1:24" ht="12.95" customHeight="1">
      <c r="A92" s="182"/>
      <c r="B92" s="433"/>
      <c r="C92" s="433"/>
      <c r="D92" s="182"/>
      <c r="E92" s="12"/>
      <c r="G92" s="35"/>
      <c r="H92" s="35"/>
      <c r="I92" s="12"/>
      <c r="J92" s="12"/>
      <c r="K92" s="12"/>
      <c r="L92" s="12"/>
      <c r="M92" s="35"/>
      <c r="N92" s="35"/>
      <c r="O92" s="12"/>
      <c r="P92" s="16"/>
      <c r="Q92" s="12"/>
      <c r="R92" s="12"/>
      <c r="S92" s="12"/>
      <c r="T92" s="12"/>
      <c r="U92" s="12"/>
      <c r="V92" s="12"/>
      <c r="W92" s="12"/>
      <c r="X92" s="12"/>
    </row>
    <row r="93" spans="1:24" ht="12.95" customHeight="1">
      <c r="A93" s="182"/>
      <c r="B93" s="433"/>
      <c r="C93" s="433"/>
      <c r="D93" s="182"/>
      <c r="E93" s="12"/>
      <c r="G93" s="35"/>
      <c r="H93" s="35"/>
      <c r="I93" s="12"/>
      <c r="J93" s="12"/>
      <c r="K93" s="12"/>
      <c r="L93" s="12"/>
      <c r="M93" s="35"/>
      <c r="N93" s="35"/>
      <c r="O93" s="12"/>
      <c r="P93" s="16"/>
      <c r="Q93" s="12"/>
      <c r="R93" s="12"/>
      <c r="S93" s="12"/>
      <c r="T93" s="12"/>
      <c r="U93" s="12"/>
      <c r="V93" s="12"/>
      <c r="W93" s="12"/>
      <c r="X93" s="12"/>
    </row>
    <row r="94" spans="1:24" ht="15.75">
      <c r="A94" s="179">
        <v>3</v>
      </c>
      <c r="B94" s="122" t="s">
        <v>152</v>
      </c>
      <c r="C94" s="625"/>
      <c r="D94" s="2"/>
      <c r="E94" s="11"/>
      <c r="F94" s="12"/>
      <c r="G94" s="2"/>
      <c r="H94" s="12"/>
      <c r="I94" s="12"/>
      <c r="J94" s="12"/>
      <c r="K94" s="12"/>
      <c r="L94" s="12"/>
      <c r="M94" s="12"/>
      <c r="N94" s="12"/>
      <c r="O94" s="12"/>
      <c r="P94" s="12"/>
      <c r="Q94" s="12"/>
      <c r="R94" s="12"/>
      <c r="S94" s="12"/>
      <c r="T94" s="12"/>
      <c r="U94" s="12"/>
      <c r="V94" s="12"/>
      <c r="W94" s="12"/>
      <c r="X94" s="12"/>
    </row>
    <row r="95" spans="1:24" ht="12.95" customHeight="1">
      <c r="A95" s="12"/>
      <c r="B95" s="12"/>
      <c r="C95" s="12"/>
      <c r="D95" s="12"/>
      <c r="E95" s="12"/>
      <c r="F95" s="12"/>
      <c r="G95" s="12"/>
      <c r="H95" s="12"/>
      <c r="I95" s="12"/>
      <c r="J95" s="12"/>
      <c r="K95" s="12"/>
      <c r="L95" s="12"/>
      <c r="M95" s="12"/>
    </row>
    <row r="96" spans="1:24" ht="12.95" customHeight="1" thickBot="1">
      <c r="B96" s="35" t="s">
        <v>150</v>
      </c>
      <c r="C96" s="626"/>
      <c r="D96" s="626"/>
      <c r="E96" s="524"/>
      <c r="F96" s="524"/>
      <c r="G96" s="524"/>
      <c r="H96" s="524"/>
      <c r="I96" s="523"/>
      <c r="J96" s="523"/>
      <c r="K96" s="523"/>
      <c r="L96" s="523"/>
      <c r="M96" s="12"/>
    </row>
    <row r="97" spans="1:25" ht="12.95" customHeight="1" thickBot="1">
      <c r="A97" s="12"/>
      <c r="B97" s="627"/>
      <c r="C97" s="35" t="s">
        <v>698</v>
      </c>
      <c r="D97" s="35" t="s">
        <v>699</v>
      </c>
      <c r="E97" s="35" t="s">
        <v>700</v>
      </c>
      <c r="F97" s="35" t="s">
        <v>701</v>
      </c>
      <c r="G97" s="35" t="s">
        <v>702</v>
      </c>
      <c r="H97" s="35" t="s">
        <v>703</v>
      </c>
      <c r="I97" s="35" t="s">
        <v>704</v>
      </c>
      <c r="J97" s="35" t="s">
        <v>705</v>
      </c>
      <c r="K97" s="35" t="s">
        <v>706</v>
      </c>
      <c r="L97" s="35"/>
    </row>
    <row r="98" spans="1:25" ht="12.95" customHeight="1" thickTop="1">
      <c r="A98" s="12"/>
      <c r="B98" s="628" t="s">
        <v>35</v>
      </c>
      <c r="C98" s="629">
        <v>6.6841964410224095E-2</v>
      </c>
      <c r="D98" s="629">
        <v>7.0966162477523173E-2</v>
      </c>
      <c r="E98" s="629">
        <v>6.6230482032104299E-2</v>
      </c>
      <c r="F98" s="629">
        <v>8.4919443049198934E-2</v>
      </c>
      <c r="G98" s="629">
        <v>9.2454358487630089E-2</v>
      </c>
      <c r="H98" s="629">
        <v>6.1810822082834276E-2</v>
      </c>
      <c r="I98" s="630">
        <v>0.2128584320781946</v>
      </c>
      <c r="J98" s="630">
        <v>0.27613145476757228</v>
      </c>
      <c r="K98" s="631">
        <v>6.7786880614718201E-2</v>
      </c>
      <c r="L98" s="631"/>
      <c r="M98" s="631"/>
      <c r="N98" s="631"/>
      <c r="O98" s="631"/>
      <c r="P98" s="631"/>
      <c r="Q98" s="631"/>
      <c r="R98" s="631"/>
      <c r="S98" s="631"/>
      <c r="T98" s="631"/>
      <c r="U98" s="631"/>
      <c r="V98" s="631"/>
    </row>
    <row r="99" spans="1:25" ht="12.95" customHeight="1">
      <c r="A99" s="12"/>
      <c r="B99" s="628" t="s">
        <v>34</v>
      </c>
      <c r="C99" s="629">
        <v>6.0886750386575601E-2</v>
      </c>
      <c r="D99" s="629">
        <v>6.9950160932772523E-2</v>
      </c>
      <c r="E99" s="629">
        <v>7.398509417616346E-2</v>
      </c>
      <c r="F99" s="629">
        <v>8.5537552439922934E-2</v>
      </c>
      <c r="G99" s="629">
        <v>9.7560130268976253E-2</v>
      </c>
      <c r="H99" s="629">
        <v>6.7167537033549787E-2</v>
      </c>
      <c r="I99" s="630">
        <v>0.22979772641639307</v>
      </c>
      <c r="J99" s="630">
        <v>0.25103555619816798</v>
      </c>
      <c r="K99" s="631">
        <v>6.4079492147478476E-2</v>
      </c>
      <c r="L99" s="631"/>
      <c r="M99" s="631"/>
      <c r="N99" s="631"/>
      <c r="O99" s="631"/>
      <c r="P99" s="631"/>
      <c r="Q99" s="631"/>
      <c r="R99" s="631"/>
      <c r="S99" s="631"/>
      <c r="T99" s="631"/>
      <c r="U99" s="631"/>
      <c r="V99" s="631"/>
    </row>
    <row r="100" spans="1:25" ht="12.95" customHeight="1">
      <c r="A100" s="12"/>
      <c r="B100" s="628" t="s">
        <v>33</v>
      </c>
      <c r="C100" s="629">
        <v>7.1300934768529903E-2</v>
      </c>
      <c r="D100" s="629">
        <v>6.9968327686032741E-2</v>
      </c>
      <c r="E100" s="629">
        <v>7.590204513384069E-2</v>
      </c>
      <c r="F100" s="629">
        <v>8.8279038380860167E-2</v>
      </c>
      <c r="G100" s="629">
        <v>9.9473190623582952E-2</v>
      </c>
      <c r="H100" s="629">
        <v>6.5747234930451912E-2</v>
      </c>
      <c r="I100" s="630">
        <v>0.24045878969878659</v>
      </c>
      <c r="J100" s="630">
        <v>0.23634465547064243</v>
      </c>
      <c r="K100" s="631">
        <v>5.2525783307272624E-2</v>
      </c>
      <c r="L100" s="631"/>
      <c r="M100" s="631"/>
      <c r="N100" s="631"/>
      <c r="O100" s="631"/>
      <c r="P100" s="631"/>
      <c r="Q100" s="631"/>
      <c r="R100" s="631"/>
      <c r="S100" s="631"/>
      <c r="T100" s="631"/>
      <c r="U100" s="631"/>
      <c r="V100" s="631"/>
    </row>
    <row r="101" spans="1:25" ht="12.95" customHeight="1" thickBot="1">
      <c r="A101" s="12"/>
      <c r="B101" s="632" t="s">
        <v>151</v>
      </c>
      <c r="C101" s="633">
        <v>6.6521012032847701E-2</v>
      </c>
      <c r="D101" s="634">
        <v>7.0269900374260619E-2</v>
      </c>
      <c r="E101" s="634">
        <v>7.2294551928886008E-2</v>
      </c>
      <c r="F101" s="634">
        <v>8.6347126149172157E-2</v>
      </c>
      <c r="G101" s="634">
        <v>9.6684491153934404E-2</v>
      </c>
      <c r="H101" s="634">
        <v>6.4998588775608088E-2</v>
      </c>
      <c r="I101" s="635">
        <v>0.22846639329350327</v>
      </c>
      <c r="J101" s="635">
        <v>0.25341056062961587</v>
      </c>
      <c r="K101" s="636">
        <v>6.1007375662171862E-2</v>
      </c>
      <c r="L101" s="636"/>
      <c r="M101" s="631"/>
      <c r="N101" s="631"/>
      <c r="O101" s="631"/>
      <c r="P101" s="631"/>
      <c r="Q101" s="631"/>
      <c r="R101" s="631"/>
      <c r="S101" s="631"/>
      <c r="T101" s="631"/>
      <c r="U101" s="631"/>
      <c r="V101" s="631"/>
    </row>
    <row r="102" spans="1:25" ht="12.95" customHeight="1">
      <c r="A102" s="12"/>
      <c r="B102" s="12"/>
      <c r="C102" s="16"/>
      <c r="D102" s="56"/>
      <c r="E102" s="629"/>
      <c r="F102" s="629"/>
      <c r="G102" s="629"/>
      <c r="H102" s="629"/>
      <c r="I102" s="629"/>
      <c r="J102" s="12"/>
      <c r="K102" s="12"/>
      <c r="L102" s="12"/>
      <c r="M102" s="12"/>
      <c r="N102" s="12"/>
      <c r="O102" s="12"/>
      <c r="P102" s="12"/>
      <c r="Q102" s="12"/>
      <c r="R102" s="12"/>
      <c r="S102" s="12"/>
      <c r="T102" s="12"/>
      <c r="U102" s="12"/>
      <c r="V102" s="12"/>
      <c r="W102" s="12"/>
      <c r="X102" s="12"/>
    </row>
    <row r="103" spans="1:25" ht="12.95" customHeight="1" thickBot="1">
      <c r="A103" s="12"/>
      <c r="B103" s="35" t="s">
        <v>149</v>
      </c>
      <c r="C103" s="523"/>
      <c r="D103" s="523"/>
      <c r="E103" s="523"/>
      <c r="F103" s="523"/>
      <c r="G103" s="523"/>
      <c r="H103" s="523"/>
      <c r="I103" s="523"/>
      <c r="J103" s="523"/>
      <c r="K103" s="523"/>
      <c r="L103" s="523"/>
      <c r="M103" s="12"/>
      <c r="N103" s="12"/>
      <c r="O103" s="12"/>
      <c r="P103" s="12"/>
      <c r="Q103" s="12"/>
      <c r="R103" s="12"/>
      <c r="S103" s="12"/>
      <c r="T103" s="12"/>
      <c r="U103" s="12"/>
      <c r="V103" s="12"/>
      <c r="W103" s="12"/>
      <c r="X103" s="12"/>
    </row>
    <row r="104" spans="1:25" ht="12.95" customHeight="1" thickBot="1">
      <c r="A104" s="12"/>
      <c r="B104" s="627"/>
      <c r="C104" s="637" t="s">
        <v>698</v>
      </c>
      <c r="D104" s="637" t="s">
        <v>699</v>
      </c>
      <c r="E104" s="637" t="s">
        <v>700</v>
      </c>
      <c r="F104" s="637" t="s">
        <v>701</v>
      </c>
      <c r="G104" s="637" t="s">
        <v>702</v>
      </c>
      <c r="H104" s="637" t="s">
        <v>703</v>
      </c>
      <c r="I104" s="637" t="s">
        <v>704</v>
      </c>
      <c r="J104" s="637" t="s">
        <v>705</v>
      </c>
      <c r="K104" s="35" t="s">
        <v>706</v>
      </c>
      <c r="L104" s="35"/>
      <c r="M104" s="35"/>
      <c r="N104" s="35"/>
      <c r="O104" s="35"/>
      <c r="P104" s="35"/>
      <c r="Q104" s="35"/>
      <c r="R104" s="35"/>
      <c r="S104" s="35"/>
      <c r="T104" s="35"/>
      <c r="U104" s="35"/>
      <c r="V104" s="35"/>
      <c r="W104" s="35"/>
      <c r="X104" s="35"/>
      <c r="Y104" s="35"/>
    </row>
    <row r="105" spans="1:25" ht="12.95" customHeight="1" thickTop="1">
      <c r="A105" s="12"/>
      <c r="B105" s="628" t="s">
        <v>35</v>
      </c>
      <c r="C105" s="629">
        <v>3.9758177384457784E-2</v>
      </c>
      <c r="D105" s="629">
        <v>4.0250450309107941E-2</v>
      </c>
      <c r="E105" s="629">
        <v>3.9789568829834095E-2</v>
      </c>
      <c r="F105" s="629">
        <v>5.1017415543381579E-2</v>
      </c>
      <c r="G105" s="629">
        <v>5.6243748060542442E-2</v>
      </c>
      <c r="H105" s="629">
        <v>3.7873453888016197E-2</v>
      </c>
      <c r="I105" s="630">
        <v>0.29704374761559926</v>
      </c>
      <c r="J105" s="630">
        <v>0.385543379514032</v>
      </c>
      <c r="K105" s="631">
        <v>5.2480058286919505E-2</v>
      </c>
      <c r="L105" s="631"/>
      <c r="M105" s="631"/>
      <c r="N105" s="631"/>
      <c r="O105" s="631"/>
      <c r="P105" s="631"/>
      <c r="Q105" s="631"/>
      <c r="R105" s="631"/>
      <c r="S105" s="631"/>
      <c r="T105" s="631"/>
      <c r="U105" s="631"/>
      <c r="V105" s="631"/>
      <c r="W105" s="12"/>
      <c r="X105" s="12"/>
    </row>
    <row r="106" spans="1:25" ht="12.95" customHeight="1">
      <c r="A106" s="12"/>
      <c r="B106" s="628" t="s">
        <v>34</v>
      </c>
      <c r="C106" s="629">
        <v>3.6496257746724638E-2</v>
      </c>
      <c r="D106" s="629">
        <v>3.9950984860820542E-2</v>
      </c>
      <c r="E106" s="629">
        <v>4.4792347905082991E-2</v>
      </c>
      <c r="F106" s="629">
        <v>5.1786482836665308E-2</v>
      </c>
      <c r="G106" s="629">
        <v>5.9751049381928302E-2</v>
      </c>
      <c r="H106" s="629">
        <v>4.1391275983193927E-2</v>
      </c>
      <c r="I106" s="630">
        <v>0.32256905128179858</v>
      </c>
      <c r="J106" s="630">
        <v>0.35331216541083255</v>
      </c>
      <c r="K106" s="631">
        <v>4.9950384592953104E-2</v>
      </c>
      <c r="L106" s="631"/>
      <c r="M106" s="631"/>
      <c r="N106" s="631"/>
      <c r="O106" s="631"/>
      <c r="P106" s="631"/>
      <c r="Q106" s="631"/>
      <c r="R106" s="631"/>
      <c r="S106" s="631"/>
      <c r="T106" s="631"/>
      <c r="U106" s="631"/>
      <c r="V106" s="631"/>
      <c r="W106" s="12"/>
      <c r="X106" s="12"/>
    </row>
    <row r="107" spans="1:25" ht="12.95" customHeight="1">
      <c r="A107" s="12"/>
      <c r="B107" s="628" t="s">
        <v>33</v>
      </c>
      <c r="C107" s="629">
        <v>4.2942254879537789E-2</v>
      </c>
      <c r="D107" s="629">
        <v>4.017989992064494E-2</v>
      </c>
      <c r="E107" s="629">
        <v>4.617183756837967E-2</v>
      </c>
      <c r="F107" s="629">
        <v>5.370086398449328E-2</v>
      </c>
      <c r="G107" s="629">
        <v>6.1155836966757665E-2</v>
      </c>
      <c r="H107" s="629">
        <v>4.0717704947260402E-2</v>
      </c>
      <c r="I107" s="630">
        <v>0.33991366085834485</v>
      </c>
      <c r="J107" s="630">
        <v>0.33411947814247805</v>
      </c>
      <c r="K107" s="631">
        <v>4.1098462246134268E-2</v>
      </c>
      <c r="L107" s="631"/>
      <c r="M107" s="631"/>
      <c r="N107" s="631"/>
      <c r="O107" s="631"/>
      <c r="P107" s="631"/>
      <c r="Q107" s="631"/>
      <c r="R107" s="631"/>
      <c r="S107" s="631"/>
      <c r="T107" s="631"/>
      <c r="U107" s="631"/>
      <c r="V107" s="631"/>
      <c r="W107" s="12"/>
      <c r="X107" s="12"/>
    </row>
    <row r="108" spans="1:25" ht="12.95" customHeight="1" thickBot="1">
      <c r="A108" s="12"/>
      <c r="B108" s="632" t="s">
        <v>151</v>
      </c>
      <c r="C108" s="633">
        <v>3.9847381206562831E-2</v>
      </c>
      <c r="D108" s="634">
        <v>4.0126983042823514E-2</v>
      </c>
      <c r="E108" s="634">
        <v>4.3740179861238467E-2</v>
      </c>
      <c r="F108" s="634">
        <v>5.2242371263578211E-2</v>
      </c>
      <c r="G108" s="634">
        <v>5.9172200555568766E-2</v>
      </c>
      <c r="H108" s="634">
        <v>4.0055089110353236E-2</v>
      </c>
      <c r="I108" s="635">
        <v>0.3209399416754784</v>
      </c>
      <c r="J108" s="635">
        <v>0.35635201787821141</v>
      </c>
      <c r="K108" s="636">
        <v>4.7523835053545162E-2</v>
      </c>
      <c r="L108" s="636"/>
      <c r="M108" s="631"/>
      <c r="N108" s="631"/>
      <c r="O108" s="631"/>
      <c r="P108" s="631"/>
      <c r="Q108" s="631"/>
      <c r="R108" s="631"/>
      <c r="S108" s="631"/>
      <c r="T108" s="631"/>
      <c r="U108" s="631"/>
      <c r="V108" s="631"/>
      <c r="W108" s="12"/>
      <c r="X108" s="12"/>
    </row>
    <row r="109" spans="1:25" ht="12.95" customHeight="1">
      <c r="A109" s="12"/>
      <c r="B109" s="12"/>
      <c r="C109" s="16"/>
      <c r="D109" s="12"/>
      <c r="E109" s="638"/>
      <c r="F109" s="638"/>
      <c r="G109" s="639"/>
      <c r="H109" s="639"/>
      <c r="I109" s="16"/>
      <c r="J109" s="12"/>
      <c r="K109" s="631"/>
      <c r="L109" s="12"/>
      <c r="M109" s="12"/>
      <c r="N109" s="12"/>
      <c r="O109" s="12"/>
      <c r="P109" s="12"/>
      <c r="Q109" s="12"/>
      <c r="R109" s="12"/>
      <c r="S109" s="12"/>
      <c r="T109" s="12"/>
      <c r="U109" s="12"/>
      <c r="V109" s="12"/>
      <c r="W109" s="12"/>
      <c r="X109" s="12"/>
    </row>
    <row r="110" spans="1:25" ht="12.95" customHeight="1" thickBot="1">
      <c r="A110" s="12"/>
      <c r="B110" s="35" t="s">
        <v>148</v>
      </c>
      <c r="C110" s="523"/>
      <c r="D110" s="523"/>
      <c r="E110" s="523"/>
      <c r="F110" s="523"/>
      <c r="G110" s="523"/>
      <c r="H110" s="523"/>
      <c r="I110" s="523"/>
      <c r="J110" s="523"/>
      <c r="K110" s="523"/>
      <c r="L110" s="523"/>
      <c r="M110" s="12"/>
      <c r="N110" s="12"/>
      <c r="O110" s="12"/>
      <c r="P110" s="12"/>
      <c r="Q110" s="12"/>
      <c r="R110" s="12"/>
      <c r="S110" s="12"/>
      <c r="T110" s="12"/>
      <c r="U110" s="12"/>
      <c r="V110" s="12"/>
      <c r="W110" s="12"/>
      <c r="X110" s="12"/>
    </row>
    <row r="111" spans="1:25" ht="12.95" customHeight="1" thickBot="1">
      <c r="A111" s="12"/>
      <c r="B111" s="627"/>
      <c r="C111" s="640" t="s">
        <v>698</v>
      </c>
      <c r="D111" s="640" t="s">
        <v>699</v>
      </c>
      <c r="E111" s="640" t="s">
        <v>700</v>
      </c>
      <c r="F111" s="640" t="s">
        <v>701</v>
      </c>
      <c r="G111" s="640" t="s">
        <v>702</v>
      </c>
      <c r="H111" s="640" t="s">
        <v>703</v>
      </c>
      <c r="I111" s="640" t="s">
        <v>704</v>
      </c>
      <c r="J111" s="640" t="s">
        <v>705</v>
      </c>
      <c r="K111" s="640" t="s">
        <v>706</v>
      </c>
      <c r="L111" s="35"/>
      <c r="M111" s="35"/>
      <c r="N111" s="35"/>
      <c r="O111" s="35"/>
      <c r="P111" s="35"/>
      <c r="Q111" s="35"/>
      <c r="R111" s="35"/>
      <c r="S111" s="35"/>
      <c r="T111" s="35"/>
      <c r="U111" s="35"/>
      <c r="V111" s="35"/>
      <c r="W111" s="35"/>
      <c r="X111" s="35"/>
      <c r="Y111" s="35"/>
    </row>
    <row r="112" spans="1:25" ht="12.95" customHeight="1" thickTop="1">
      <c r="A112" s="12"/>
      <c r="B112" s="628" t="s">
        <v>35</v>
      </c>
      <c r="C112" s="629">
        <v>7.5276563084175865E-2</v>
      </c>
      <c r="D112" s="629">
        <v>8.0531837301519499E-2</v>
      </c>
      <c r="E112" s="629">
        <v>7.4464872833646875E-2</v>
      </c>
      <c r="F112" s="629">
        <v>9.547741967095863E-2</v>
      </c>
      <c r="G112" s="629">
        <v>0.10373128811324721</v>
      </c>
      <c r="H112" s="629">
        <v>6.9265543419069736E-2</v>
      </c>
      <c r="I112" s="630">
        <v>0.18664092655623535</v>
      </c>
      <c r="J112" s="630">
        <v>0.24205772423877969</v>
      </c>
      <c r="K112" s="631">
        <v>7.2553824782367077E-2</v>
      </c>
      <c r="L112" s="631"/>
      <c r="M112" s="631"/>
      <c r="N112" s="631"/>
      <c r="O112" s="631"/>
      <c r="P112" s="631"/>
      <c r="Q112" s="631"/>
      <c r="R112" s="631"/>
      <c r="S112" s="631"/>
      <c r="T112" s="631"/>
      <c r="U112" s="631"/>
      <c r="V112" s="631"/>
      <c r="W112" s="12"/>
      <c r="X112" s="12"/>
    </row>
    <row r="113" spans="1:24" ht="12.95" customHeight="1">
      <c r="A113" s="12"/>
      <c r="B113" s="628" t="s">
        <v>34</v>
      </c>
      <c r="C113" s="629">
        <v>6.8406265250907011E-2</v>
      </c>
      <c r="D113" s="629">
        <v>7.9198816045175299E-2</v>
      </c>
      <c r="E113" s="629">
        <v>8.298512926185847E-2</v>
      </c>
      <c r="F113" s="629">
        <v>9.5942904776026058E-2</v>
      </c>
      <c r="G113" s="629">
        <v>0.1092165551692403</v>
      </c>
      <c r="H113" s="629">
        <v>7.5114280093521932E-2</v>
      </c>
      <c r="I113" s="630">
        <v>0.20119660848860865</v>
      </c>
      <c r="J113" s="630">
        <v>0.21950398795130588</v>
      </c>
      <c r="K113" s="631">
        <v>6.8435453129685173E-2</v>
      </c>
      <c r="L113" s="631"/>
      <c r="M113" s="631"/>
      <c r="N113" s="631"/>
      <c r="O113" s="631"/>
      <c r="P113" s="631"/>
      <c r="Q113" s="631"/>
      <c r="R113" s="631"/>
      <c r="S113" s="631"/>
      <c r="T113" s="631"/>
      <c r="U113" s="631"/>
      <c r="V113" s="631"/>
      <c r="W113" s="12"/>
      <c r="X113" s="12"/>
    </row>
    <row r="114" spans="1:24" ht="12.95" customHeight="1">
      <c r="A114" s="12"/>
      <c r="B114" s="628" t="s">
        <v>33</v>
      </c>
      <c r="C114" s="629">
        <v>7.9989674772347627E-2</v>
      </c>
      <c r="D114" s="629">
        <v>7.9095124312966725E-2</v>
      </c>
      <c r="E114" s="629">
        <v>8.5011003830502849E-2</v>
      </c>
      <c r="F114" s="629">
        <v>9.8873352654952354E-2</v>
      </c>
      <c r="G114" s="629">
        <v>0.11121314202029633</v>
      </c>
      <c r="H114" s="629">
        <v>7.3415965608498071E-2</v>
      </c>
      <c r="I114" s="630">
        <v>0.20998707792826421</v>
      </c>
      <c r="J114" s="630">
        <v>0.20638768925687948</v>
      </c>
      <c r="K114" s="631">
        <v>5.6026969764187112E-2</v>
      </c>
      <c r="L114" s="631"/>
      <c r="M114" s="631"/>
      <c r="N114" s="631"/>
      <c r="O114" s="631"/>
      <c r="P114" s="631"/>
      <c r="Q114" s="631"/>
      <c r="R114" s="631"/>
      <c r="S114" s="631"/>
      <c r="T114" s="631"/>
      <c r="U114" s="631"/>
      <c r="V114" s="631"/>
      <c r="W114" s="12"/>
      <c r="X114" s="12"/>
    </row>
    <row r="115" spans="1:24" ht="12.95" customHeight="1" thickBot="1">
      <c r="A115" s="12"/>
      <c r="B115" s="632" t="s">
        <v>151</v>
      </c>
      <c r="C115" s="633">
        <v>7.4751465678481316E-2</v>
      </c>
      <c r="D115" s="634">
        <v>7.9570842014354895E-2</v>
      </c>
      <c r="E115" s="634">
        <v>8.1105329721439634E-2</v>
      </c>
      <c r="F115" s="634">
        <v>9.6870537984480365E-2</v>
      </c>
      <c r="G115" s="634">
        <v>0.10825933707145428</v>
      </c>
      <c r="H115" s="634">
        <v>7.2695190572625079E-2</v>
      </c>
      <c r="I115" s="635">
        <v>0.19993262321489078</v>
      </c>
      <c r="J115" s="635">
        <v>0.22164679760170702</v>
      </c>
      <c r="K115" s="636">
        <v>6.5167876249377671E-2</v>
      </c>
      <c r="L115" s="636"/>
      <c r="M115" s="631"/>
      <c r="N115" s="631"/>
      <c r="O115" s="631"/>
      <c r="P115" s="631"/>
      <c r="Q115" s="631"/>
      <c r="R115" s="631"/>
      <c r="S115" s="631"/>
      <c r="T115" s="631"/>
      <c r="U115" s="631"/>
      <c r="V115" s="631"/>
      <c r="W115" s="12"/>
      <c r="X115" s="12"/>
    </row>
    <row r="116" spans="1:24" ht="12.95" customHeight="1">
      <c r="A116" s="12"/>
      <c r="B116" s="12"/>
      <c r="C116" s="16"/>
      <c r="D116" s="12"/>
      <c r="E116" s="16"/>
      <c r="F116" s="16"/>
      <c r="G116" s="16"/>
      <c r="H116" s="641"/>
      <c r="I116" s="12"/>
      <c r="J116" s="12"/>
      <c r="K116" s="12"/>
      <c r="L116" s="12"/>
      <c r="M116" s="12"/>
      <c r="N116" s="12"/>
      <c r="O116" s="12"/>
      <c r="P116" s="12"/>
      <c r="Q116" s="12"/>
      <c r="R116" s="12"/>
      <c r="S116" s="12"/>
      <c r="T116" s="12"/>
      <c r="U116" s="12"/>
      <c r="V116" s="12"/>
      <c r="W116" s="12"/>
      <c r="X116" s="12"/>
    </row>
    <row r="117" spans="1:24" ht="12.95" customHeight="1">
      <c r="A117" s="12"/>
      <c r="B117" s="12"/>
      <c r="C117" s="16"/>
      <c r="D117" s="12"/>
      <c r="E117" s="16"/>
      <c r="F117" s="16"/>
      <c r="G117" s="16"/>
      <c r="H117" s="641"/>
      <c r="I117" s="12"/>
      <c r="J117" s="12"/>
      <c r="K117" s="12"/>
      <c r="L117" s="12"/>
      <c r="M117" s="12"/>
      <c r="N117" s="12"/>
      <c r="O117" s="12"/>
      <c r="P117" s="12"/>
      <c r="Q117" s="12"/>
      <c r="R117" s="12"/>
      <c r="S117" s="12"/>
      <c r="T117" s="12"/>
      <c r="U117" s="12"/>
      <c r="V117" s="12"/>
      <c r="W117" s="12"/>
      <c r="X117" s="12"/>
    </row>
    <row r="118" spans="1:24" ht="12.95" customHeight="1">
      <c r="B118" s="12"/>
      <c r="C118" s="16"/>
      <c r="D118" s="12"/>
      <c r="E118" s="16"/>
      <c r="F118" s="16"/>
      <c r="G118" s="16"/>
      <c r="H118" s="641"/>
      <c r="I118" s="12"/>
      <c r="J118" s="12"/>
      <c r="K118" s="12"/>
      <c r="L118" s="12"/>
      <c r="M118" s="12"/>
      <c r="N118" s="12"/>
      <c r="O118" s="12"/>
      <c r="P118" s="12"/>
      <c r="Q118" s="12"/>
      <c r="R118" s="12"/>
      <c r="S118" s="12"/>
      <c r="T118" s="12"/>
      <c r="U118" s="12"/>
      <c r="V118" s="12"/>
      <c r="W118" s="12"/>
      <c r="X118" s="12"/>
    </row>
    <row r="119" spans="1:24" ht="12.95" customHeight="1">
      <c r="B119" s="12"/>
      <c r="C119" s="16"/>
      <c r="D119" s="12"/>
      <c r="E119" s="16"/>
      <c r="F119" s="16"/>
      <c r="G119" s="16"/>
      <c r="H119" s="641"/>
      <c r="I119" s="12"/>
      <c r="J119" s="12"/>
      <c r="K119" s="12"/>
      <c r="L119" s="12"/>
      <c r="M119" s="12"/>
      <c r="N119" s="12"/>
      <c r="O119" s="12"/>
      <c r="P119" s="12"/>
      <c r="Q119" s="12"/>
      <c r="R119" s="12"/>
      <c r="S119" s="12"/>
      <c r="T119" s="12"/>
      <c r="U119" s="12"/>
      <c r="V119" s="12"/>
      <c r="W119" s="12"/>
      <c r="X119" s="12"/>
    </row>
    <row r="120" spans="1:24" ht="12.95" customHeight="1">
      <c r="B120" s="12"/>
      <c r="C120" s="16"/>
      <c r="D120" s="12"/>
      <c r="E120" s="16"/>
      <c r="F120" s="16"/>
      <c r="G120" s="16"/>
      <c r="H120" s="641"/>
      <c r="I120" s="12"/>
      <c r="J120" s="12"/>
      <c r="K120" s="12"/>
      <c r="L120" s="12"/>
      <c r="M120" s="12"/>
      <c r="N120" s="12"/>
      <c r="O120" s="12"/>
      <c r="P120" s="12"/>
      <c r="Q120" s="12"/>
      <c r="R120" s="12"/>
      <c r="S120" s="12"/>
      <c r="T120" s="12"/>
      <c r="U120" s="12"/>
      <c r="V120" s="12"/>
      <c r="W120" s="12"/>
      <c r="X120" s="12"/>
    </row>
    <row r="121" spans="1:24" ht="12.95" customHeight="1">
      <c r="A121" s="12"/>
      <c r="B121" s="12"/>
      <c r="C121" s="16"/>
      <c r="D121" s="12"/>
      <c r="E121" s="16"/>
      <c r="F121" s="16"/>
      <c r="G121" s="16"/>
      <c r="H121" s="641"/>
      <c r="I121" s="12"/>
      <c r="J121" s="12"/>
      <c r="K121" s="12"/>
      <c r="L121" s="12"/>
      <c r="M121" s="12"/>
      <c r="N121" s="12"/>
      <c r="O121" s="12"/>
      <c r="P121" s="12"/>
      <c r="Q121" s="12"/>
      <c r="R121" s="12"/>
      <c r="S121" s="12"/>
      <c r="T121" s="12"/>
      <c r="U121" s="12"/>
      <c r="V121" s="12"/>
      <c r="W121" s="12"/>
      <c r="X121" s="12"/>
    </row>
    <row r="122" spans="1:24" ht="12.95" customHeight="1">
      <c r="A122" s="12"/>
      <c r="B122" s="12"/>
      <c r="C122" s="16"/>
      <c r="D122" s="12"/>
      <c r="E122" s="16"/>
      <c r="F122" s="16"/>
      <c r="G122" s="16"/>
      <c r="H122" s="641"/>
      <c r="I122" s="12"/>
      <c r="J122" s="12"/>
      <c r="K122" s="12"/>
      <c r="L122" s="12"/>
      <c r="M122" s="12"/>
      <c r="N122" s="12"/>
      <c r="O122" s="12"/>
      <c r="P122" s="12"/>
      <c r="Q122" s="12"/>
      <c r="R122" s="12"/>
      <c r="S122" s="12"/>
      <c r="T122" s="12"/>
      <c r="U122" s="12"/>
      <c r="V122" s="12"/>
      <c r="W122" s="12"/>
      <c r="X122" s="12"/>
    </row>
    <row r="123" spans="1:24" ht="12.95" customHeight="1">
      <c r="A123" s="12"/>
      <c r="B123" s="12"/>
      <c r="C123" s="16"/>
      <c r="D123" s="12"/>
      <c r="E123" s="16"/>
      <c r="F123" s="16"/>
      <c r="G123" s="16"/>
      <c r="H123" s="641"/>
      <c r="I123" s="12"/>
      <c r="J123" s="12"/>
      <c r="K123" s="12"/>
      <c r="L123" s="12"/>
      <c r="M123" s="12"/>
      <c r="N123" s="12"/>
      <c r="O123" s="12"/>
      <c r="P123" s="12"/>
      <c r="Q123" s="12"/>
      <c r="R123" s="12"/>
      <c r="S123" s="12"/>
      <c r="T123" s="12"/>
      <c r="U123" s="12"/>
      <c r="V123" s="12"/>
      <c r="W123" s="12"/>
      <c r="X123" s="12"/>
    </row>
    <row r="124" spans="1:24" ht="12.95" customHeight="1">
      <c r="A124" s="12"/>
      <c r="B124" s="12"/>
      <c r="C124" s="16"/>
      <c r="D124" s="12"/>
      <c r="E124" s="16"/>
      <c r="F124" s="16"/>
      <c r="G124" s="16"/>
      <c r="H124" s="641"/>
      <c r="I124" s="12"/>
      <c r="J124" s="12"/>
      <c r="K124" s="12"/>
      <c r="L124" s="12"/>
      <c r="M124" s="12"/>
      <c r="N124" s="12"/>
      <c r="O124" s="12"/>
      <c r="P124" s="12"/>
      <c r="Q124" s="12"/>
      <c r="R124" s="12"/>
      <c r="S124" s="12"/>
      <c r="T124" s="12"/>
      <c r="U124" s="12"/>
      <c r="V124" s="12"/>
      <c r="W124" s="12"/>
      <c r="X124" s="12"/>
    </row>
    <row r="125" spans="1:24" ht="12.95" customHeight="1">
      <c r="A125" s="12"/>
      <c r="B125" s="12"/>
      <c r="C125" s="16"/>
      <c r="D125" s="12"/>
      <c r="E125" s="16"/>
      <c r="F125" s="16"/>
      <c r="G125" s="16"/>
      <c r="H125" s="641"/>
      <c r="I125" s="12"/>
      <c r="J125" s="12"/>
      <c r="K125" s="12"/>
      <c r="L125" s="12"/>
      <c r="M125" s="12"/>
      <c r="N125" s="12"/>
      <c r="O125" s="12"/>
      <c r="P125" s="12"/>
      <c r="Q125" s="12"/>
      <c r="R125" s="12"/>
      <c r="S125" s="12"/>
      <c r="T125" s="12"/>
      <c r="U125" s="12"/>
      <c r="V125" s="12"/>
      <c r="W125" s="12"/>
      <c r="X125" s="12"/>
    </row>
    <row r="126" spans="1:24" ht="12.95" customHeight="1">
      <c r="A126" s="12"/>
      <c r="B126" s="12"/>
      <c r="C126" s="16"/>
      <c r="D126" s="12"/>
      <c r="E126" s="16"/>
      <c r="F126" s="16"/>
      <c r="G126" s="16"/>
      <c r="H126" s="641"/>
      <c r="I126" s="12"/>
      <c r="J126" s="12"/>
      <c r="K126" s="12"/>
      <c r="L126" s="12"/>
      <c r="M126" s="12"/>
      <c r="N126" s="12"/>
      <c r="O126" s="12"/>
      <c r="P126" s="12"/>
      <c r="Q126" s="12"/>
      <c r="R126" s="12"/>
      <c r="S126" s="12"/>
      <c r="T126" s="12"/>
      <c r="U126" s="12"/>
      <c r="V126" s="12"/>
      <c r="W126" s="12"/>
      <c r="X126" s="12"/>
    </row>
    <row r="127" spans="1:24" ht="12.95" customHeight="1">
      <c r="A127" s="12"/>
      <c r="B127" s="12"/>
      <c r="C127" s="16"/>
      <c r="D127" s="12"/>
      <c r="E127" s="16"/>
      <c r="F127" s="16"/>
      <c r="G127" s="16"/>
      <c r="H127" s="641"/>
      <c r="I127" s="12"/>
      <c r="J127" s="12"/>
      <c r="K127" s="12"/>
      <c r="L127" s="12"/>
      <c r="M127" s="12"/>
      <c r="N127" s="12"/>
      <c r="O127" s="12"/>
      <c r="P127" s="12"/>
      <c r="Q127" s="12"/>
      <c r="R127" s="12"/>
      <c r="S127" s="12"/>
      <c r="T127" s="12"/>
      <c r="U127" s="12"/>
      <c r="V127" s="12"/>
      <c r="W127" s="12"/>
      <c r="X127" s="12"/>
    </row>
    <row r="128" spans="1:24" ht="12.95" customHeight="1">
      <c r="A128" s="12"/>
      <c r="B128" s="12"/>
      <c r="C128" s="16"/>
      <c r="D128" s="12"/>
      <c r="E128" s="16"/>
      <c r="F128" s="16"/>
      <c r="G128" s="16"/>
      <c r="H128" s="641"/>
      <c r="I128" s="12"/>
      <c r="J128" s="12"/>
      <c r="K128" s="12"/>
      <c r="L128" s="12"/>
      <c r="M128" s="12"/>
      <c r="N128" s="12"/>
      <c r="O128" s="12"/>
      <c r="P128" s="12"/>
      <c r="Q128" s="12"/>
      <c r="R128" s="12"/>
      <c r="S128" s="12"/>
      <c r="T128" s="12"/>
      <c r="U128" s="12"/>
      <c r="V128" s="12"/>
      <c r="W128" s="12"/>
      <c r="X128" s="12"/>
    </row>
    <row r="129" spans="1:24" ht="12.95" customHeight="1">
      <c r="A129" s="12"/>
      <c r="B129" s="12"/>
      <c r="C129" s="16"/>
      <c r="D129" s="12"/>
      <c r="E129" s="16"/>
      <c r="F129" s="16"/>
      <c r="G129" s="16"/>
      <c r="H129" s="641"/>
      <c r="I129" s="12"/>
      <c r="J129" s="12"/>
      <c r="K129" s="12"/>
      <c r="L129" s="12"/>
      <c r="M129" s="12"/>
      <c r="N129" s="12"/>
      <c r="O129" s="12"/>
      <c r="P129" s="12"/>
      <c r="Q129" s="12"/>
      <c r="R129" s="12"/>
      <c r="S129" s="12"/>
      <c r="T129" s="12"/>
      <c r="U129" s="12"/>
      <c r="V129" s="12"/>
      <c r="W129" s="12"/>
      <c r="X129" s="12"/>
    </row>
    <row r="130" spans="1:24" ht="12.95" customHeight="1">
      <c r="A130" s="12"/>
      <c r="B130" s="12"/>
      <c r="C130" s="16"/>
      <c r="D130" s="12"/>
      <c r="E130" s="16"/>
      <c r="F130" s="16"/>
      <c r="G130" s="16"/>
      <c r="H130" s="641"/>
      <c r="I130" s="12"/>
      <c r="J130" s="12"/>
      <c r="K130" s="12"/>
      <c r="L130" s="12"/>
      <c r="M130" s="12"/>
      <c r="N130" s="12"/>
      <c r="O130" s="12"/>
      <c r="P130" s="12"/>
      <c r="Q130" s="12"/>
      <c r="R130" s="12"/>
      <c r="S130" s="12"/>
      <c r="T130" s="12"/>
      <c r="U130" s="12"/>
      <c r="V130" s="12"/>
      <c r="W130" s="12"/>
      <c r="X130" s="12"/>
    </row>
    <row r="131" spans="1:24" ht="12.95" customHeight="1">
      <c r="A131" s="12"/>
      <c r="B131" s="12"/>
      <c r="C131" s="16"/>
      <c r="D131" s="12"/>
      <c r="E131" s="16"/>
      <c r="F131" s="16"/>
      <c r="G131" s="16"/>
      <c r="H131" s="641"/>
      <c r="I131" s="12"/>
      <c r="J131" s="12"/>
      <c r="K131" s="12"/>
      <c r="L131" s="12"/>
      <c r="M131" s="12"/>
      <c r="N131" s="12"/>
      <c r="O131" s="12"/>
      <c r="P131" s="12"/>
      <c r="Q131" s="12"/>
      <c r="R131" s="12"/>
      <c r="S131" s="12"/>
      <c r="T131" s="12"/>
      <c r="U131" s="12"/>
      <c r="V131" s="12"/>
      <c r="W131" s="12"/>
      <c r="X131" s="12"/>
    </row>
    <row r="132" spans="1:24" ht="12.95" customHeight="1">
      <c r="A132" s="12"/>
      <c r="B132" s="12"/>
      <c r="C132" s="16"/>
      <c r="D132" s="12"/>
      <c r="E132" s="16"/>
      <c r="F132" s="16"/>
      <c r="G132" s="16"/>
      <c r="H132" s="641"/>
      <c r="I132" s="12"/>
      <c r="J132" s="12"/>
      <c r="K132" s="12"/>
      <c r="L132" s="12"/>
      <c r="M132" s="12"/>
      <c r="N132" s="12"/>
      <c r="O132" s="12"/>
      <c r="P132" s="12"/>
      <c r="Q132" s="12"/>
      <c r="R132" s="12"/>
      <c r="S132" s="12"/>
      <c r="T132" s="12"/>
      <c r="U132" s="12"/>
      <c r="V132" s="12"/>
      <c r="W132" s="12"/>
      <c r="X132" s="12"/>
    </row>
    <row r="133" spans="1:24" ht="12.95" customHeight="1">
      <c r="A133" s="12"/>
      <c r="B133" s="12"/>
      <c r="C133" s="16"/>
      <c r="D133" s="12"/>
      <c r="E133" s="16"/>
      <c r="F133" s="16"/>
      <c r="G133" s="16"/>
      <c r="H133" s="641"/>
      <c r="I133" s="12"/>
      <c r="J133" s="12"/>
      <c r="K133" s="12"/>
      <c r="L133" s="12"/>
      <c r="M133" s="12"/>
      <c r="N133" s="12"/>
      <c r="O133" s="12"/>
      <c r="P133" s="12"/>
      <c r="Q133" s="12"/>
      <c r="R133" s="12"/>
      <c r="S133" s="12"/>
      <c r="T133" s="12"/>
      <c r="U133" s="12"/>
      <c r="V133" s="12"/>
      <c r="W133" s="12"/>
      <c r="X133" s="12"/>
    </row>
    <row r="134" spans="1:24" ht="12.95" customHeight="1" thickBot="1">
      <c r="A134" s="12"/>
      <c r="B134" s="12"/>
      <c r="C134" s="16"/>
      <c r="D134" s="12"/>
      <c r="E134" s="16"/>
      <c r="F134" s="16"/>
      <c r="G134" s="16"/>
      <c r="H134" s="641"/>
      <c r="I134" s="12"/>
      <c r="J134" s="12"/>
      <c r="K134" s="12"/>
      <c r="L134" s="12"/>
      <c r="M134" s="12"/>
      <c r="N134" s="12"/>
      <c r="O134" s="12"/>
      <c r="P134" s="12"/>
      <c r="Q134" s="12"/>
      <c r="R134" s="12"/>
      <c r="S134" s="12"/>
      <c r="T134" s="12"/>
      <c r="U134" s="12"/>
      <c r="V134" s="12"/>
      <c r="W134" s="12"/>
      <c r="X134" s="12"/>
    </row>
    <row r="135" spans="1:24" ht="12.95" customHeight="1">
      <c r="A135" s="12"/>
      <c r="B135" s="642" t="s">
        <v>489</v>
      </c>
      <c r="C135" s="643"/>
      <c r="D135" s="644"/>
      <c r="E135" s="645" t="s">
        <v>35</v>
      </c>
      <c r="F135" s="645" t="s">
        <v>34</v>
      </c>
      <c r="G135" s="646" t="s">
        <v>33</v>
      </c>
      <c r="H135" s="641"/>
      <c r="I135" s="12"/>
      <c r="J135" s="12"/>
      <c r="K135" s="12"/>
      <c r="L135" s="12"/>
      <c r="M135" s="12"/>
      <c r="N135" s="12"/>
      <c r="O135" s="12"/>
      <c r="P135" s="12"/>
      <c r="Q135" s="12"/>
      <c r="R135" s="12"/>
      <c r="S135" s="12"/>
      <c r="T135" s="12"/>
      <c r="U135" s="12"/>
      <c r="V135" s="12"/>
      <c r="W135" s="12"/>
      <c r="X135" s="12"/>
    </row>
    <row r="136" spans="1:24" ht="12.95" customHeight="1">
      <c r="A136" s="12"/>
      <c r="B136" s="647" t="s">
        <v>688</v>
      </c>
      <c r="C136" s="12"/>
      <c r="D136" s="50"/>
      <c r="E136" s="138">
        <f>'36-Mo-Fin-Pr'!P146/'36-Mo-Fin-Pr'!P134</f>
        <v>0.23163662099938351</v>
      </c>
      <c r="F136" s="138">
        <f>'36-Mo-Fin-Pr'!P227/'36-Mo-Fin-Pr'!P215</f>
        <v>0.24270811871512007</v>
      </c>
      <c r="G136" s="648">
        <f>'36-Mo-Fin-Pr'!P308/'36-Mo-Fin-Pr'!P296</f>
        <v>0.23260837744625421</v>
      </c>
      <c r="H136" s="641"/>
      <c r="I136" s="12"/>
      <c r="J136" s="12"/>
      <c r="K136" s="12"/>
      <c r="L136" s="12"/>
      <c r="M136" s="12"/>
      <c r="N136" s="12"/>
      <c r="O136" s="12"/>
      <c r="P136" s="12"/>
      <c r="Q136" s="12"/>
      <c r="R136" s="12"/>
      <c r="S136" s="12"/>
      <c r="T136" s="12"/>
      <c r="U136" s="12"/>
      <c r="V136" s="12"/>
      <c r="W136" s="12"/>
      <c r="X136" s="12"/>
    </row>
    <row r="137" spans="1:24" ht="12.95" customHeight="1">
      <c r="A137" s="12"/>
      <c r="B137" s="1276" t="s">
        <v>147</v>
      </c>
      <c r="C137" s="1277"/>
      <c r="D137" s="1277"/>
      <c r="E137" s="649"/>
      <c r="F137" s="649"/>
      <c r="G137" s="650"/>
      <c r="H137" s="641"/>
      <c r="I137" s="12"/>
      <c r="J137" s="12"/>
      <c r="K137" s="12"/>
      <c r="L137" s="12"/>
      <c r="M137" s="12"/>
      <c r="N137" s="12"/>
      <c r="O137" s="12"/>
      <c r="P137" s="12"/>
      <c r="Q137" s="12"/>
      <c r="R137" s="12"/>
      <c r="S137" s="12"/>
      <c r="T137" s="12"/>
      <c r="U137" s="12"/>
      <c r="V137" s="12"/>
      <c r="W137" s="12"/>
      <c r="X137" s="12"/>
    </row>
    <row r="138" spans="1:24" ht="12.95" customHeight="1">
      <c r="A138" s="12"/>
      <c r="B138" s="1276"/>
      <c r="C138" s="1277"/>
      <c r="D138" s="1277"/>
      <c r="E138" s="302"/>
      <c r="F138" s="302"/>
      <c r="G138" s="651"/>
      <c r="H138" s="652"/>
      <c r="I138" s="12"/>
      <c r="J138" s="653"/>
      <c r="K138" s="12"/>
      <c r="L138" s="12"/>
      <c r="M138" s="12"/>
      <c r="N138" s="12"/>
      <c r="O138" s="12"/>
      <c r="P138" s="12"/>
      <c r="Q138" s="12"/>
      <c r="R138" s="12"/>
      <c r="S138" s="12"/>
      <c r="T138" s="12"/>
      <c r="U138" s="12"/>
      <c r="V138" s="12"/>
      <c r="W138" s="12"/>
      <c r="X138" s="12"/>
    </row>
    <row r="139" spans="1:24" ht="12.95" customHeight="1">
      <c r="A139" s="12"/>
      <c r="B139" s="654"/>
      <c r="C139" s="16"/>
      <c r="D139" s="56"/>
      <c r="E139" s="302"/>
      <c r="F139" s="302"/>
      <c r="G139" s="651"/>
      <c r="H139" s="12"/>
      <c r="I139" s="12"/>
      <c r="J139" s="12"/>
      <c r="K139" s="12"/>
      <c r="L139" s="12"/>
      <c r="M139" s="12"/>
      <c r="N139" s="12"/>
      <c r="O139" s="12"/>
      <c r="P139" s="12"/>
    </row>
    <row r="140" spans="1:24" ht="12.95" customHeight="1">
      <c r="A140" s="12"/>
      <c r="B140" s="655" t="s">
        <v>491</v>
      </c>
      <c r="C140" s="16"/>
      <c r="D140" s="56"/>
      <c r="E140" s="302"/>
      <c r="F140" s="302"/>
      <c r="G140" s="651"/>
      <c r="H140" s="12"/>
      <c r="I140" s="12"/>
      <c r="J140" s="12"/>
      <c r="K140" s="12"/>
      <c r="L140" s="12"/>
      <c r="M140" s="12"/>
      <c r="N140" s="12"/>
      <c r="O140" s="12"/>
      <c r="P140" s="12"/>
    </row>
    <row r="141" spans="1:24" ht="12.95" customHeight="1">
      <c r="A141" s="12"/>
      <c r="B141" s="647" t="s">
        <v>689</v>
      </c>
      <c r="C141" s="56"/>
      <c r="D141" s="56"/>
      <c r="E141" s="138">
        <f>'36-Mo-Fin-Pr'!C65/'36-Mo-Fin-Pr'!P134</f>
        <v>8.4318541230685537E-2</v>
      </c>
      <c r="F141" s="138">
        <f>'36-Mo-Fin-Pr'!D65/'36-Mo-Fin-Pr'!P215</f>
        <v>8.5116102882107483E-2</v>
      </c>
      <c r="G141" s="648">
        <f>'36-Mo-Fin-Pr'!E65/'36-Mo-Fin-Pr'!P296</f>
        <v>8.3038367099299598E-2</v>
      </c>
      <c r="H141" s="12"/>
      <c r="I141" s="12"/>
      <c r="J141" s="12"/>
      <c r="K141" s="12"/>
      <c r="L141" s="12"/>
      <c r="M141" s="12"/>
      <c r="N141" s="12"/>
      <c r="O141" s="12"/>
      <c r="P141" s="12"/>
    </row>
    <row r="142" spans="1:24" ht="12.95" customHeight="1">
      <c r="A142" s="12"/>
      <c r="B142" s="1278" t="s">
        <v>146</v>
      </c>
      <c r="C142" s="1279"/>
      <c r="D142" s="1279"/>
      <c r="E142" s="656"/>
      <c r="F142" s="656"/>
      <c r="G142" s="650"/>
      <c r="H142" s="12"/>
      <c r="I142" s="12"/>
      <c r="J142" s="12"/>
      <c r="K142" s="12"/>
      <c r="L142" s="12"/>
      <c r="M142" s="12"/>
      <c r="N142" s="12"/>
      <c r="O142" s="12"/>
      <c r="P142" s="12"/>
    </row>
    <row r="143" spans="1:24" ht="12.95" customHeight="1">
      <c r="A143" s="12"/>
      <c r="B143" s="1278"/>
      <c r="C143" s="1279"/>
      <c r="D143" s="1279"/>
      <c r="E143" s="657"/>
      <c r="F143" s="657"/>
      <c r="G143" s="651"/>
      <c r="H143" s="12"/>
      <c r="I143" s="12"/>
      <c r="J143" s="12"/>
      <c r="K143" s="12"/>
      <c r="L143" s="12"/>
      <c r="M143" s="12"/>
      <c r="N143" s="12"/>
      <c r="O143" s="12"/>
      <c r="P143" s="12"/>
    </row>
    <row r="144" spans="1:24" ht="12.95" customHeight="1">
      <c r="A144" s="12"/>
      <c r="B144" s="658"/>
      <c r="C144" s="657"/>
      <c r="D144" s="657"/>
      <c r="E144" s="657"/>
      <c r="F144" s="657"/>
      <c r="G144" s="651"/>
      <c r="H144" s="12"/>
      <c r="I144" s="12"/>
      <c r="J144" s="12"/>
      <c r="K144" s="12"/>
      <c r="L144" s="12"/>
      <c r="M144" s="12"/>
      <c r="N144" s="12"/>
      <c r="O144" s="12"/>
      <c r="P144" s="12"/>
    </row>
    <row r="145" spans="1:16" ht="12.95" customHeight="1">
      <c r="A145" s="12"/>
      <c r="B145" s="655" t="s">
        <v>493</v>
      </c>
      <c r="C145" s="16"/>
      <c r="D145" s="56"/>
      <c r="E145" s="302"/>
      <c r="F145" s="302"/>
      <c r="G145" s="651"/>
      <c r="H145" s="12"/>
      <c r="I145" s="12"/>
      <c r="J145" s="12"/>
      <c r="K145" s="12"/>
      <c r="L145" s="12"/>
      <c r="M145" s="12"/>
      <c r="N145" s="12"/>
      <c r="O145" s="12"/>
      <c r="P145" s="12"/>
    </row>
    <row r="146" spans="1:16" ht="12.95" customHeight="1">
      <c r="A146" s="12"/>
      <c r="B146" s="647" t="s">
        <v>690</v>
      </c>
      <c r="C146" s="56"/>
      <c r="D146" s="56"/>
      <c r="E146" s="138">
        <f>'36-Mo-Fin-Pr'!C67/'36-Mo-Fin-Pr'!P134</f>
        <v>6.9478477974084893E-2</v>
      </c>
      <c r="F146" s="138">
        <f>'36-Mo-Fin-Pr'!D67/'36-Mo-Fin-Pr'!P215</f>
        <v>6.5092523787362258E-2</v>
      </c>
      <c r="G146" s="648">
        <f>'36-Mo-Fin-Pr'!E67/'36-Mo-Fin-Pr'!P296</f>
        <v>6.7410190127071862E-2</v>
      </c>
      <c r="H146" s="12"/>
      <c r="I146" s="12"/>
      <c r="J146" s="12"/>
      <c r="K146" s="12"/>
      <c r="L146" s="12"/>
      <c r="M146" s="12"/>
      <c r="N146" s="12"/>
      <c r="O146" s="12"/>
      <c r="P146" s="12"/>
    </row>
    <row r="147" spans="1:16" ht="12.95" customHeight="1">
      <c r="A147" s="12"/>
      <c r="B147" s="1280" t="s">
        <v>145</v>
      </c>
      <c r="C147" s="1281"/>
      <c r="D147" s="1281"/>
      <c r="E147" s="138"/>
      <c r="F147" s="138"/>
      <c r="G147" s="648"/>
      <c r="H147" s="12"/>
      <c r="I147" s="12"/>
      <c r="J147" s="12"/>
      <c r="K147" s="12"/>
      <c r="L147" s="12"/>
      <c r="M147" s="12"/>
      <c r="N147" s="12"/>
      <c r="O147" s="12"/>
      <c r="P147" s="12"/>
    </row>
    <row r="148" spans="1:16" ht="12.95" customHeight="1">
      <c r="B148" s="1280"/>
      <c r="C148" s="1281"/>
      <c r="D148" s="1281"/>
      <c r="E148" s="43"/>
      <c r="F148" s="43"/>
      <c r="G148" s="659"/>
      <c r="H148" s="649"/>
      <c r="I148" s="12"/>
      <c r="J148" s="12"/>
      <c r="K148" s="12"/>
      <c r="L148" s="12"/>
      <c r="M148" s="12"/>
      <c r="N148" s="12"/>
      <c r="O148" s="12"/>
      <c r="P148" s="12"/>
    </row>
    <row r="149" spans="1:16" ht="12.95" customHeight="1">
      <c r="A149" s="35"/>
      <c r="B149" s="1280"/>
      <c r="C149" s="1281"/>
      <c r="D149" s="1281"/>
      <c r="E149" s="43"/>
      <c r="F149" s="43"/>
      <c r="G149" s="659"/>
      <c r="H149" s="649"/>
      <c r="I149" s="12"/>
      <c r="J149" s="12"/>
      <c r="K149" s="12"/>
      <c r="L149" s="12"/>
      <c r="M149" s="12"/>
      <c r="N149" s="12"/>
      <c r="O149" s="12"/>
      <c r="P149" s="12"/>
    </row>
    <row r="150" spans="1:16" ht="12.95" customHeight="1" thickBot="1">
      <c r="A150" s="35"/>
      <c r="B150" s="660"/>
      <c r="C150" s="661"/>
      <c r="D150" s="662"/>
      <c r="E150" s="661"/>
      <c r="F150" s="661"/>
      <c r="G150" s="663"/>
      <c r="H150" s="649"/>
      <c r="I150" s="12"/>
      <c r="J150" s="12"/>
      <c r="K150" s="12"/>
      <c r="L150" s="12"/>
      <c r="M150" s="12"/>
      <c r="N150" s="12"/>
      <c r="O150" s="12"/>
      <c r="P150" s="12"/>
    </row>
    <row r="151" spans="1:16" ht="12.95" customHeight="1">
      <c r="A151" s="35"/>
      <c r="B151" s="12"/>
      <c r="C151" s="16"/>
      <c r="D151" s="56"/>
      <c r="E151" s="16"/>
      <c r="F151" s="16"/>
      <c r="G151" s="16"/>
      <c r="H151" s="649"/>
      <c r="I151" s="12"/>
      <c r="J151" s="12"/>
      <c r="K151" s="12"/>
      <c r="L151" s="12"/>
      <c r="M151" s="12"/>
      <c r="N151" s="12"/>
      <c r="O151" s="12"/>
      <c r="P151" s="12"/>
    </row>
    <row r="152" spans="1:16" ht="12.95" customHeight="1">
      <c r="A152" s="35"/>
      <c r="H152" s="649"/>
      <c r="I152" s="12"/>
      <c r="J152" s="12"/>
      <c r="K152" s="12"/>
      <c r="L152" s="12"/>
      <c r="M152" s="12"/>
      <c r="N152" s="12"/>
      <c r="O152" s="12"/>
      <c r="P152" s="12"/>
    </row>
    <row r="153" spans="1:16" ht="12.95" customHeight="1" thickBot="1">
      <c r="A153" s="12"/>
      <c r="H153" s="649"/>
      <c r="I153" s="12"/>
      <c r="J153" s="12"/>
      <c r="K153" s="12"/>
      <c r="L153" s="12"/>
      <c r="M153" s="12"/>
      <c r="N153" s="12"/>
      <c r="O153" s="12"/>
      <c r="P153" s="12"/>
    </row>
    <row r="154" spans="1:16" ht="12.95" customHeight="1">
      <c r="B154" s="664" t="s">
        <v>495</v>
      </c>
      <c r="C154" s="665"/>
      <c r="D154" s="666"/>
      <c r="E154" s="665" t="s">
        <v>35</v>
      </c>
      <c r="F154" s="665" t="s">
        <v>34</v>
      </c>
      <c r="G154" s="667" t="s">
        <v>33</v>
      </c>
      <c r="H154" s="649"/>
      <c r="I154" s="12"/>
      <c r="J154" s="12"/>
      <c r="K154" s="12"/>
      <c r="L154" s="12"/>
      <c r="M154" s="12"/>
      <c r="N154" s="12"/>
      <c r="O154" s="12"/>
      <c r="P154" s="12"/>
    </row>
    <row r="155" spans="1:16" ht="12.95" customHeight="1">
      <c r="A155" s="12"/>
      <c r="B155" s="668" t="s">
        <v>691</v>
      </c>
      <c r="C155" s="56"/>
      <c r="D155" s="50"/>
      <c r="E155" s="138">
        <f>'36-Mo-Fin-Pr'!P149/'36-Mo-Fin-Pr'!P134</f>
        <v>0.53089204201216522</v>
      </c>
      <c r="F155" s="138">
        <f>'36-Mo-Fin-Pr'!P230/'36-Mo-Fin-Pr'!P215</f>
        <v>0.52164433827531376</v>
      </c>
      <c r="G155" s="669">
        <f>'36-Mo-Fin-Pr'!P311/'36-Mo-Fin-Pr'!P296</f>
        <v>0.5328613901660465</v>
      </c>
      <c r="H155" s="649"/>
      <c r="I155" s="12"/>
      <c r="J155" s="12"/>
      <c r="K155" s="12"/>
      <c r="L155" s="12"/>
      <c r="M155" s="12"/>
      <c r="N155" s="12"/>
      <c r="O155" s="12"/>
      <c r="P155" s="12"/>
    </row>
    <row r="156" spans="1:16" ht="12.95" customHeight="1">
      <c r="A156" s="12"/>
      <c r="B156" s="1282" t="s">
        <v>144</v>
      </c>
      <c r="C156" s="1277"/>
      <c r="D156" s="1277"/>
      <c r="E156" s="656"/>
      <c r="F156" s="656"/>
      <c r="G156" s="670"/>
      <c r="H156" s="649"/>
      <c r="I156" s="12"/>
      <c r="J156" s="12"/>
      <c r="K156" s="12"/>
      <c r="L156" s="12"/>
      <c r="M156" s="12"/>
      <c r="N156" s="12"/>
      <c r="O156" s="12"/>
      <c r="P156" s="12"/>
    </row>
    <row r="157" spans="1:16" ht="12.95" customHeight="1" thickBot="1">
      <c r="A157" s="35"/>
      <c r="B157" s="1283"/>
      <c r="C157" s="1284"/>
      <c r="D157" s="1284"/>
      <c r="E157" s="671"/>
      <c r="F157" s="671"/>
      <c r="G157" s="672"/>
      <c r="H157" s="649"/>
      <c r="I157" s="12"/>
      <c r="J157" s="12"/>
      <c r="K157" s="12"/>
      <c r="L157" s="12"/>
      <c r="M157" s="12"/>
      <c r="N157" s="12"/>
      <c r="O157" s="12"/>
      <c r="P157" s="12"/>
    </row>
    <row r="158" spans="1:16" ht="12.95" customHeight="1">
      <c r="A158" s="35"/>
      <c r="B158" s="12"/>
      <c r="C158" s="649"/>
      <c r="D158" s="649"/>
      <c r="E158" s="649"/>
      <c r="F158" s="649"/>
      <c r="G158" s="12"/>
      <c r="H158" s="12"/>
      <c r="I158" s="12"/>
      <c r="J158" s="12"/>
      <c r="K158" s="12"/>
      <c r="L158" s="12"/>
      <c r="M158" s="12"/>
      <c r="N158" s="12"/>
      <c r="O158" s="12"/>
      <c r="P158" s="12"/>
    </row>
    <row r="159" spans="1:16" ht="12.95" customHeight="1">
      <c r="A159" s="12"/>
      <c r="B159" s="12"/>
      <c r="C159" s="12"/>
      <c r="D159" s="12"/>
      <c r="E159" s="12"/>
      <c r="F159" s="12"/>
      <c r="G159" s="12"/>
      <c r="H159" s="12"/>
      <c r="I159" s="12"/>
      <c r="J159" s="12"/>
      <c r="K159" s="12"/>
      <c r="L159" s="12"/>
      <c r="M159" s="12"/>
      <c r="N159" s="12"/>
      <c r="O159" s="12"/>
      <c r="P159" s="12"/>
    </row>
    <row r="160" spans="1:16" ht="12.95" customHeight="1">
      <c r="B160" s="12"/>
      <c r="C160" s="12"/>
      <c r="D160" s="12"/>
      <c r="E160" s="12"/>
      <c r="F160" s="12"/>
      <c r="G160" s="12"/>
      <c r="H160" s="12"/>
      <c r="I160" s="12"/>
      <c r="J160" s="12"/>
      <c r="K160" s="12"/>
      <c r="L160" s="12"/>
      <c r="M160" s="12"/>
      <c r="N160" s="12"/>
      <c r="O160" s="12"/>
      <c r="P160" s="12"/>
    </row>
    <row r="161" spans="1:24" ht="12.95" customHeight="1">
      <c r="A161" s="35"/>
      <c r="B161" s="12"/>
      <c r="C161" s="12"/>
      <c r="D161" s="12"/>
      <c r="E161" s="12"/>
      <c r="F161" s="12"/>
      <c r="G161" s="12"/>
      <c r="H161" s="12"/>
      <c r="I161" s="12"/>
      <c r="J161" s="12"/>
      <c r="K161" s="12"/>
      <c r="L161" s="12"/>
      <c r="M161" s="12"/>
      <c r="N161" s="12"/>
      <c r="O161" s="12"/>
      <c r="P161" s="12"/>
      <c r="Q161" s="12"/>
      <c r="R161" s="12"/>
      <c r="S161" s="12"/>
      <c r="T161" s="12"/>
      <c r="U161" s="12"/>
      <c r="V161" s="12"/>
      <c r="W161" s="12"/>
      <c r="X161" s="12"/>
    </row>
    <row r="162" spans="1:24" ht="12.95" customHeight="1">
      <c r="A162" s="35"/>
      <c r="B162" s="12"/>
      <c r="C162" s="12"/>
      <c r="D162" s="12"/>
      <c r="E162" s="12"/>
      <c r="F162" s="12"/>
      <c r="G162" s="12"/>
      <c r="H162" s="12"/>
      <c r="I162" s="12"/>
      <c r="J162" s="12"/>
      <c r="K162" s="12"/>
      <c r="L162" s="12"/>
      <c r="M162" s="12"/>
      <c r="N162" s="12"/>
      <c r="O162" s="12"/>
      <c r="P162" s="12"/>
      <c r="Q162" s="12"/>
      <c r="R162" s="12"/>
      <c r="S162" s="12"/>
      <c r="T162" s="12"/>
      <c r="U162" s="12"/>
      <c r="V162" s="12"/>
      <c r="W162" s="12"/>
      <c r="X162" s="12"/>
    </row>
    <row r="163" spans="1:24" ht="12.95" customHeight="1">
      <c r="A163" s="35"/>
      <c r="B163" s="12"/>
      <c r="C163" s="12"/>
      <c r="D163" s="12"/>
      <c r="E163" s="12"/>
      <c r="F163" s="12"/>
      <c r="G163" s="12"/>
      <c r="H163" s="12"/>
      <c r="I163" s="12"/>
      <c r="J163" s="12"/>
      <c r="K163" s="12"/>
      <c r="L163" s="12"/>
      <c r="M163" s="12"/>
      <c r="N163" s="12"/>
      <c r="O163" s="12"/>
      <c r="P163" s="12"/>
      <c r="Q163" s="12"/>
      <c r="R163" s="12"/>
      <c r="S163" s="12"/>
      <c r="T163" s="12"/>
      <c r="U163" s="12"/>
      <c r="V163" s="12"/>
      <c r="W163" s="12"/>
      <c r="X163" s="12"/>
    </row>
    <row r="164" spans="1:24" ht="12.95" customHeight="1">
      <c r="A164" s="35"/>
      <c r="B164" s="12"/>
      <c r="C164" s="12"/>
      <c r="D164" s="12"/>
      <c r="E164" s="12"/>
      <c r="F164" s="12"/>
      <c r="G164" s="12"/>
      <c r="H164" s="12"/>
      <c r="I164" s="12"/>
      <c r="J164" s="12"/>
      <c r="K164" s="12"/>
      <c r="L164" s="12"/>
      <c r="M164" s="12"/>
      <c r="N164" s="12"/>
      <c r="O164" s="12"/>
      <c r="P164" s="12"/>
      <c r="Q164" s="12"/>
      <c r="R164" s="12"/>
      <c r="S164" s="12"/>
      <c r="T164" s="12"/>
      <c r="U164" s="12"/>
      <c r="V164" s="12"/>
      <c r="W164" s="12"/>
      <c r="X164" s="12"/>
    </row>
    <row r="165" spans="1:24" ht="12.95" customHeight="1">
      <c r="A165" s="16"/>
      <c r="B165" s="50"/>
      <c r="C165" s="35"/>
      <c r="D165" s="673"/>
      <c r="E165" s="302"/>
      <c r="F165" s="674"/>
      <c r="G165" s="302"/>
      <c r="H165" s="302"/>
      <c r="I165" s="35"/>
      <c r="J165" s="12"/>
      <c r="K165" s="675"/>
      <c r="L165" s="675"/>
      <c r="M165" s="12"/>
      <c r="N165" s="12"/>
      <c r="O165" s="12"/>
      <c r="P165" s="675"/>
      <c r="Q165" s="12"/>
      <c r="R165" s="12"/>
      <c r="S165" s="12"/>
      <c r="T165" s="12"/>
      <c r="U165" s="12"/>
      <c r="V165" s="676"/>
      <c r="W165" s="676"/>
      <c r="X165" s="12"/>
    </row>
    <row r="166" spans="1:24" ht="12.95" customHeight="1">
      <c r="A166" s="16"/>
      <c r="B166" s="50"/>
      <c r="C166" s="35"/>
      <c r="D166" s="673"/>
      <c r="E166" s="302"/>
      <c r="F166" s="674"/>
      <c r="G166" s="302"/>
      <c r="H166" s="302"/>
      <c r="I166" s="35"/>
      <c r="J166" s="12"/>
      <c r="K166" s="675"/>
      <c r="L166" s="675"/>
      <c r="M166" s="12"/>
      <c r="N166" s="12"/>
      <c r="O166" s="12"/>
      <c r="P166" s="12"/>
      <c r="Q166" s="12"/>
      <c r="R166" s="12"/>
      <c r="S166" s="12"/>
      <c r="T166" s="12"/>
      <c r="U166" s="12"/>
      <c r="V166" s="676"/>
      <c r="W166" s="676"/>
      <c r="X166" s="12"/>
    </row>
    <row r="167" spans="1:24" ht="12.95" customHeight="1">
      <c r="A167" s="16"/>
      <c r="B167" s="50"/>
      <c r="C167" s="35"/>
      <c r="D167" s="673"/>
      <c r="E167" s="302"/>
      <c r="F167" s="674"/>
      <c r="G167" s="302"/>
      <c r="H167" s="302"/>
      <c r="I167" s="35"/>
      <c r="J167" s="12"/>
      <c r="K167" s="675"/>
      <c r="L167" s="675"/>
      <c r="M167" s="12"/>
      <c r="N167" s="12"/>
      <c r="O167" s="12"/>
      <c r="P167" s="12"/>
      <c r="Q167" s="12"/>
      <c r="R167" s="12"/>
      <c r="S167" s="12"/>
      <c r="T167" s="12"/>
      <c r="U167" s="12"/>
      <c r="V167" s="676"/>
      <c r="W167" s="676"/>
      <c r="X167" s="12"/>
    </row>
    <row r="168" spans="1:24" ht="12.95" customHeight="1">
      <c r="A168" s="16"/>
      <c r="B168" s="50"/>
      <c r="C168" s="35"/>
      <c r="D168" s="673"/>
      <c r="E168" s="302"/>
      <c r="F168" s="674"/>
      <c r="G168" s="302"/>
      <c r="H168" s="302"/>
      <c r="I168" s="35"/>
      <c r="J168" s="12"/>
      <c r="K168" s="12"/>
      <c r="L168" s="35"/>
      <c r="M168" s="12"/>
      <c r="N168" s="12"/>
      <c r="O168" s="12"/>
      <c r="P168" s="12"/>
      <c r="Q168" s="12"/>
      <c r="R168" s="12"/>
      <c r="S168" s="12"/>
      <c r="T168" s="12"/>
      <c r="U168" s="12"/>
      <c r="V168" s="676"/>
      <c r="W168" s="676"/>
      <c r="X168" s="12"/>
    </row>
    <row r="169" spans="1:24" ht="12.95" customHeight="1">
      <c r="A169" s="16"/>
      <c r="B169" s="12"/>
      <c r="C169" s="12"/>
      <c r="D169" s="56"/>
      <c r="E169" s="264"/>
      <c r="F169" s="16"/>
      <c r="G169" s="16"/>
      <c r="H169" s="16"/>
      <c r="I169" s="12"/>
      <c r="J169" s="12"/>
      <c r="K169" s="12"/>
      <c r="L169" s="12"/>
      <c r="M169" s="12"/>
      <c r="N169" s="12"/>
      <c r="O169" s="12"/>
      <c r="P169" s="12"/>
      <c r="Q169" s="12"/>
      <c r="R169" s="12"/>
      <c r="S169" s="12"/>
      <c r="T169" s="12"/>
      <c r="U169" s="12"/>
      <c r="V169" s="676"/>
      <c r="W169" s="676"/>
      <c r="X169" s="12"/>
    </row>
    <row r="170" spans="1:24" ht="15.75">
      <c r="A170" s="178">
        <v>4</v>
      </c>
      <c r="B170" s="124" t="s">
        <v>142</v>
      </c>
      <c r="C170" s="124"/>
      <c r="D170" s="12"/>
      <c r="E170" s="56"/>
      <c r="F170" s="264"/>
      <c r="G170" s="16"/>
      <c r="H170" s="16"/>
      <c r="I170" s="16"/>
      <c r="J170" s="12"/>
      <c r="K170" s="12"/>
      <c r="L170" s="12"/>
      <c r="M170" s="12"/>
      <c r="N170" s="12"/>
      <c r="O170" s="12"/>
      <c r="P170" s="12"/>
      <c r="Q170" s="12"/>
      <c r="R170" s="12"/>
      <c r="S170" s="12"/>
      <c r="T170" s="12"/>
      <c r="U170" s="12"/>
      <c r="V170" s="676"/>
      <c r="W170" s="676"/>
      <c r="X170" s="12"/>
    </row>
    <row r="171" spans="1:24" ht="12.95" customHeight="1" thickBot="1">
      <c r="A171" s="16"/>
      <c r="B171" s="16"/>
      <c r="C171" s="12"/>
      <c r="D171" s="12"/>
      <c r="E171" s="56"/>
      <c r="F171" s="264"/>
      <c r="G171" s="35"/>
      <c r="H171" s="16"/>
      <c r="I171" s="16"/>
      <c r="J171" s="12"/>
      <c r="K171" s="12"/>
      <c r="L171" s="12"/>
      <c r="M171" s="35"/>
      <c r="N171" s="12"/>
      <c r="O171" s="12"/>
      <c r="P171" s="12"/>
      <c r="Q171" s="12"/>
      <c r="R171" s="12"/>
      <c r="S171" s="12"/>
      <c r="T171" s="12"/>
      <c r="U171" s="12"/>
      <c r="V171" s="676"/>
      <c r="W171" s="676"/>
      <c r="X171" s="12"/>
    </row>
    <row r="172" spans="1:24" ht="12.95" customHeight="1" thickBot="1">
      <c r="A172" s="16"/>
      <c r="B172" s="12"/>
      <c r="C172" s="677"/>
      <c r="D172" s="678" t="s">
        <v>35</v>
      </c>
      <c r="E172" s="678" t="s">
        <v>34</v>
      </c>
      <c r="F172" s="678" t="s">
        <v>33</v>
      </c>
      <c r="G172" s="679" t="s">
        <v>94</v>
      </c>
      <c r="H172" s="12"/>
      <c r="I172" s="58"/>
      <c r="J172" s="12"/>
      <c r="K172" s="12"/>
      <c r="L172" s="12"/>
      <c r="M172" s="12"/>
      <c r="N172" s="12"/>
      <c r="O172" s="12"/>
      <c r="P172" s="12"/>
      <c r="Q172" s="12"/>
      <c r="R172" s="12"/>
      <c r="S172" s="12"/>
      <c r="T172" s="12"/>
      <c r="U172" s="12"/>
      <c r="V172" s="676"/>
      <c r="W172" s="676"/>
      <c r="X172" s="12"/>
    </row>
    <row r="173" spans="1:24" ht="12.95" customHeight="1" thickTop="1">
      <c r="A173" s="16"/>
      <c r="B173" s="12"/>
      <c r="C173" s="680" t="s">
        <v>113</v>
      </c>
      <c r="D173" s="681">
        <f>'36-Mo-Fin-Pr'!P134</f>
        <v>741236.7326067395</v>
      </c>
      <c r="E173" s="681">
        <f>'36-Mo-Fin-Pr'!P215</f>
        <v>786572.66642871359</v>
      </c>
      <c r="F173" s="681">
        <f>'36-Mo-Fin-Pr'!P296</f>
        <v>877389.60368615587</v>
      </c>
      <c r="G173" s="682">
        <f>SUM(D173:F173)</f>
        <v>2405199.0027216091</v>
      </c>
      <c r="H173" s="12"/>
      <c r="I173" s="58"/>
      <c r="J173" s="12"/>
      <c r="K173" s="12"/>
      <c r="L173" s="12"/>
      <c r="M173" s="12"/>
      <c r="N173" s="12"/>
      <c r="O173" s="12"/>
      <c r="P173" s="676"/>
      <c r="Q173" s="676"/>
      <c r="R173" s="12"/>
    </row>
    <row r="174" spans="1:24" ht="12.95" customHeight="1">
      <c r="B174" s="12"/>
      <c r="C174" s="683" t="s">
        <v>112</v>
      </c>
      <c r="D174" s="684">
        <f>'36-Mo-Fin-Pr'!P135</f>
        <v>176022.47791707361</v>
      </c>
      <c r="E174" s="684">
        <f>'36-Mo-Fin-Pr'!P216</f>
        <v>185353.91624240961</v>
      </c>
      <c r="F174" s="684">
        <f>'36-Mo-Fin-Pr'!P297</f>
        <v>205774.38764706533</v>
      </c>
      <c r="G174" s="685">
        <f>SUM(D174:F174)</f>
        <v>567150.78180654859</v>
      </c>
      <c r="H174" s="12"/>
      <c r="I174" s="58"/>
      <c r="J174" s="12"/>
      <c r="K174" s="12"/>
      <c r="L174" s="12"/>
      <c r="M174" s="12"/>
      <c r="N174" s="12"/>
      <c r="O174" s="12"/>
      <c r="P174" s="12"/>
      <c r="Q174" s="12"/>
      <c r="R174" s="12"/>
    </row>
    <row r="175" spans="1:24" ht="12.95" customHeight="1" thickBot="1">
      <c r="A175" s="411"/>
      <c r="B175" s="12"/>
      <c r="C175" s="686" t="s">
        <v>141</v>
      </c>
      <c r="D175" s="687">
        <f>'36-Mo-Fin-Pr'!P136</f>
        <v>565214.25468966586</v>
      </c>
      <c r="E175" s="687">
        <f>'36-Mo-Fin-Pr'!P217</f>
        <v>601218.75018630421</v>
      </c>
      <c r="F175" s="687">
        <f>'36-Mo-Fin-Pr'!P298</f>
        <v>671615.21603909042</v>
      </c>
      <c r="G175" s="688">
        <f>SUM(D175:F175)</f>
        <v>1838048.2209150605</v>
      </c>
      <c r="H175" s="689"/>
      <c r="I175" s="58"/>
      <c r="J175" s="12"/>
      <c r="K175" s="12"/>
      <c r="L175" s="12"/>
      <c r="M175" s="12"/>
      <c r="N175" s="12"/>
      <c r="O175" s="12"/>
      <c r="P175" s="12"/>
      <c r="Q175" s="12"/>
      <c r="R175" s="12"/>
    </row>
    <row r="176" spans="1:24" ht="12.95" customHeight="1" thickBot="1">
      <c r="A176" s="411"/>
      <c r="B176" s="689"/>
      <c r="J176" s="12"/>
      <c r="K176" s="12"/>
      <c r="L176" s="12"/>
      <c r="M176" s="12"/>
      <c r="N176" s="12"/>
      <c r="O176" s="12"/>
      <c r="P176" s="12"/>
      <c r="Q176" s="12"/>
      <c r="R176" s="12"/>
    </row>
    <row r="177" spans="1:25" ht="12.95" customHeight="1" thickBot="1">
      <c r="A177" s="411"/>
      <c r="B177" s="47"/>
      <c r="D177" s="690"/>
      <c r="E177" s="678" t="s">
        <v>35</v>
      </c>
      <c r="F177" s="678" t="s">
        <v>34</v>
      </c>
      <c r="G177" s="678" t="s">
        <v>33</v>
      </c>
      <c r="H177" s="679" t="s">
        <v>94</v>
      </c>
      <c r="I177" s="47"/>
      <c r="J177" s="12"/>
      <c r="K177" s="12"/>
      <c r="L177" s="12"/>
      <c r="M177" s="12"/>
      <c r="N177" s="12"/>
      <c r="O177" s="12"/>
      <c r="P177" s="12"/>
      <c r="Q177" s="12"/>
      <c r="R177" s="12"/>
    </row>
    <row r="178" spans="1:25" ht="12.95" customHeight="1" thickTop="1">
      <c r="B178" s="47"/>
      <c r="C178" s="691"/>
      <c r="D178" s="692" t="s">
        <v>106</v>
      </c>
      <c r="E178" s="693">
        <f>'36-Mo-Fin-Pr'!P149</f>
        <v>393516.68258801725</v>
      </c>
      <c r="F178" s="693">
        <f>'36-Mo-Fin-Pr'!P230</f>
        <v>410311.17808465537</v>
      </c>
      <c r="G178" s="693">
        <f>'36-Mo-Fin-Pr'!P311</f>
        <v>467527.04393744166</v>
      </c>
      <c r="H178" s="694">
        <f>SUM(E178:G178)</f>
        <v>1271354.9046101142</v>
      </c>
      <c r="J178" s="12"/>
      <c r="K178" s="12"/>
      <c r="L178" s="12"/>
      <c r="M178" s="12"/>
      <c r="N178" s="12"/>
      <c r="O178" s="12"/>
      <c r="P178" s="12"/>
      <c r="Q178" s="12"/>
      <c r="R178" s="12"/>
      <c r="S178" s="12"/>
    </row>
    <row r="179" spans="1:25" ht="12.95" customHeight="1" thickBot="1">
      <c r="B179" s="47"/>
      <c r="D179" s="695" t="s">
        <v>123</v>
      </c>
      <c r="E179" s="696">
        <f>'36-Mo-Fin-Pr'!P146</f>
        <v>171697.57210164869</v>
      </c>
      <c r="F179" s="696">
        <f>'36-Mo-Fin-Pr'!P227</f>
        <v>190907.57210164875</v>
      </c>
      <c r="G179" s="696">
        <f>'36-Mo-Fin-Pr'!P308</f>
        <v>204088.17210164873</v>
      </c>
      <c r="H179" s="697">
        <f>SUM(E179:G179)</f>
        <v>566693.3163049462</v>
      </c>
      <c r="J179" s="12"/>
      <c r="K179" s="12"/>
      <c r="L179" s="12"/>
      <c r="M179" s="12"/>
      <c r="N179" s="12"/>
      <c r="O179" s="12"/>
      <c r="P179" s="12"/>
      <c r="Q179" s="12"/>
      <c r="R179" s="12"/>
      <c r="S179" s="12"/>
    </row>
    <row r="180" spans="1:25" ht="12.95" customHeight="1" thickBot="1">
      <c r="B180" s="47"/>
      <c r="J180" s="12"/>
      <c r="K180" s="12"/>
      <c r="L180" s="12"/>
      <c r="M180" s="12"/>
      <c r="N180" s="12"/>
      <c r="O180" s="12"/>
      <c r="P180" s="12"/>
      <c r="Q180" s="12"/>
      <c r="R180" s="12"/>
      <c r="S180" s="12"/>
    </row>
    <row r="181" spans="1:25" ht="12.95" customHeight="1" thickBot="1">
      <c r="B181" s="12"/>
      <c r="E181" s="690"/>
      <c r="F181" s="678" t="s">
        <v>35</v>
      </c>
      <c r="G181" s="678" t="s">
        <v>34</v>
      </c>
      <c r="H181" s="678" t="s">
        <v>33</v>
      </c>
      <c r="I181" s="679" t="s">
        <v>94</v>
      </c>
      <c r="J181" s="12"/>
      <c r="K181" s="12"/>
      <c r="L181" s="12"/>
      <c r="M181" s="12"/>
      <c r="N181" s="12"/>
      <c r="O181" s="12"/>
      <c r="P181" s="12"/>
      <c r="Q181" s="12"/>
      <c r="R181" s="12"/>
      <c r="S181" s="12"/>
    </row>
    <row r="182" spans="1:25" ht="12.95" customHeight="1" thickTop="1">
      <c r="B182" s="12"/>
      <c r="E182" s="698" t="s">
        <v>504</v>
      </c>
      <c r="F182" s="699">
        <f>'36-Mo-Fin-Pr'!C67</f>
        <v>51500</v>
      </c>
      <c r="G182" s="699">
        <f>'36-Mo-Fin-Pr'!D67</f>
        <v>51200</v>
      </c>
      <c r="H182" s="699">
        <f>'36-Mo-Fin-Pr'!E67</f>
        <v>59145</v>
      </c>
      <c r="I182" s="700">
        <f>SUM(F182:H182)</f>
        <v>161845</v>
      </c>
      <c r="J182" s="12"/>
      <c r="K182" s="12"/>
      <c r="L182" s="12"/>
      <c r="M182" s="12"/>
      <c r="N182" s="12"/>
      <c r="O182" s="12"/>
      <c r="P182" s="12"/>
      <c r="Q182" s="12"/>
      <c r="R182" s="12"/>
      <c r="S182" s="12"/>
    </row>
    <row r="183" spans="1:25" ht="12.95" customHeight="1">
      <c r="B183" s="12"/>
      <c r="C183" s="691"/>
      <c r="D183" s="701"/>
      <c r="E183" s="702" t="s">
        <v>636</v>
      </c>
      <c r="F183" s="703">
        <f>'36-Mo-Fin-Pr'!C65</f>
        <v>62500</v>
      </c>
      <c r="G183" s="703">
        <f>'36-Mo-Fin-Pr'!D65</f>
        <v>66950</v>
      </c>
      <c r="H183" s="703">
        <f>'36-Mo-Fin-Pr'!E65</f>
        <v>72857</v>
      </c>
      <c r="I183" s="704">
        <f>SUM(F183:H183)</f>
        <v>202307</v>
      </c>
      <c r="J183" s="12"/>
      <c r="K183" s="12"/>
      <c r="L183" s="12"/>
      <c r="M183" s="12"/>
      <c r="N183" s="12"/>
      <c r="O183" s="12"/>
      <c r="P183" s="12"/>
      <c r="Q183" s="12"/>
      <c r="R183" s="12"/>
      <c r="S183" s="12"/>
    </row>
    <row r="184" spans="1:25" ht="12.95" customHeight="1" thickBot="1">
      <c r="B184" s="12"/>
      <c r="E184" s="695" t="s">
        <v>140</v>
      </c>
      <c r="F184" s="705">
        <f>E179-F182-F183+'36-Mo-Fin-Pr'!P148</f>
        <v>65197.572101648693</v>
      </c>
      <c r="G184" s="705">
        <f>F179-G182-G183+'36-Mo-Fin-Pr'!P229</f>
        <v>87007.572101648751</v>
      </c>
      <c r="H184" s="705">
        <f>G179-H182-H183+'36-Mo-Fin-Pr'!P310</f>
        <v>84911.172101648728</v>
      </c>
      <c r="I184" s="706">
        <f>SUM(F184:H184)</f>
        <v>237116.31630494617</v>
      </c>
      <c r="J184" s="12"/>
      <c r="K184" s="12"/>
      <c r="L184" s="12"/>
      <c r="M184" s="12"/>
      <c r="N184" s="12"/>
      <c r="O184" s="12"/>
      <c r="P184" s="12"/>
      <c r="Q184" s="12"/>
      <c r="R184" s="12"/>
      <c r="S184" s="12"/>
    </row>
    <row r="185" spans="1:25" ht="12.95" customHeight="1">
      <c r="B185" s="12"/>
      <c r="C185" s="12"/>
      <c r="D185" s="16"/>
      <c r="E185" s="12"/>
      <c r="F185" s="12"/>
      <c r="G185" s="12"/>
      <c r="H185" s="12"/>
      <c r="I185" s="12"/>
      <c r="J185" s="12"/>
      <c r="K185" s="12"/>
      <c r="L185" s="12"/>
      <c r="M185" s="12"/>
      <c r="N185" s="12"/>
      <c r="O185" s="12"/>
      <c r="P185" s="12"/>
      <c r="Q185" s="12"/>
      <c r="R185" s="12"/>
      <c r="S185" s="12"/>
    </row>
    <row r="186" spans="1:25" ht="12.95" customHeight="1">
      <c r="B186" s="12"/>
      <c r="C186" s="12"/>
      <c r="D186" s="16"/>
      <c r="E186" s="12"/>
      <c r="F186" s="12"/>
      <c r="G186" s="12"/>
      <c r="H186" s="12"/>
      <c r="I186" s="12"/>
      <c r="J186" s="12"/>
      <c r="K186" s="12"/>
      <c r="L186" s="12"/>
      <c r="M186" s="12"/>
      <c r="N186" s="12"/>
      <c r="O186" s="12"/>
      <c r="P186" s="12"/>
      <c r="Q186" s="12"/>
      <c r="R186" s="12"/>
      <c r="S186" s="12"/>
    </row>
    <row r="187" spans="1:25" ht="12.95" customHeight="1">
      <c r="B187" s="12"/>
      <c r="C187" s="12"/>
      <c r="D187" s="16"/>
      <c r="E187" s="12"/>
      <c r="F187" s="12"/>
      <c r="G187" s="12"/>
      <c r="H187" s="12"/>
      <c r="I187" s="12"/>
      <c r="J187" s="12"/>
      <c r="K187" s="12"/>
      <c r="L187" s="12"/>
      <c r="M187" s="12"/>
      <c r="N187" s="12"/>
      <c r="O187" s="12"/>
      <c r="P187" s="12"/>
      <c r="Q187" s="12"/>
      <c r="R187" s="12"/>
      <c r="S187" s="12"/>
    </row>
    <row r="188" spans="1:25" ht="12.95" customHeight="1">
      <c r="B188" s="12"/>
      <c r="C188" s="12"/>
      <c r="D188" s="12"/>
      <c r="E188" s="12"/>
      <c r="F188" s="12"/>
      <c r="G188" s="12"/>
      <c r="H188" s="12"/>
      <c r="I188" s="12"/>
      <c r="J188" s="12"/>
      <c r="K188" s="12"/>
      <c r="L188" s="12"/>
      <c r="M188" s="12"/>
      <c r="N188" s="12"/>
      <c r="O188" s="12"/>
      <c r="P188" s="12"/>
      <c r="Q188" s="12"/>
      <c r="R188" s="12"/>
      <c r="S188" s="12"/>
    </row>
    <row r="189" spans="1:25" ht="12.95" customHeight="1">
      <c r="B189" s="12"/>
      <c r="C189" s="707"/>
      <c r="D189" s="12"/>
      <c r="E189" s="12"/>
      <c r="F189" s="12"/>
      <c r="G189" s="35"/>
      <c r="H189" s="12"/>
      <c r="I189" s="12"/>
      <c r="J189" s="12"/>
      <c r="K189" s="12"/>
      <c r="L189" s="12"/>
      <c r="M189" s="12"/>
      <c r="N189" s="12"/>
      <c r="O189" s="12"/>
      <c r="P189" s="12"/>
      <c r="Q189" s="12"/>
      <c r="R189" s="12"/>
      <c r="S189" s="12"/>
    </row>
    <row r="190" spans="1:25" ht="12.95" customHeight="1">
      <c r="B190" s="93"/>
      <c r="C190" s="35"/>
      <c r="D190" s="12"/>
      <c r="E190" s="16"/>
      <c r="F190" s="12"/>
      <c r="G190" s="649"/>
      <c r="H190" s="12"/>
      <c r="I190" s="12"/>
      <c r="J190" s="12"/>
      <c r="K190" s="12"/>
      <c r="L190" s="12"/>
      <c r="M190" s="12"/>
      <c r="N190" s="12"/>
      <c r="O190" s="35"/>
      <c r="P190" s="12"/>
      <c r="Q190" s="12"/>
      <c r="R190" s="12"/>
      <c r="S190" s="12"/>
      <c r="T190" s="12"/>
      <c r="U190" s="12"/>
      <c r="V190" s="12"/>
      <c r="W190" s="12"/>
      <c r="X190" s="12"/>
      <c r="Y190" s="12"/>
    </row>
    <row r="191" spans="1:25" ht="12.95" customHeight="1">
      <c r="B191" s="35"/>
      <c r="C191" s="35"/>
      <c r="D191" s="12"/>
      <c r="E191" s="16"/>
      <c r="F191" s="12"/>
      <c r="G191" s="649"/>
      <c r="H191" s="12"/>
      <c r="I191" s="12"/>
      <c r="J191" s="12"/>
      <c r="K191" s="12"/>
      <c r="L191" s="12"/>
      <c r="M191" s="12"/>
      <c r="N191" s="12"/>
      <c r="O191" s="35"/>
      <c r="P191" s="12"/>
      <c r="Q191" s="12"/>
      <c r="R191" s="12"/>
      <c r="S191" s="12"/>
      <c r="T191" s="12"/>
      <c r="U191" s="12"/>
      <c r="V191" s="12"/>
      <c r="W191" s="12"/>
      <c r="X191" s="12"/>
      <c r="Y191" s="12"/>
    </row>
    <row r="192" spans="1:25" ht="12.95" customHeight="1">
      <c r="B192" s="93"/>
      <c r="C192" s="35"/>
      <c r="D192" s="12"/>
      <c r="E192" s="16"/>
      <c r="F192" s="12"/>
      <c r="G192" s="708"/>
      <c r="H192" s="12"/>
      <c r="I192" s="12"/>
      <c r="J192" s="12"/>
      <c r="K192" s="12"/>
      <c r="L192" s="12"/>
      <c r="M192" s="12"/>
      <c r="N192" s="12"/>
      <c r="O192" s="35"/>
      <c r="P192" s="12"/>
      <c r="Q192" s="12"/>
      <c r="R192" s="12"/>
      <c r="S192" s="12"/>
      <c r="T192" s="12"/>
      <c r="U192" s="12"/>
      <c r="V192" s="12"/>
      <c r="W192" s="12"/>
      <c r="X192" s="12"/>
      <c r="Y192" s="12"/>
    </row>
    <row r="193" spans="2:25" ht="12.95" customHeight="1">
      <c r="B193" s="12"/>
      <c r="C193" s="12"/>
      <c r="D193" s="12"/>
      <c r="E193" s="12"/>
      <c r="F193" s="12"/>
      <c r="G193" s="708"/>
      <c r="H193" s="12"/>
      <c r="I193" s="12"/>
      <c r="J193" s="12"/>
      <c r="K193" s="12"/>
      <c r="L193" s="12"/>
      <c r="M193" s="12"/>
      <c r="N193" s="12"/>
      <c r="O193" s="12"/>
      <c r="P193" s="12"/>
      <c r="Q193" s="12"/>
      <c r="R193" s="12"/>
      <c r="S193" s="12"/>
      <c r="T193" s="12"/>
      <c r="U193" s="12"/>
      <c r="V193" s="12"/>
      <c r="W193" s="12"/>
      <c r="X193" s="12"/>
      <c r="Y193" s="12"/>
    </row>
    <row r="194" spans="2:25" ht="12.95" customHeight="1">
      <c r="B194" s="35"/>
      <c r="C194" s="12"/>
      <c r="D194" s="12"/>
      <c r="E194" s="12"/>
      <c r="F194" s="12"/>
      <c r="G194" s="12"/>
      <c r="H194" s="12"/>
      <c r="I194" s="12"/>
      <c r="J194" s="12"/>
      <c r="K194" s="12"/>
      <c r="L194" s="12"/>
      <c r="M194" s="12"/>
      <c r="N194" s="12"/>
      <c r="O194" s="12"/>
      <c r="P194" s="12"/>
      <c r="Q194" s="12"/>
      <c r="R194" s="12"/>
      <c r="S194" s="12"/>
      <c r="T194" s="12"/>
      <c r="U194" s="12"/>
      <c r="V194" s="12"/>
      <c r="W194" s="12"/>
      <c r="X194" s="12"/>
      <c r="Y194" s="12"/>
    </row>
    <row r="195" spans="2:25" ht="12.95" customHeight="1">
      <c r="B195" s="35"/>
      <c r="C195" s="12"/>
      <c r="D195" s="12"/>
      <c r="E195" s="12"/>
      <c r="F195" s="12"/>
      <c r="G195" s="12"/>
      <c r="H195" s="12"/>
      <c r="I195" s="12"/>
      <c r="J195" s="12"/>
      <c r="K195" s="12"/>
      <c r="L195" s="12"/>
      <c r="M195" s="12"/>
      <c r="N195" s="12"/>
      <c r="O195" s="12"/>
      <c r="P195" s="12"/>
      <c r="Q195" s="12"/>
      <c r="R195" s="12"/>
      <c r="S195" s="12"/>
      <c r="T195" s="12"/>
      <c r="U195" s="12"/>
      <c r="V195" s="12"/>
      <c r="W195" s="12"/>
      <c r="X195" s="12"/>
      <c r="Y195" s="12"/>
    </row>
    <row r="196" spans="2:25" ht="12.95" customHeight="1">
      <c r="B196" s="35"/>
      <c r="C196" s="12"/>
      <c r="D196" s="12"/>
      <c r="E196" s="12"/>
      <c r="F196" s="12"/>
      <c r="G196" s="12"/>
      <c r="H196" s="12"/>
      <c r="I196" s="12"/>
      <c r="J196" s="12"/>
      <c r="K196" s="12"/>
      <c r="L196" s="12"/>
      <c r="M196" s="12"/>
      <c r="N196" s="12"/>
      <c r="O196" s="12"/>
      <c r="P196" s="12"/>
      <c r="Q196" s="12"/>
      <c r="R196" s="12"/>
      <c r="S196" s="12"/>
      <c r="T196" s="12"/>
      <c r="U196" s="12"/>
      <c r="V196" s="12"/>
      <c r="W196" s="12"/>
      <c r="X196" s="12"/>
      <c r="Y196" s="12"/>
    </row>
    <row r="197" spans="2:25" ht="12.95" customHeight="1">
      <c r="B197" s="35"/>
      <c r="C197" s="12"/>
      <c r="D197" s="12"/>
      <c r="E197" s="12"/>
      <c r="F197" s="12"/>
      <c r="G197" s="12"/>
      <c r="H197" s="12"/>
      <c r="I197" s="12"/>
      <c r="J197" s="12"/>
      <c r="K197" s="12"/>
      <c r="L197" s="12"/>
      <c r="M197" s="12"/>
      <c r="N197" s="12"/>
      <c r="O197" s="12"/>
      <c r="P197" s="12"/>
      <c r="Q197" s="12"/>
      <c r="R197" s="12"/>
      <c r="S197" s="12"/>
      <c r="T197" s="12"/>
      <c r="U197" s="12"/>
      <c r="V197" s="12"/>
      <c r="W197" s="12"/>
      <c r="X197" s="12"/>
      <c r="Y197" s="12"/>
    </row>
    <row r="198" spans="2:25" ht="12.95" customHeight="1">
      <c r="B198" s="35"/>
      <c r="C198" s="12"/>
      <c r="D198" s="12"/>
      <c r="E198" s="12"/>
      <c r="F198" s="12"/>
      <c r="G198" s="12"/>
      <c r="H198" s="12"/>
      <c r="I198" s="12"/>
      <c r="J198" s="12"/>
      <c r="K198" s="12"/>
      <c r="L198" s="12"/>
      <c r="M198" s="12"/>
      <c r="N198" s="12"/>
      <c r="O198" s="12"/>
      <c r="P198" s="12"/>
      <c r="Q198" s="12"/>
      <c r="R198" s="12"/>
      <c r="S198" s="12"/>
      <c r="T198" s="12"/>
      <c r="U198" s="12"/>
      <c r="V198" s="12"/>
      <c r="W198" s="12"/>
      <c r="X198" s="12"/>
      <c r="Y198" s="12"/>
    </row>
    <row r="199" spans="2:25" ht="12.95" customHeight="1">
      <c r="B199" s="35"/>
      <c r="C199" s="12"/>
      <c r="D199" s="12"/>
      <c r="E199" s="12"/>
      <c r="F199" s="12"/>
      <c r="G199" s="12"/>
      <c r="H199" s="12"/>
      <c r="I199" s="12"/>
      <c r="J199" s="12"/>
      <c r="K199" s="12"/>
      <c r="L199" s="12"/>
      <c r="M199" s="12"/>
      <c r="N199" s="12"/>
      <c r="O199" s="12"/>
      <c r="P199" s="12"/>
      <c r="Q199" s="12"/>
      <c r="R199" s="12"/>
      <c r="S199" s="12"/>
      <c r="T199" s="12"/>
      <c r="U199" s="12"/>
      <c r="V199" s="12"/>
      <c r="W199" s="12"/>
      <c r="X199" s="12"/>
      <c r="Y199" s="12"/>
    </row>
    <row r="200" spans="2:25" ht="12.95" customHeight="1">
      <c r="B200" s="35"/>
      <c r="C200" s="12"/>
      <c r="D200" s="12"/>
      <c r="E200" s="12"/>
      <c r="F200" s="12"/>
      <c r="G200" s="12"/>
      <c r="H200" s="12"/>
      <c r="I200" s="12"/>
      <c r="J200" s="12"/>
      <c r="K200" s="12"/>
      <c r="L200" s="12"/>
      <c r="M200" s="12"/>
      <c r="N200" s="12"/>
      <c r="O200" s="12"/>
      <c r="P200" s="12"/>
      <c r="Q200" s="12"/>
      <c r="R200" s="12"/>
      <c r="S200" s="12"/>
      <c r="T200" s="12"/>
      <c r="U200" s="12"/>
      <c r="V200" s="12"/>
      <c r="W200" s="12"/>
      <c r="X200" s="12"/>
      <c r="Y200" s="12"/>
    </row>
    <row r="201" spans="2:25" ht="12.95" customHeight="1">
      <c r="B201" s="35"/>
      <c r="C201" s="12"/>
      <c r="D201" s="12"/>
      <c r="E201" s="12"/>
      <c r="F201" s="12"/>
      <c r="G201" s="12"/>
      <c r="H201" s="12"/>
      <c r="I201" s="12"/>
      <c r="J201" s="12"/>
      <c r="K201" s="12"/>
      <c r="L201" s="12"/>
      <c r="M201" s="12"/>
      <c r="N201" s="12"/>
      <c r="O201" s="12"/>
      <c r="P201" s="12"/>
      <c r="Q201" s="12"/>
      <c r="R201" s="12"/>
      <c r="S201" s="12"/>
      <c r="T201" s="12"/>
      <c r="U201" s="12"/>
      <c r="V201" s="12"/>
      <c r="W201" s="12"/>
      <c r="X201" s="12"/>
      <c r="Y201" s="12"/>
    </row>
    <row r="202" spans="2:25" ht="12.95" customHeight="1">
      <c r="B202" s="35"/>
      <c r="C202" s="12"/>
      <c r="D202" s="12"/>
      <c r="E202" s="12"/>
      <c r="F202" s="12"/>
      <c r="G202" s="12"/>
      <c r="H202" s="12"/>
      <c r="I202" s="12"/>
      <c r="J202" s="12"/>
      <c r="K202" s="12"/>
      <c r="L202" s="12"/>
      <c r="M202" s="12"/>
      <c r="N202" s="12"/>
      <c r="O202" s="12"/>
      <c r="P202" s="12"/>
      <c r="Q202" s="12"/>
      <c r="R202" s="12"/>
      <c r="S202" s="12"/>
      <c r="T202" s="12"/>
      <c r="U202" s="12"/>
      <c r="V202" s="12"/>
      <c r="W202" s="12"/>
      <c r="X202" s="12"/>
      <c r="Y202" s="12"/>
    </row>
    <row r="203" spans="2:25" ht="12.95" customHeight="1">
      <c r="B203" s="35"/>
      <c r="C203" s="12"/>
      <c r="D203" s="12"/>
      <c r="E203" s="12"/>
      <c r="F203" s="12"/>
      <c r="G203" s="12"/>
      <c r="H203" s="12"/>
      <c r="I203" s="12"/>
      <c r="J203" s="12"/>
      <c r="K203" s="12"/>
      <c r="L203" s="12"/>
      <c r="M203" s="12"/>
      <c r="N203" s="12"/>
      <c r="O203" s="12"/>
      <c r="P203" s="12"/>
      <c r="Q203" s="12"/>
      <c r="R203" s="12"/>
      <c r="S203" s="12"/>
      <c r="T203" s="12"/>
      <c r="U203" s="12"/>
      <c r="V203" s="12"/>
      <c r="W203" s="12"/>
      <c r="X203" s="12"/>
      <c r="Y203" s="12"/>
    </row>
    <row r="204" spans="2:25" ht="12.95" customHeight="1">
      <c r="B204" s="35"/>
      <c r="C204" s="12"/>
      <c r="D204" s="12"/>
      <c r="E204" s="12"/>
      <c r="F204" s="12"/>
      <c r="G204" s="12"/>
      <c r="H204" s="12"/>
      <c r="I204" s="12"/>
      <c r="J204" s="12"/>
      <c r="K204" s="12"/>
      <c r="L204" s="12"/>
      <c r="M204" s="12"/>
      <c r="N204" s="12"/>
      <c r="O204" s="12"/>
      <c r="P204" s="12"/>
      <c r="Q204" s="12"/>
      <c r="R204" s="12"/>
      <c r="S204" s="12"/>
      <c r="T204" s="12"/>
      <c r="U204" s="12"/>
      <c r="V204" s="12"/>
      <c r="W204" s="12"/>
      <c r="X204" s="12"/>
      <c r="Y204" s="12"/>
    </row>
    <row r="205" spans="2:25" ht="12.95" customHeight="1">
      <c r="B205" s="35"/>
      <c r="C205" s="12"/>
      <c r="D205" s="12"/>
      <c r="E205" s="12"/>
      <c r="F205" s="12"/>
      <c r="G205" s="12"/>
      <c r="H205" s="12"/>
      <c r="I205" s="12"/>
      <c r="J205" s="12"/>
      <c r="K205" s="12"/>
      <c r="L205" s="12"/>
      <c r="M205" s="12"/>
      <c r="N205" s="12"/>
      <c r="O205" s="12"/>
      <c r="P205" s="12"/>
      <c r="Q205" s="12"/>
      <c r="R205" s="12"/>
      <c r="S205" s="12"/>
      <c r="T205" s="12"/>
      <c r="U205" s="12"/>
      <c r="V205" s="12"/>
      <c r="W205" s="12"/>
      <c r="X205" s="12"/>
      <c r="Y205" s="12"/>
    </row>
    <row r="206" spans="2:25" ht="12.95" customHeight="1">
      <c r="B206" s="35"/>
      <c r="C206" s="12"/>
      <c r="D206" s="12"/>
      <c r="E206" s="12"/>
      <c r="F206" s="12"/>
      <c r="G206" s="12"/>
      <c r="H206" s="12"/>
      <c r="I206" s="12"/>
      <c r="J206" s="12"/>
      <c r="K206" s="12"/>
      <c r="L206" s="12"/>
      <c r="M206" s="12"/>
      <c r="N206" s="12"/>
      <c r="O206" s="12"/>
      <c r="P206" s="12"/>
      <c r="Q206" s="12"/>
      <c r="R206" s="12"/>
      <c r="S206" s="12"/>
      <c r="T206" s="12"/>
      <c r="U206" s="12"/>
      <c r="V206" s="12"/>
      <c r="W206" s="12"/>
      <c r="X206" s="12"/>
      <c r="Y206" s="12"/>
    </row>
    <row r="207" spans="2:25" ht="12.95" customHeight="1">
      <c r="B207" s="35"/>
      <c r="C207" s="12"/>
      <c r="D207" s="12"/>
      <c r="E207" s="12"/>
      <c r="F207" s="12"/>
      <c r="G207" s="12"/>
      <c r="H207" s="12"/>
      <c r="I207" s="12"/>
      <c r="J207" s="12"/>
      <c r="K207" s="12"/>
      <c r="L207" s="12"/>
      <c r="M207" s="12"/>
      <c r="N207" s="12"/>
      <c r="O207" s="12"/>
      <c r="P207" s="12"/>
      <c r="Q207" s="12"/>
      <c r="R207" s="12"/>
      <c r="S207" s="12"/>
      <c r="T207" s="12"/>
      <c r="U207" s="12"/>
      <c r="V207" s="12"/>
      <c r="W207" s="12"/>
      <c r="X207" s="12"/>
      <c r="Y207" s="12"/>
    </row>
    <row r="208" spans="2:25" ht="12.95" customHeight="1">
      <c r="B208" s="35"/>
      <c r="C208" s="12"/>
      <c r="D208" s="12"/>
      <c r="E208" s="12"/>
      <c r="F208" s="12"/>
      <c r="G208" s="12"/>
      <c r="H208" s="12"/>
      <c r="I208" s="12"/>
      <c r="J208" s="12"/>
      <c r="K208" s="12"/>
      <c r="L208" s="12"/>
      <c r="M208" s="12"/>
      <c r="N208" s="12"/>
      <c r="O208" s="12"/>
      <c r="P208" s="12"/>
      <c r="Q208" s="12"/>
      <c r="R208" s="12"/>
      <c r="S208" s="12"/>
      <c r="T208" s="12"/>
      <c r="U208" s="12"/>
      <c r="V208" s="12"/>
      <c r="W208" s="12"/>
      <c r="X208" s="12"/>
      <c r="Y208" s="12"/>
    </row>
    <row r="209" spans="2:25" ht="12.95" customHeight="1">
      <c r="B209" s="35"/>
      <c r="C209" s="12"/>
      <c r="D209" s="12"/>
      <c r="E209" s="12"/>
      <c r="F209" s="12"/>
      <c r="G209" s="12"/>
      <c r="H209" s="12"/>
      <c r="I209" s="12"/>
      <c r="J209" s="12"/>
      <c r="K209" s="12"/>
      <c r="L209" s="12"/>
      <c r="M209" s="12"/>
      <c r="N209" s="12"/>
      <c r="O209" s="12"/>
      <c r="P209" s="12"/>
      <c r="Q209" s="12"/>
      <c r="R209" s="12"/>
      <c r="S209" s="12"/>
      <c r="T209" s="12"/>
      <c r="U209" s="12"/>
      <c r="V209" s="12"/>
      <c r="W209" s="12"/>
      <c r="X209" s="12"/>
      <c r="Y209" s="12"/>
    </row>
    <row r="210" spans="2:25" ht="12.95" customHeight="1">
      <c r="B210" s="35"/>
      <c r="C210" s="12"/>
      <c r="D210" s="12"/>
      <c r="E210" s="12"/>
      <c r="F210" s="12"/>
      <c r="G210" s="12"/>
      <c r="H210" s="12"/>
      <c r="I210" s="12"/>
      <c r="J210" s="12"/>
      <c r="K210" s="12"/>
      <c r="L210" s="12"/>
      <c r="M210" s="12"/>
      <c r="N210" s="12"/>
      <c r="O210" s="12"/>
      <c r="P210" s="12"/>
      <c r="Q210" s="12"/>
      <c r="R210" s="12"/>
      <c r="S210" s="12"/>
      <c r="T210" s="12"/>
      <c r="U210" s="12"/>
      <c r="V210" s="12"/>
      <c r="W210" s="12"/>
      <c r="X210" s="12"/>
      <c r="Y210" s="12"/>
    </row>
    <row r="211" spans="2:25" ht="12.95" customHeight="1">
      <c r="B211" s="35"/>
      <c r="C211" s="12"/>
      <c r="D211" s="12"/>
      <c r="E211" s="12"/>
      <c r="F211" s="16"/>
      <c r="G211" s="12"/>
      <c r="H211" s="12"/>
      <c r="I211" s="12"/>
      <c r="J211" s="16"/>
      <c r="K211" s="12"/>
      <c r="L211" s="12"/>
      <c r="M211" s="12"/>
      <c r="N211" s="12"/>
      <c r="O211" s="12"/>
      <c r="P211" s="12"/>
      <c r="Q211" s="12"/>
      <c r="R211" s="12"/>
      <c r="S211" s="12"/>
      <c r="T211" s="12"/>
      <c r="U211" s="12"/>
      <c r="V211" s="12"/>
      <c r="W211" s="12"/>
      <c r="X211" s="12"/>
      <c r="Y211" s="12"/>
    </row>
    <row r="212" spans="2:25" ht="12.95" customHeight="1">
      <c r="B212" s="35"/>
      <c r="C212" s="12"/>
      <c r="D212" s="12"/>
      <c r="E212" s="12"/>
      <c r="F212" s="16"/>
      <c r="G212" s="12"/>
      <c r="H212" s="12"/>
      <c r="I212" s="12"/>
      <c r="J212" s="16"/>
      <c r="K212" s="12"/>
      <c r="L212" s="12"/>
      <c r="M212" s="12"/>
      <c r="N212" s="12"/>
      <c r="O212" s="12"/>
      <c r="P212" s="12"/>
      <c r="Q212" s="12"/>
      <c r="R212" s="12"/>
      <c r="S212" s="12"/>
      <c r="T212" s="12"/>
      <c r="U212" s="12"/>
      <c r="V212" s="12"/>
      <c r="W212" s="12"/>
      <c r="X212" s="12"/>
      <c r="Y212" s="12"/>
    </row>
    <row r="213" spans="2:25" ht="12.95" customHeight="1">
      <c r="B213" s="12"/>
      <c r="C213" s="12"/>
      <c r="D213" s="12"/>
      <c r="E213" s="12"/>
      <c r="F213" s="16"/>
      <c r="G213" s="12"/>
      <c r="H213" s="12"/>
      <c r="I213" s="12"/>
      <c r="J213" s="16"/>
      <c r="K213" s="12"/>
      <c r="L213" s="12"/>
      <c r="M213" s="12"/>
      <c r="N213" s="12"/>
      <c r="O213" s="12"/>
      <c r="P213" s="12"/>
      <c r="Q213" s="12"/>
      <c r="R213" s="12"/>
      <c r="S213" s="12"/>
      <c r="T213" s="12"/>
      <c r="U213" s="12"/>
      <c r="V213" s="12"/>
      <c r="W213" s="12"/>
      <c r="X213" s="12"/>
      <c r="Y213" s="12"/>
    </row>
    <row r="214" spans="2:25" ht="12.95" customHeight="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row>
    <row r="215" spans="2:25" ht="12.95" customHeight="1">
      <c r="B215" s="12"/>
      <c r="C215" s="39"/>
      <c r="D215" s="56"/>
      <c r="E215" s="56"/>
      <c r="F215" s="16"/>
      <c r="G215" s="12"/>
      <c r="H215" s="12"/>
      <c r="I215" s="12"/>
      <c r="J215" s="12"/>
      <c r="K215" s="12"/>
      <c r="L215" s="12"/>
      <c r="M215" s="12"/>
      <c r="N215" s="12"/>
      <c r="O215" s="12"/>
      <c r="P215" s="12"/>
      <c r="Q215" s="12"/>
      <c r="R215" s="12"/>
      <c r="S215" s="12"/>
      <c r="T215" s="12"/>
      <c r="U215" s="12"/>
      <c r="V215" s="12"/>
      <c r="W215" s="12"/>
      <c r="X215" s="12"/>
      <c r="Y215" s="12"/>
    </row>
    <row r="216" spans="2:25" ht="12.95" customHeight="1">
      <c r="B216" s="709"/>
      <c r="C216" s="12"/>
      <c r="D216" s="56"/>
      <c r="E216" s="16"/>
      <c r="F216" s="710"/>
      <c r="G216" s="12"/>
      <c r="H216" s="12"/>
      <c r="I216" s="12"/>
      <c r="J216" s="12"/>
      <c r="K216" s="12"/>
      <c r="L216" s="12"/>
      <c r="M216" s="12"/>
      <c r="N216" s="12"/>
      <c r="O216" s="12"/>
      <c r="P216" s="12"/>
      <c r="Q216" s="12"/>
      <c r="R216" s="12"/>
      <c r="S216" s="12"/>
      <c r="T216" s="12"/>
      <c r="U216" s="12"/>
      <c r="V216" s="12"/>
      <c r="W216" s="12"/>
      <c r="X216" s="12"/>
      <c r="Y216" s="12"/>
    </row>
    <row r="217" spans="2:25" ht="12.95" customHeight="1">
      <c r="B217" s="12"/>
      <c r="C217" s="12"/>
      <c r="D217" s="56"/>
      <c r="E217" s="56"/>
      <c r="F217" s="16"/>
      <c r="G217" s="12"/>
      <c r="H217" s="12"/>
      <c r="I217" s="12"/>
      <c r="J217" s="12"/>
      <c r="K217" s="12"/>
      <c r="L217" s="12"/>
      <c r="M217" s="12"/>
      <c r="N217" s="12"/>
      <c r="O217" s="12"/>
      <c r="P217" s="12"/>
      <c r="Q217" s="12"/>
      <c r="R217" s="12"/>
      <c r="S217" s="12"/>
      <c r="T217" s="12"/>
      <c r="U217" s="12"/>
      <c r="V217" s="12"/>
      <c r="W217" s="12"/>
      <c r="X217" s="12"/>
      <c r="Y217" s="12"/>
    </row>
    <row r="218" spans="2:25" ht="12.95" customHeight="1" thickBot="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row>
    <row r="219" spans="2:25" ht="12.95" customHeight="1">
      <c r="B219" s="12"/>
      <c r="C219" s="1267" t="s">
        <v>35</v>
      </c>
      <c r="D219" s="1268"/>
      <c r="E219" s="1268"/>
      <c r="F219" s="1269"/>
      <c r="G219" s="1267" t="s">
        <v>34</v>
      </c>
      <c r="H219" s="1268"/>
      <c r="I219" s="1268"/>
      <c r="J219" s="1269"/>
      <c r="K219" s="1267" t="s">
        <v>33</v>
      </c>
      <c r="L219" s="1268"/>
      <c r="M219" s="1268"/>
      <c r="N219" s="1269"/>
      <c r="O219" s="12"/>
      <c r="P219" s="12"/>
      <c r="Q219" s="12"/>
      <c r="R219" s="12"/>
      <c r="S219" s="12"/>
      <c r="T219" s="12"/>
      <c r="U219" s="12"/>
      <c r="V219" s="12"/>
      <c r="W219" s="12"/>
      <c r="X219" s="12"/>
      <c r="Y219" s="12"/>
    </row>
    <row r="220" spans="2:25" ht="12.95" customHeight="1" thickBot="1">
      <c r="B220" s="12"/>
      <c r="C220" s="712" t="s">
        <v>139</v>
      </c>
      <c r="D220" s="51" t="s">
        <v>138</v>
      </c>
      <c r="E220" s="51" t="s">
        <v>137</v>
      </c>
      <c r="F220" s="713" t="s">
        <v>136</v>
      </c>
      <c r="G220" s="712" t="s">
        <v>139</v>
      </c>
      <c r="H220" s="51" t="s">
        <v>138</v>
      </c>
      <c r="I220" s="51" t="s">
        <v>137</v>
      </c>
      <c r="J220" s="713" t="s">
        <v>136</v>
      </c>
      <c r="K220" s="712" t="s">
        <v>139</v>
      </c>
      <c r="L220" s="51" t="s">
        <v>138</v>
      </c>
      <c r="M220" s="51" t="s">
        <v>137</v>
      </c>
      <c r="N220" s="713" t="s">
        <v>136</v>
      </c>
      <c r="O220" s="12"/>
      <c r="P220" s="12"/>
      <c r="Q220" s="12"/>
      <c r="R220" s="12"/>
      <c r="S220" s="12"/>
      <c r="T220" s="12"/>
      <c r="U220" s="12"/>
      <c r="V220" s="12"/>
      <c r="W220" s="12"/>
      <c r="X220" s="12"/>
      <c r="Y220" s="12"/>
    </row>
    <row r="221" spans="2:25" ht="12.95" customHeight="1">
      <c r="B221" s="714" t="s">
        <v>113</v>
      </c>
      <c r="C221" s="715">
        <f>quartercalculation($C$219,C$220,$B221)</f>
        <v>130007.1721</v>
      </c>
      <c r="D221" s="715">
        <f t="shared" ref="D221:F225" si="1">quartercalculation($C$219,D$220,$B221)</f>
        <v>175331.39439999999</v>
      </c>
      <c r="E221" s="715">
        <f t="shared" si="1"/>
        <v>264415.32689999999</v>
      </c>
      <c r="F221" s="715">
        <f t="shared" si="1"/>
        <v>171482.83919999999</v>
      </c>
      <c r="G221" s="715">
        <f>quartercalculation($G$219,G$220,$B221)</f>
        <v>128298.2537</v>
      </c>
      <c r="H221" s="715">
        <f t="shared" ref="H221:J225" si="2">quartercalculation($G$219,H$220,$B221)</f>
        <v>192379.337</v>
      </c>
      <c r="I221" s="715">
        <f t="shared" si="2"/>
        <v>280395.69579999999</v>
      </c>
      <c r="J221" s="715">
        <f t="shared" si="2"/>
        <v>185504.8916</v>
      </c>
      <c r="K221" s="715">
        <f>quartercalculation($K$219,K$220,$B221)</f>
        <v>149449.74489999999</v>
      </c>
      <c r="L221" s="715">
        <f t="shared" ref="L221:N225" si="3">quartercalculation($K$219,L$220,$B221)</f>
        <v>226238.09520000001</v>
      </c>
      <c r="M221" s="715">
        <f t="shared" si="3"/>
        <v>270837.07669999998</v>
      </c>
      <c r="N221" s="715">
        <f t="shared" si="3"/>
        <v>230864.68700000001</v>
      </c>
      <c r="O221" s="12"/>
      <c r="P221" s="12"/>
      <c r="Q221" s="12"/>
      <c r="R221" s="12"/>
      <c r="S221" s="12"/>
      <c r="T221" s="12"/>
      <c r="U221" s="12"/>
      <c r="V221" s="12"/>
      <c r="W221" s="12"/>
      <c r="X221" s="12"/>
      <c r="Y221" s="12"/>
    </row>
    <row r="222" spans="2:25" ht="12.95" customHeight="1">
      <c r="B222" s="716" t="s">
        <v>112</v>
      </c>
      <c r="C222" s="715">
        <f>quartercalculation($C$219,C$220,$B222)</f>
        <v>30770.170399999999</v>
      </c>
      <c r="D222" s="715">
        <f t="shared" si="1"/>
        <v>42606.535199999998</v>
      </c>
      <c r="E222" s="715">
        <f t="shared" si="1"/>
        <v>61333.695099999997</v>
      </c>
      <c r="F222" s="715">
        <f t="shared" si="1"/>
        <v>39976.4038</v>
      </c>
      <c r="G222" s="715">
        <f>quartercalculation($G$219,G$220,$B222)</f>
        <v>29295.741900000001</v>
      </c>
      <c r="H222" s="715">
        <f t="shared" si="2"/>
        <v>45337.107000000004</v>
      </c>
      <c r="I222" s="715">
        <f t="shared" si="2"/>
        <v>67862.714500000002</v>
      </c>
      <c r="J222" s="715">
        <f t="shared" si="2"/>
        <v>41373.974300000002</v>
      </c>
      <c r="K222" s="715">
        <f>quartercalculation($K$219,K$220,$B222)</f>
        <v>35049.574800000002</v>
      </c>
      <c r="L222" s="715">
        <f t="shared" si="3"/>
        <v>53326.538</v>
      </c>
      <c r="M222" s="715">
        <f t="shared" si="3"/>
        <v>65224.540300000001</v>
      </c>
      <c r="N222" s="715">
        <f t="shared" si="3"/>
        <v>50777.968099999998</v>
      </c>
      <c r="O222" s="12"/>
      <c r="P222" s="12"/>
      <c r="Q222" s="12"/>
      <c r="R222" s="12"/>
      <c r="S222" s="12"/>
      <c r="T222" s="12"/>
      <c r="U222" s="12"/>
      <c r="V222" s="12"/>
      <c r="W222" s="12"/>
      <c r="X222" s="12"/>
      <c r="Y222" s="12"/>
    </row>
    <row r="223" spans="2:25" ht="12.95" customHeight="1">
      <c r="B223" s="716" t="s">
        <v>111</v>
      </c>
      <c r="C223" s="715">
        <f>quartercalculation($C$219,C$220,$B223)</f>
        <v>99237.001799999998</v>
      </c>
      <c r="D223" s="715">
        <f t="shared" si="1"/>
        <v>132724.85920000001</v>
      </c>
      <c r="E223" s="715">
        <f t="shared" si="1"/>
        <v>203081.6317</v>
      </c>
      <c r="F223" s="715">
        <f t="shared" si="1"/>
        <v>131506.43530000001</v>
      </c>
      <c r="G223" s="715">
        <f>quartercalculation($G$219,G$220,$B223)</f>
        <v>99002.511799999993</v>
      </c>
      <c r="H223" s="715">
        <f t="shared" si="2"/>
        <v>147042.22990000001</v>
      </c>
      <c r="I223" s="715">
        <f t="shared" si="2"/>
        <v>212532.98130000001</v>
      </c>
      <c r="J223" s="715">
        <f t="shared" si="2"/>
        <v>144130.91740000001</v>
      </c>
      <c r="K223" s="715">
        <f>quartercalculation($K$219,K$220,$B223)</f>
        <v>114400.1701</v>
      </c>
      <c r="L223" s="715">
        <f t="shared" si="3"/>
        <v>172911.55720000001</v>
      </c>
      <c r="M223" s="715">
        <f t="shared" si="3"/>
        <v>205612.53640000001</v>
      </c>
      <c r="N223" s="715">
        <f t="shared" si="3"/>
        <v>180086.7188</v>
      </c>
      <c r="O223" s="12"/>
      <c r="P223" s="12"/>
      <c r="Q223" s="12"/>
      <c r="R223" s="12"/>
      <c r="S223" s="12"/>
      <c r="T223" s="12"/>
      <c r="U223" s="12"/>
      <c r="V223" s="12"/>
      <c r="W223" s="12"/>
      <c r="X223" s="12"/>
      <c r="Y223" s="12"/>
    </row>
    <row r="224" spans="2:25" ht="12.95" customHeight="1">
      <c r="B224" s="716" t="s">
        <v>123</v>
      </c>
      <c r="C224" s="715">
        <f>quartercalculation($C$219,C$220,$B224)</f>
        <v>43049.393100000001</v>
      </c>
      <c r="D224" s="715">
        <f t="shared" si="1"/>
        <v>43049.393100000001</v>
      </c>
      <c r="E224" s="715">
        <f t="shared" si="1"/>
        <v>43049.393100000001</v>
      </c>
      <c r="F224" s="715">
        <f t="shared" si="1"/>
        <v>43049.393100000001</v>
      </c>
      <c r="G224" s="715">
        <f>quartercalculation($G$219,G$220,$B224)</f>
        <v>48209.393100000001</v>
      </c>
      <c r="H224" s="715">
        <f t="shared" si="2"/>
        <v>48209.393100000001</v>
      </c>
      <c r="I224" s="715">
        <f t="shared" si="2"/>
        <v>48209.393100000001</v>
      </c>
      <c r="J224" s="715">
        <f t="shared" si="2"/>
        <v>48209.393100000001</v>
      </c>
      <c r="K224" s="715">
        <f>quartercalculation($K$219,K$220,$B224)</f>
        <v>53269.892999999996</v>
      </c>
      <c r="L224" s="715">
        <f t="shared" si="3"/>
        <v>53269.892999999996</v>
      </c>
      <c r="M224" s="715">
        <f t="shared" si="3"/>
        <v>53269.892999999996</v>
      </c>
      <c r="N224" s="715">
        <f t="shared" si="3"/>
        <v>53269.892999999996</v>
      </c>
      <c r="O224" s="12"/>
      <c r="P224" s="12"/>
      <c r="Q224" s="12"/>
      <c r="R224" s="12"/>
      <c r="S224" s="12"/>
      <c r="T224" s="12"/>
      <c r="U224" s="12"/>
      <c r="V224" s="12"/>
      <c r="W224" s="12"/>
      <c r="X224" s="12"/>
      <c r="Y224" s="12"/>
    </row>
    <row r="225" spans="1:25" ht="12.95" customHeight="1" thickBot="1">
      <c r="B225" s="717" t="s">
        <v>135</v>
      </c>
      <c r="C225" s="715">
        <f>quartercalculation($C$219,C$220,$B225)</f>
        <v>56187.608699999997</v>
      </c>
      <c r="D225" s="715">
        <f t="shared" si="1"/>
        <v>89675.466100000005</v>
      </c>
      <c r="E225" s="715">
        <f t="shared" si="1"/>
        <v>160032.23869999999</v>
      </c>
      <c r="F225" s="715">
        <f t="shared" si="1"/>
        <v>88457.042300000001</v>
      </c>
      <c r="G225" s="715">
        <f>quartercalculation($G$219,G$220,$B225)</f>
        <v>50793.118799999997</v>
      </c>
      <c r="H225" s="715">
        <f t="shared" si="2"/>
        <v>98832.837</v>
      </c>
      <c r="I225" s="715">
        <f t="shared" si="2"/>
        <v>164323.5883</v>
      </c>
      <c r="J225" s="715">
        <f t="shared" si="2"/>
        <v>95921.524399999995</v>
      </c>
      <c r="K225" s="715">
        <f>quartercalculation($K$219,K$220,$B225)</f>
        <v>61130.277099999999</v>
      </c>
      <c r="L225" s="715">
        <f t="shared" si="3"/>
        <v>119641.6642</v>
      </c>
      <c r="M225" s="715">
        <f t="shared" si="3"/>
        <v>152342.6433</v>
      </c>
      <c r="N225" s="715">
        <f t="shared" si="3"/>
        <v>126816.82580000001</v>
      </c>
      <c r="O225" s="12"/>
      <c r="P225" s="12"/>
      <c r="Q225" s="12"/>
      <c r="R225" s="12"/>
      <c r="S225" s="12"/>
      <c r="T225" s="12"/>
      <c r="U225" s="12"/>
      <c r="V225" s="12"/>
      <c r="W225" s="12"/>
      <c r="X225" s="12"/>
      <c r="Y225" s="12"/>
    </row>
    <row r="226" spans="1:25" ht="12.95" customHeight="1">
      <c r="B226" s="12"/>
      <c r="C226" s="12"/>
      <c r="D226" s="12"/>
      <c r="E226" s="12"/>
      <c r="F226" s="12"/>
      <c r="G226" s="12"/>
      <c r="H226" s="12"/>
      <c r="I226" s="12"/>
      <c r="J226" s="12"/>
      <c r="K226" s="711"/>
      <c r="L226" s="711"/>
      <c r="M226" s="12"/>
      <c r="N226" s="12"/>
      <c r="O226" s="12"/>
      <c r="P226" s="12"/>
      <c r="Q226" s="12"/>
      <c r="R226" s="12"/>
      <c r="S226" s="12"/>
      <c r="T226" s="12"/>
      <c r="U226" s="12"/>
      <c r="V226" s="12"/>
      <c r="W226" s="12"/>
      <c r="X226" s="12"/>
      <c r="Y226" s="12"/>
    </row>
    <row r="227" spans="1:25" ht="12.95" customHeight="1">
      <c r="B227" s="12"/>
      <c r="C227" s="49"/>
      <c r="D227" s="16"/>
      <c r="E227" s="12"/>
      <c r="F227" s="12"/>
      <c r="G227" s="12"/>
      <c r="H227" s="12"/>
      <c r="I227" s="49"/>
      <c r="J227" s="39"/>
      <c r="K227" s="12"/>
      <c r="L227" s="12"/>
      <c r="M227" s="12"/>
      <c r="N227" s="12"/>
      <c r="O227" s="12"/>
      <c r="P227" s="12"/>
      <c r="Q227" s="12"/>
      <c r="R227" s="12"/>
      <c r="S227" s="12"/>
      <c r="T227" s="12"/>
      <c r="U227" s="12"/>
      <c r="V227" s="12"/>
      <c r="W227" s="12"/>
      <c r="X227" s="12"/>
      <c r="Y227" s="12"/>
    </row>
    <row r="228" spans="1:25" ht="12.95" customHeight="1" thickBot="1">
      <c r="B228" s="37"/>
      <c r="C228" s="37"/>
      <c r="D228" s="37"/>
      <c r="E228" s="37"/>
      <c r="F228" s="37"/>
      <c r="G228" s="37"/>
      <c r="H228" s="37"/>
      <c r="I228" s="37"/>
      <c r="J228" s="37"/>
      <c r="K228" s="37"/>
      <c r="L228" s="37"/>
      <c r="M228" s="37"/>
      <c r="N228" s="12"/>
      <c r="O228" s="12"/>
      <c r="P228" s="12"/>
      <c r="Q228" s="12"/>
      <c r="R228" s="12"/>
      <c r="S228" s="12"/>
      <c r="T228" s="12"/>
      <c r="U228" s="12"/>
      <c r="V228" s="12"/>
      <c r="W228" s="12"/>
      <c r="X228" s="12"/>
      <c r="Y228" s="12"/>
    </row>
    <row r="229" spans="1:25" ht="12.95" customHeight="1">
      <c r="A229" s="1261" t="s">
        <v>113</v>
      </c>
      <c r="B229" s="37"/>
      <c r="C229" s="37"/>
      <c r="D229" s="37"/>
      <c r="E229" s="37"/>
      <c r="F229" s="37"/>
      <c r="G229" s="37"/>
      <c r="H229" s="37"/>
      <c r="I229" s="37"/>
      <c r="J229" s="37"/>
      <c r="K229" s="37"/>
      <c r="L229" s="37"/>
      <c r="M229" s="37"/>
      <c r="N229" s="12"/>
      <c r="O229" s="12"/>
      <c r="P229" s="12"/>
      <c r="Q229" s="12"/>
      <c r="R229" s="12"/>
      <c r="S229" s="12"/>
      <c r="T229" s="12"/>
      <c r="U229" s="12"/>
      <c r="V229" s="12"/>
      <c r="W229" s="12"/>
      <c r="X229" s="12"/>
      <c r="Y229" s="12"/>
    </row>
    <row r="230" spans="1:25" ht="12.95" customHeight="1">
      <c r="A230" s="1262"/>
      <c r="B230" s="37"/>
      <c r="C230" s="37"/>
      <c r="D230" s="37"/>
      <c r="E230" s="37"/>
      <c r="F230" s="37"/>
      <c r="G230" s="37"/>
      <c r="H230" s="37"/>
      <c r="I230" s="37"/>
      <c r="J230" s="37"/>
      <c r="K230" s="37"/>
      <c r="L230" s="37"/>
      <c r="M230" s="37"/>
      <c r="N230" s="12"/>
      <c r="O230" s="12"/>
      <c r="P230" s="12"/>
      <c r="Q230" s="12"/>
      <c r="R230" s="12"/>
      <c r="S230" s="12"/>
      <c r="T230" s="12"/>
      <c r="U230" s="12"/>
      <c r="V230" s="12"/>
      <c r="W230" s="12"/>
      <c r="X230" s="12"/>
      <c r="Y230" s="12"/>
    </row>
    <row r="231" spans="1:25" ht="12.95" customHeight="1">
      <c r="A231" s="1262"/>
      <c r="B231" s="37"/>
      <c r="C231" s="37"/>
      <c r="D231" s="37"/>
      <c r="E231" s="37"/>
      <c r="F231" s="37"/>
      <c r="G231" s="37"/>
      <c r="H231" s="37"/>
      <c r="I231" s="37"/>
      <c r="J231" s="37"/>
      <c r="K231" s="37"/>
      <c r="L231" s="37"/>
      <c r="M231" s="37"/>
      <c r="N231" s="12"/>
      <c r="O231" s="12"/>
      <c r="P231" s="12"/>
      <c r="Q231" s="12"/>
      <c r="R231" s="12"/>
      <c r="S231" s="12"/>
      <c r="T231" s="12"/>
      <c r="U231" s="12"/>
      <c r="V231" s="12"/>
      <c r="W231" s="12"/>
      <c r="X231" s="12"/>
      <c r="Y231" s="12"/>
    </row>
    <row r="232" spans="1:25" ht="12.95" customHeight="1">
      <c r="A232" s="1262"/>
      <c r="B232" s="37"/>
      <c r="C232" s="37"/>
      <c r="D232" s="37"/>
      <c r="E232" s="37"/>
      <c r="F232" s="37"/>
      <c r="G232" s="37"/>
      <c r="H232" s="37"/>
      <c r="I232" s="37"/>
      <c r="J232" s="37"/>
      <c r="K232" s="37"/>
      <c r="L232" s="37"/>
      <c r="M232" s="37"/>
      <c r="N232" s="12"/>
      <c r="O232" s="12"/>
      <c r="P232" s="12"/>
      <c r="Q232" s="12"/>
      <c r="R232" s="12"/>
      <c r="S232" s="12"/>
      <c r="T232" s="12"/>
      <c r="U232" s="12"/>
      <c r="V232" s="12"/>
      <c r="W232" s="12"/>
      <c r="X232" s="12"/>
      <c r="Y232" s="12"/>
    </row>
    <row r="233" spans="1:25" ht="12.95" customHeight="1">
      <c r="A233" s="1262"/>
      <c r="B233" s="37"/>
      <c r="C233" s="37"/>
      <c r="D233" s="37"/>
      <c r="E233" s="37"/>
      <c r="F233" s="37"/>
      <c r="G233" s="37"/>
      <c r="H233" s="37"/>
      <c r="I233" s="37"/>
      <c r="J233" s="37"/>
      <c r="K233" s="37"/>
      <c r="L233" s="37"/>
      <c r="M233" s="37"/>
      <c r="N233" s="12"/>
      <c r="O233" s="12"/>
      <c r="P233" s="12"/>
      <c r="Q233" s="12"/>
      <c r="R233" s="12"/>
      <c r="S233" s="12"/>
      <c r="T233" s="12"/>
      <c r="U233" s="12"/>
      <c r="V233" s="12"/>
      <c r="W233" s="12"/>
      <c r="X233" s="12"/>
    </row>
    <row r="234" spans="1:25" ht="12.95" customHeight="1">
      <c r="A234" s="1262"/>
      <c r="B234" s="37"/>
      <c r="C234" s="37"/>
      <c r="D234" s="37"/>
      <c r="E234" s="37"/>
      <c r="F234" s="37"/>
      <c r="G234" s="37"/>
      <c r="H234" s="37"/>
      <c r="I234" s="37"/>
      <c r="J234" s="37"/>
      <c r="K234" s="37"/>
      <c r="L234" s="37"/>
      <c r="M234" s="37"/>
      <c r="N234" s="12"/>
      <c r="O234" s="12"/>
      <c r="P234" s="12"/>
      <c r="Q234" s="12"/>
      <c r="R234" s="12"/>
      <c r="S234" s="12"/>
      <c r="T234" s="12"/>
      <c r="U234" s="12"/>
      <c r="V234" s="12"/>
      <c r="W234" s="12"/>
      <c r="X234" s="12"/>
    </row>
    <row r="235" spans="1:25" ht="12.95" customHeight="1">
      <c r="A235" s="1262"/>
      <c r="B235" s="37"/>
      <c r="C235" s="37"/>
      <c r="D235" s="37"/>
      <c r="E235" s="37"/>
      <c r="F235" s="37"/>
      <c r="G235" s="37"/>
      <c r="H235" s="37"/>
      <c r="I235" s="37"/>
      <c r="J235" s="37"/>
      <c r="K235" s="37"/>
      <c r="L235" s="37"/>
      <c r="M235" s="37"/>
      <c r="N235" s="12"/>
      <c r="O235" s="12"/>
      <c r="P235" s="12"/>
      <c r="Q235" s="12"/>
      <c r="R235" s="12"/>
      <c r="S235" s="12"/>
      <c r="T235" s="12"/>
      <c r="U235" s="12"/>
      <c r="V235" s="12"/>
      <c r="W235" s="12"/>
      <c r="X235" s="12"/>
    </row>
    <row r="236" spans="1:25" ht="12.95" customHeight="1" thickBot="1">
      <c r="A236" s="1263"/>
      <c r="B236" s="37"/>
      <c r="C236" s="37"/>
      <c r="D236" s="37"/>
      <c r="E236" s="37"/>
      <c r="F236" s="37"/>
      <c r="G236" s="37"/>
      <c r="H236" s="37"/>
      <c r="I236" s="37"/>
      <c r="J236" s="37"/>
      <c r="K236" s="37"/>
      <c r="L236" s="37"/>
      <c r="M236" s="37"/>
      <c r="N236" s="12"/>
      <c r="O236" s="12"/>
      <c r="P236" s="12"/>
      <c r="Q236" s="12"/>
      <c r="R236" s="12"/>
      <c r="S236" s="12"/>
      <c r="T236" s="12"/>
      <c r="U236" s="12"/>
      <c r="V236" s="12"/>
      <c r="W236" s="12"/>
      <c r="X236" s="12"/>
    </row>
    <row r="237" spans="1:25" ht="12.95" customHeight="1" thickBot="1">
      <c r="A237" s="12"/>
      <c r="B237" s="37"/>
      <c r="C237" s="37"/>
      <c r="D237" s="37"/>
      <c r="E237" s="37"/>
      <c r="F237" s="37"/>
      <c r="G237" s="37"/>
      <c r="H237" s="37"/>
      <c r="I237" s="37"/>
      <c r="J237" s="37"/>
      <c r="K237" s="37"/>
      <c r="L237" s="37"/>
      <c r="M237" s="37"/>
      <c r="N237" s="12"/>
      <c r="O237" s="12"/>
      <c r="P237" s="12"/>
      <c r="Q237" s="12"/>
      <c r="R237" s="12"/>
      <c r="S237" s="12"/>
      <c r="T237" s="12"/>
      <c r="U237" s="12"/>
      <c r="V237" s="12"/>
      <c r="W237" s="12"/>
      <c r="X237" s="12"/>
    </row>
    <row r="238" spans="1:25" ht="12.95" customHeight="1">
      <c r="A238" s="1261" t="s">
        <v>112</v>
      </c>
      <c r="B238" s="37"/>
      <c r="C238" s="37"/>
      <c r="D238" s="37"/>
      <c r="E238" s="37"/>
      <c r="F238" s="37"/>
      <c r="G238" s="37"/>
      <c r="H238" s="37"/>
      <c r="I238" s="37"/>
      <c r="J238" s="37"/>
      <c r="K238" s="37"/>
      <c r="L238" s="37"/>
      <c r="M238" s="37"/>
      <c r="N238" s="12"/>
      <c r="O238" s="12"/>
      <c r="P238" s="12"/>
      <c r="Q238" s="12"/>
      <c r="R238" s="12"/>
      <c r="S238" s="12"/>
      <c r="T238" s="12"/>
      <c r="U238" s="12"/>
      <c r="V238" s="12"/>
      <c r="W238" s="12"/>
      <c r="X238" s="12"/>
    </row>
    <row r="239" spans="1:25" ht="12.95" customHeight="1">
      <c r="A239" s="1262"/>
      <c r="B239" s="37"/>
      <c r="C239" s="37"/>
      <c r="D239" s="37"/>
      <c r="E239" s="37"/>
      <c r="F239" s="37"/>
      <c r="G239" s="37"/>
      <c r="H239" s="37"/>
      <c r="I239" s="37"/>
      <c r="J239" s="37"/>
      <c r="K239" s="37"/>
      <c r="L239" s="37"/>
      <c r="M239" s="37"/>
      <c r="N239" s="12"/>
      <c r="O239" s="12"/>
      <c r="P239" s="12"/>
      <c r="Q239" s="12"/>
      <c r="R239" s="12"/>
      <c r="S239" s="12"/>
      <c r="T239" s="12"/>
      <c r="U239" s="12"/>
      <c r="V239" s="12"/>
      <c r="W239" s="12"/>
      <c r="X239" s="12"/>
    </row>
    <row r="240" spans="1:25" ht="12.95" customHeight="1">
      <c r="A240" s="1262"/>
      <c r="B240" s="37"/>
      <c r="C240" s="37"/>
      <c r="D240" s="37"/>
      <c r="E240" s="37"/>
      <c r="F240" s="37"/>
      <c r="G240" s="37"/>
      <c r="H240" s="37"/>
      <c r="I240" s="37"/>
      <c r="J240" s="37"/>
      <c r="K240" s="37"/>
      <c r="L240" s="37"/>
      <c r="M240" s="37"/>
      <c r="N240" s="12"/>
      <c r="O240" s="12"/>
      <c r="P240" s="12"/>
      <c r="Q240" s="12"/>
      <c r="R240" s="12"/>
      <c r="S240" s="12"/>
      <c r="T240" s="12"/>
      <c r="U240" s="12"/>
      <c r="V240" s="12"/>
      <c r="W240" s="12"/>
      <c r="X240" s="12"/>
    </row>
    <row r="241" spans="1:24" ht="12.95" customHeight="1">
      <c r="A241" s="1262"/>
      <c r="B241" s="37"/>
      <c r="C241" s="37"/>
      <c r="D241" s="37"/>
      <c r="E241" s="37"/>
      <c r="F241" s="37"/>
      <c r="G241" s="37"/>
      <c r="H241" s="37"/>
      <c r="I241" s="37"/>
      <c r="J241" s="37"/>
      <c r="K241" s="37"/>
      <c r="L241" s="37"/>
      <c r="M241" s="37"/>
      <c r="N241" s="12"/>
      <c r="O241" s="12"/>
      <c r="P241" s="12"/>
      <c r="Q241" s="12"/>
      <c r="R241" s="12"/>
      <c r="S241" s="12"/>
      <c r="T241" s="12"/>
      <c r="U241" s="12"/>
      <c r="V241" s="12"/>
      <c r="W241" s="12"/>
      <c r="X241" s="12"/>
    </row>
    <row r="242" spans="1:24" ht="12.95" customHeight="1">
      <c r="A242" s="1262"/>
      <c r="B242" s="37"/>
      <c r="C242" s="37"/>
      <c r="D242" s="37"/>
      <c r="E242" s="37"/>
      <c r="F242" s="37"/>
      <c r="G242" s="37"/>
      <c r="H242" s="37"/>
      <c r="I242" s="37"/>
      <c r="J242" s="37"/>
      <c r="K242" s="37"/>
      <c r="L242" s="37"/>
      <c r="M242" s="37"/>
      <c r="N242" s="12"/>
      <c r="O242" s="12"/>
      <c r="P242" s="12"/>
      <c r="Q242" s="12"/>
      <c r="R242" s="12"/>
      <c r="S242" s="12"/>
      <c r="T242" s="12"/>
      <c r="U242" s="12"/>
      <c r="V242" s="12"/>
      <c r="W242" s="12"/>
      <c r="X242" s="12"/>
    </row>
    <row r="243" spans="1:24" ht="12.95" customHeight="1">
      <c r="A243" s="1262"/>
      <c r="B243" s="37"/>
      <c r="C243" s="37"/>
      <c r="D243" s="37"/>
      <c r="E243" s="37"/>
      <c r="F243" s="37"/>
      <c r="G243" s="37"/>
      <c r="H243" s="37"/>
      <c r="I243" s="37"/>
      <c r="J243" s="37"/>
      <c r="K243" s="37"/>
      <c r="L243" s="37"/>
      <c r="M243" s="37"/>
      <c r="N243" s="12"/>
      <c r="O243" s="12"/>
      <c r="P243" s="12"/>
      <c r="Q243" s="12"/>
      <c r="R243" s="12"/>
      <c r="S243" s="12"/>
      <c r="T243" s="12"/>
      <c r="U243" s="12"/>
      <c r="V243" s="12"/>
      <c r="W243" s="12"/>
      <c r="X243" s="12"/>
    </row>
    <row r="244" spans="1:24" ht="12.95" customHeight="1">
      <c r="A244" s="1262"/>
      <c r="B244" s="37"/>
      <c r="C244" s="37"/>
      <c r="D244" s="37"/>
      <c r="E244" s="37"/>
      <c r="F244" s="37"/>
      <c r="G244" s="37"/>
      <c r="H244" s="37"/>
      <c r="I244" s="37"/>
      <c r="J244" s="37"/>
      <c r="K244" s="37"/>
      <c r="L244" s="37"/>
      <c r="M244" s="37"/>
      <c r="N244" s="12"/>
      <c r="O244" s="12"/>
      <c r="P244" s="12"/>
      <c r="Q244" s="12"/>
      <c r="R244" s="12"/>
      <c r="S244" s="12"/>
      <c r="T244" s="12"/>
      <c r="U244" s="12"/>
      <c r="V244" s="12"/>
      <c r="W244" s="12"/>
      <c r="X244" s="12"/>
    </row>
    <row r="245" spans="1:24" ht="12.95" customHeight="1" thickBot="1">
      <c r="A245" s="1263"/>
      <c r="B245" s="37"/>
      <c r="C245" s="37"/>
      <c r="D245" s="37"/>
      <c r="E245" s="37"/>
      <c r="F245" s="37"/>
      <c r="G245" s="37"/>
      <c r="H245" s="37"/>
      <c r="I245" s="37"/>
      <c r="J245" s="37"/>
      <c r="K245" s="37"/>
      <c r="L245" s="37"/>
      <c r="M245" s="37"/>
      <c r="N245" s="12"/>
      <c r="O245" s="12"/>
      <c r="P245" s="12"/>
      <c r="Q245" s="12"/>
      <c r="R245" s="12"/>
      <c r="S245" s="12"/>
      <c r="T245" s="12"/>
      <c r="U245" s="12"/>
      <c r="V245" s="12"/>
      <c r="W245" s="12"/>
      <c r="X245" s="12"/>
    </row>
    <row r="246" spans="1:24" ht="12.95" customHeight="1" thickBot="1">
      <c r="A246" s="12"/>
      <c r="B246" s="37"/>
      <c r="C246" s="37"/>
      <c r="D246" s="37"/>
      <c r="E246" s="37"/>
      <c r="F246" s="37"/>
      <c r="G246" s="37"/>
      <c r="H246" s="37"/>
      <c r="I246" s="37"/>
      <c r="J246" s="37"/>
      <c r="K246" s="37"/>
      <c r="L246" s="37"/>
      <c r="M246" s="37"/>
      <c r="N246" s="12"/>
      <c r="O246" s="12"/>
      <c r="P246" s="12"/>
      <c r="Q246" s="12"/>
      <c r="R246" s="12"/>
      <c r="S246" s="12"/>
      <c r="T246" s="12"/>
      <c r="U246" s="12"/>
      <c r="V246" s="12"/>
      <c r="W246" s="12"/>
      <c r="X246" s="12"/>
    </row>
    <row r="247" spans="1:24" ht="12.95" customHeight="1">
      <c r="A247" s="1258" t="s">
        <v>111</v>
      </c>
      <c r="B247" s="37"/>
      <c r="C247" s="37"/>
      <c r="D247" s="37"/>
      <c r="E247" s="37"/>
      <c r="F247" s="37"/>
      <c r="G247" s="37"/>
      <c r="H247" s="37"/>
      <c r="I247" s="37"/>
      <c r="J247" s="37"/>
      <c r="K247" s="37"/>
      <c r="L247" s="37"/>
      <c r="M247" s="37"/>
      <c r="N247" s="12"/>
      <c r="O247" s="12"/>
      <c r="P247" s="12"/>
      <c r="Q247" s="12"/>
      <c r="R247" s="12"/>
      <c r="S247" s="12"/>
      <c r="T247" s="12"/>
      <c r="U247" s="12"/>
      <c r="V247" s="12"/>
      <c r="W247" s="12"/>
      <c r="X247" s="12"/>
    </row>
    <row r="248" spans="1:24" ht="12.95" customHeight="1">
      <c r="A248" s="1259"/>
      <c r="B248" s="37"/>
      <c r="C248" s="37"/>
      <c r="D248" s="37"/>
      <c r="E248" s="37"/>
      <c r="F248" s="37"/>
      <c r="G248" s="37"/>
      <c r="H248" s="37"/>
      <c r="I248" s="37"/>
      <c r="J248" s="37"/>
      <c r="K248" s="37"/>
      <c r="L248" s="37"/>
      <c r="M248" s="37"/>
      <c r="N248" s="12"/>
      <c r="O248" s="12"/>
      <c r="P248" s="12"/>
      <c r="Q248" s="12"/>
      <c r="R248" s="12"/>
      <c r="S248" s="12"/>
      <c r="T248" s="12"/>
      <c r="U248" s="12"/>
      <c r="V248" s="12"/>
      <c r="W248" s="12"/>
      <c r="X248" s="12"/>
    </row>
    <row r="249" spans="1:24" ht="12.95" customHeight="1">
      <c r="A249" s="1259"/>
      <c r="B249" s="37"/>
      <c r="C249" s="37"/>
      <c r="D249" s="37"/>
      <c r="E249" s="37"/>
      <c r="F249" s="37"/>
      <c r="G249" s="37"/>
      <c r="H249" s="37"/>
      <c r="I249" s="37"/>
      <c r="J249" s="37"/>
      <c r="K249" s="37"/>
      <c r="L249" s="37"/>
      <c r="M249" s="37"/>
      <c r="N249" s="12"/>
      <c r="O249" s="12"/>
      <c r="P249" s="12"/>
      <c r="Q249" s="12"/>
      <c r="R249" s="12"/>
      <c r="S249" s="12"/>
      <c r="T249" s="12"/>
      <c r="U249" s="12"/>
      <c r="V249" s="12"/>
      <c r="W249" s="12"/>
      <c r="X249" s="12"/>
    </row>
    <row r="250" spans="1:24" ht="12.95" customHeight="1">
      <c r="A250" s="1259"/>
      <c r="B250" s="37"/>
      <c r="C250" s="37"/>
      <c r="D250" s="37"/>
      <c r="E250" s="37"/>
      <c r="F250" s="37"/>
      <c r="G250" s="37"/>
      <c r="H250" s="37"/>
      <c r="I250" s="37"/>
      <c r="J250" s="37"/>
      <c r="K250" s="37"/>
      <c r="L250" s="37"/>
      <c r="M250" s="37"/>
      <c r="N250" s="12"/>
      <c r="O250" s="12"/>
      <c r="P250" s="39"/>
      <c r="Q250" s="12"/>
      <c r="R250" s="12"/>
      <c r="S250" s="12"/>
      <c r="T250" s="12"/>
      <c r="U250" s="12"/>
      <c r="V250" s="12"/>
      <c r="W250" s="12"/>
      <c r="X250" s="12"/>
    </row>
    <row r="251" spans="1:24" ht="12.95" customHeight="1">
      <c r="A251" s="1259"/>
      <c r="B251" s="37"/>
      <c r="C251" s="37"/>
      <c r="D251" s="37"/>
      <c r="E251" s="37"/>
      <c r="F251" s="37"/>
      <c r="G251" s="37"/>
      <c r="H251" s="37"/>
      <c r="I251" s="37"/>
      <c r="J251" s="37"/>
      <c r="K251" s="37"/>
      <c r="L251" s="37"/>
      <c r="M251" s="37"/>
      <c r="N251" s="12"/>
      <c r="O251" s="12"/>
      <c r="P251" s="12"/>
      <c r="Q251" s="12"/>
      <c r="R251" s="12"/>
      <c r="S251" s="12"/>
      <c r="T251" s="12"/>
      <c r="U251" s="12"/>
      <c r="V251" s="12"/>
      <c r="W251" s="12"/>
      <c r="X251" s="12"/>
    </row>
    <row r="252" spans="1:24" ht="12.95" customHeight="1">
      <c r="A252" s="1259"/>
      <c r="B252" s="37"/>
      <c r="C252" s="37"/>
      <c r="D252" s="37"/>
      <c r="E252" s="37"/>
      <c r="F252" s="37"/>
      <c r="G252" s="37"/>
      <c r="H252" s="37"/>
      <c r="I252" s="37"/>
      <c r="J252" s="37"/>
      <c r="K252" s="37"/>
      <c r="L252" s="37"/>
      <c r="M252" s="37"/>
      <c r="N252" s="12"/>
      <c r="O252" s="12"/>
      <c r="P252" s="12"/>
      <c r="Q252" s="12"/>
      <c r="R252" s="12"/>
      <c r="S252" s="12"/>
      <c r="T252" s="12"/>
      <c r="U252" s="12"/>
      <c r="V252" s="12"/>
      <c r="W252" s="12"/>
      <c r="X252" s="12"/>
    </row>
    <row r="253" spans="1:24" ht="12.95" customHeight="1">
      <c r="A253" s="1259"/>
      <c r="B253" s="37"/>
      <c r="C253" s="37"/>
      <c r="D253" s="37"/>
      <c r="E253" s="37"/>
      <c r="F253" s="37"/>
      <c r="G253" s="37"/>
      <c r="H253" s="37"/>
      <c r="I253" s="37"/>
      <c r="J253" s="37"/>
      <c r="K253" s="37"/>
      <c r="L253" s="37"/>
      <c r="M253" s="37"/>
      <c r="N253" s="12"/>
      <c r="O253" s="12"/>
      <c r="P253" s="12"/>
      <c r="Q253" s="12"/>
      <c r="R253" s="12"/>
      <c r="S253" s="12"/>
      <c r="T253" s="12"/>
      <c r="U253" s="12"/>
      <c r="V253" s="12"/>
      <c r="W253" s="12"/>
      <c r="X253" s="12"/>
    </row>
    <row r="254" spans="1:24" ht="12.95" customHeight="1" thickBot="1">
      <c r="A254" s="1260"/>
      <c r="B254" s="37"/>
      <c r="C254" s="37"/>
      <c r="D254" s="37"/>
      <c r="E254" s="37"/>
      <c r="F254" s="37"/>
      <c r="G254" s="37"/>
      <c r="H254" s="37"/>
      <c r="I254" s="37"/>
      <c r="J254" s="37"/>
      <c r="K254" s="37"/>
      <c r="L254" s="37"/>
      <c r="M254" s="37"/>
      <c r="N254" s="12"/>
      <c r="O254" s="12"/>
      <c r="P254" s="12"/>
      <c r="Q254" s="12"/>
      <c r="R254" s="12"/>
      <c r="S254" s="12"/>
      <c r="T254" s="12"/>
      <c r="U254" s="12"/>
      <c r="V254" s="12"/>
      <c r="W254" s="12"/>
      <c r="X254" s="12"/>
    </row>
    <row r="255" spans="1:24" ht="12.95" customHeight="1" thickBot="1">
      <c r="A255" s="12"/>
      <c r="B255" s="37"/>
      <c r="C255" s="37"/>
      <c r="D255" s="37"/>
      <c r="E255" s="37"/>
      <c r="F255" s="37"/>
      <c r="G255" s="37"/>
      <c r="H255" s="37"/>
      <c r="I255" s="37"/>
      <c r="J255" s="37"/>
      <c r="K255" s="37"/>
      <c r="L255" s="37"/>
      <c r="M255" s="37"/>
      <c r="N255" s="12"/>
      <c r="O255" s="12"/>
      <c r="P255" s="12"/>
      <c r="Q255" s="12"/>
      <c r="R255" s="12"/>
      <c r="S255" s="12"/>
      <c r="T255" s="12"/>
      <c r="U255" s="12"/>
      <c r="V255" s="12"/>
      <c r="W255" s="12"/>
      <c r="X255" s="12"/>
    </row>
    <row r="256" spans="1:24" ht="12.95" customHeight="1">
      <c r="A256" s="1261" t="s">
        <v>123</v>
      </c>
      <c r="B256" s="37"/>
      <c r="C256" s="37"/>
      <c r="D256" s="37"/>
      <c r="E256" s="37"/>
      <c r="F256" s="37"/>
      <c r="G256" s="37"/>
      <c r="H256" s="37"/>
      <c r="I256" s="37"/>
      <c r="J256" s="37"/>
      <c r="K256" s="37"/>
      <c r="L256" s="37"/>
      <c r="M256" s="37"/>
      <c r="N256" s="12"/>
      <c r="O256" s="12"/>
      <c r="P256" s="12"/>
      <c r="Q256" s="12"/>
      <c r="R256" s="12"/>
      <c r="S256" s="12"/>
      <c r="T256" s="12"/>
      <c r="U256" s="12"/>
      <c r="V256" s="12"/>
      <c r="W256" s="12"/>
      <c r="X256" s="12"/>
    </row>
    <row r="257" spans="1:24" ht="12.95" customHeight="1">
      <c r="A257" s="1262"/>
      <c r="B257" s="37"/>
      <c r="C257" s="37"/>
      <c r="D257" s="37"/>
      <c r="E257" s="37"/>
      <c r="F257" s="37"/>
      <c r="G257" s="37"/>
      <c r="H257" s="37"/>
      <c r="I257" s="37"/>
      <c r="J257" s="37"/>
      <c r="K257" s="37"/>
      <c r="L257" s="37"/>
      <c r="M257" s="37"/>
      <c r="N257" s="12"/>
      <c r="O257" s="12"/>
      <c r="P257" s="12"/>
      <c r="Q257" s="12"/>
      <c r="R257" s="12"/>
      <c r="S257" s="12"/>
      <c r="T257" s="12"/>
      <c r="U257" s="12"/>
      <c r="V257" s="12"/>
      <c r="W257" s="12"/>
      <c r="X257" s="12"/>
    </row>
    <row r="258" spans="1:24" ht="12.95" customHeight="1">
      <c r="A258" s="1262"/>
      <c r="B258" s="37"/>
      <c r="C258" s="37"/>
      <c r="D258" s="37"/>
      <c r="E258" s="37"/>
      <c r="F258" s="37"/>
      <c r="G258" s="37"/>
      <c r="H258" s="37"/>
      <c r="I258" s="37"/>
      <c r="J258" s="37"/>
      <c r="K258" s="37"/>
      <c r="L258" s="37"/>
      <c r="M258" s="37"/>
      <c r="N258" s="12"/>
      <c r="O258" s="12"/>
      <c r="P258" s="12"/>
      <c r="Q258" s="12"/>
      <c r="R258" s="12"/>
      <c r="S258" s="12"/>
      <c r="T258" s="12"/>
      <c r="U258" s="12"/>
      <c r="V258" s="12"/>
      <c r="W258" s="12"/>
      <c r="X258" s="12"/>
    </row>
    <row r="259" spans="1:24" ht="12.95" customHeight="1">
      <c r="A259" s="1262"/>
      <c r="B259" s="37"/>
      <c r="C259" s="37"/>
      <c r="D259" s="37"/>
      <c r="E259" s="37"/>
      <c r="F259" s="37"/>
      <c r="G259" s="37"/>
      <c r="H259" s="37"/>
      <c r="I259" s="37"/>
      <c r="J259" s="37"/>
      <c r="K259" s="37"/>
      <c r="L259" s="37"/>
      <c r="M259" s="37"/>
      <c r="N259" s="12"/>
      <c r="O259" s="12"/>
      <c r="P259" s="12"/>
      <c r="Q259" s="12"/>
      <c r="R259" s="12"/>
      <c r="S259" s="12"/>
      <c r="T259" s="12"/>
      <c r="U259" s="12"/>
      <c r="V259" s="12"/>
      <c r="W259" s="12"/>
      <c r="X259" s="12"/>
    </row>
    <row r="260" spans="1:24" ht="12.95" customHeight="1">
      <c r="A260" s="1262"/>
      <c r="B260" s="37"/>
      <c r="C260" s="37"/>
      <c r="D260" s="37"/>
      <c r="E260" s="37"/>
      <c r="F260" s="37"/>
      <c r="G260" s="37"/>
      <c r="H260" s="37"/>
      <c r="I260" s="37"/>
      <c r="J260" s="37"/>
      <c r="K260" s="37"/>
      <c r="L260" s="37"/>
      <c r="M260" s="37"/>
      <c r="N260" s="12"/>
      <c r="O260" s="12"/>
      <c r="P260" s="12"/>
      <c r="Q260" s="12"/>
      <c r="R260" s="12"/>
      <c r="S260" s="12"/>
      <c r="T260" s="12"/>
      <c r="U260" s="12"/>
      <c r="V260" s="12"/>
      <c r="W260" s="12"/>
      <c r="X260" s="12"/>
    </row>
    <row r="261" spans="1:24" ht="12.95" customHeight="1">
      <c r="A261" s="1262"/>
      <c r="B261" s="37"/>
      <c r="C261" s="37"/>
      <c r="D261" s="37"/>
      <c r="E261" s="37"/>
      <c r="F261" s="37"/>
      <c r="G261" s="37"/>
      <c r="H261" s="37"/>
      <c r="I261" s="37"/>
      <c r="J261" s="37"/>
      <c r="K261" s="37"/>
      <c r="L261" s="37"/>
      <c r="M261" s="37"/>
      <c r="N261" s="12"/>
      <c r="O261" s="12"/>
      <c r="P261" s="12"/>
      <c r="Q261" s="12"/>
      <c r="R261" s="12"/>
      <c r="S261" s="12"/>
      <c r="T261" s="12"/>
      <c r="U261" s="12"/>
      <c r="V261" s="12"/>
      <c r="W261" s="12"/>
      <c r="X261" s="12"/>
    </row>
    <row r="262" spans="1:24" ht="12.95" customHeight="1">
      <c r="A262" s="1262"/>
      <c r="B262" s="37"/>
      <c r="C262" s="37"/>
      <c r="D262" s="37"/>
      <c r="E262" s="37"/>
      <c r="F262" s="37"/>
      <c r="G262" s="37"/>
      <c r="H262" s="37"/>
      <c r="I262" s="37"/>
      <c r="J262" s="37"/>
      <c r="K262" s="37"/>
      <c r="L262" s="37"/>
      <c r="M262" s="37"/>
      <c r="N262" s="12"/>
      <c r="O262" s="12"/>
      <c r="P262" s="12"/>
      <c r="Q262" s="12"/>
      <c r="R262" s="12"/>
      <c r="S262" s="12"/>
      <c r="T262" s="12"/>
      <c r="U262" s="12"/>
      <c r="V262" s="12"/>
      <c r="W262" s="12"/>
      <c r="X262" s="12"/>
    </row>
    <row r="263" spans="1:24" ht="12.95" customHeight="1" thickBot="1">
      <c r="A263" s="1263"/>
      <c r="B263" s="37"/>
      <c r="C263" s="37"/>
      <c r="D263" s="37"/>
      <c r="E263" s="37"/>
      <c r="F263" s="37"/>
      <c r="G263" s="37"/>
      <c r="H263" s="37"/>
      <c r="I263" s="37"/>
      <c r="J263" s="37"/>
      <c r="K263" s="37"/>
      <c r="L263" s="37"/>
      <c r="M263" s="37"/>
      <c r="N263" s="12"/>
      <c r="O263" s="12"/>
      <c r="P263" s="12"/>
      <c r="Q263" s="12"/>
      <c r="R263" s="12"/>
      <c r="S263" s="12"/>
      <c r="T263" s="12"/>
      <c r="U263" s="12"/>
      <c r="V263" s="12"/>
      <c r="W263" s="12"/>
      <c r="X263" s="12"/>
    </row>
    <row r="264" spans="1:24" ht="12.95" customHeight="1" thickBot="1">
      <c r="A264" s="12"/>
      <c r="B264" s="37"/>
      <c r="C264" s="37"/>
      <c r="D264" s="37"/>
      <c r="E264" s="37"/>
      <c r="F264" s="37"/>
      <c r="G264" s="37"/>
      <c r="H264" s="37"/>
      <c r="I264" s="37"/>
      <c r="J264" s="37"/>
      <c r="K264" s="37"/>
      <c r="L264" s="37"/>
      <c r="M264" s="37"/>
      <c r="N264" s="12"/>
      <c r="O264" s="12"/>
      <c r="P264" s="12"/>
      <c r="Q264" s="12"/>
      <c r="R264" s="12"/>
      <c r="S264" s="12"/>
      <c r="T264" s="12"/>
      <c r="U264" s="12"/>
      <c r="V264" s="12"/>
      <c r="W264" s="12"/>
      <c r="X264" s="12"/>
    </row>
    <row r="265" spans="1:24" ht="12.95" customHeight="1">
      <c r="A265" s="1264" t="s">
        <v>134</v>
      </c>
      <c r="B265" s="37"/>
      <c r="C265" s="37"/>
      <c r="D265" s="37"/>
      <c r="E265" s="37"/>
      <c r="F265" s="37"/>
      <c r="G265" s="37"/>
      <c r="H265" s="37"/>
      <c r="I265" s="37"/>
      <c r="J265" s="37"/>
      <c r="K265" s="37"/>
      <c r="L265" s="37"/>
      <c r="M265" s="37"/>
      <c r="N265" s="12"/>
      <c r="O265" s="12"/>
      <c r="P265" s="12"/>
      <c r="Q265" s="12"/>
      <c r="R265" s="12"/>
      <c r="S265" s="12"/>
      <c r="T265" s="12"/>
      <c r="U265" s="12"/>
      <c r="V265" s="12"/>
      <c r="W265" s="12"/>
      <c r="X265" s="12"/>
    </row>
    <row r="266" spans="1:24" ht="12.95" customHeight="1">
      <c r="A266" s="1265"/>
      <c r="B266" s="37"/>
      <c r="C266" s="37"/>
      <c r="D266" s="37"/>
      <c r="E266" s="37"/>
      <c r="F266" s="37"/>
      <c r="G266" s="37"/>
      <c r="H266" s="37"/>
      <c r="I266" s="37"/>
      <c r="J266" s="37"/>
      <c r="K266" s="37"/>
      <c r="L266" s="37"/>
      <c r="M266" s="37"/>
      <c r="N266" s="12"/>
      <c r="O266" s="12"/>
      <c r="P266" s="12"/>
      <c r="Q266" s="12"/>
      <c r="R266" s="12"/>
      <c r="S266" s="12"/>
      <c r="T266" s="12"/>
      <c r="U266" s="12"/>
      <c r="V266" s="12"/>
      <c r="W266" s="12"/>
      <c r="X266" s="12"/>
    </row>
    <row r="267" spans="1:24" ht="12.95" customHeight="1">
      <c r="A267" s="1265"/>
      <c r="B267" s="37"/>
      <c r="C267" s="37"/>
      <c r="D267" s="37"/>
      <c r="E267" s="37"/>
      <c r="F267" s="37"/>
      <c r="G267" s="37"/>
      <c r="H267" s="37"/>
      <c r="I267" s="37"/>
      <c r="J267" s="37"/>
      <c r="K267" s="37"/>
      <c r="L267" s="37"/>
      <c r="M267" s="37"/>
      <c r="N267" s="12"/>
      <c r="O267" s="12"/>
      <c r="P267" s="12"/>
      <c r="Q267" s="12"/>
      <c r="R267" s="12"/>
      <c r="S267" s="12"/>
      <c r="T267" s="12"/>
      <c r="U267" s="12"/>
      <c r="V267" s="12"/>
      <c r="W267" s="12"/>
      <c r="X267" s="12"/>
    </row>
    <row r="268" spans="1:24" ht="12.95" customHeight="1">
      <c r="A268" s="1265"/>
      <c r="B268" s="37"/>
      <c r="C268" s="37"/>
      <c r="D268" s="37"/>
      <c r="E268" s="37"/>
      <c r="F268" s="37"/>
      <c r="G268" s="37"/>
      <c r="H268" s="37"/>
      <c r="I268" s="37"/>
      <c r="J268" s="37"/>
      <c r="K268" s="37"/>
      <c r="L268" s="37"/>
      <c r="M268" s="37"/>
      <c r="N268" s="12"/>
      <c r="O268" s="12"/>
      <c r="P268" s="12"/>
      <c r="Q268" s="12"/>
      <c r="R268" s="12"/>
      <c r="S268" s="12"/>
      <c r="T268" s="12"/>
      <c r="U268" s="12"/>
      <c r="V268" s="12"/>
      <c r="W268" s="12"/>
      <c r="X268" s="12"/>
    </row>
    <row r="269" spans="1:24" ht="12.95" customHeight="1">
      <c r="A269" s="1265"/>
      <c r="B269" s="37"/>
      <c r="C269" s="37"/>
      <c r="D269" s="37"/>
      <c r="E269" s="37"/>
      <c r="F269" s="37"/>
      <c r="G269" s="37"/>
      <c r="H269" s="37"/>
      <c r="I269" s="37"/>
      <c r="J269" s="37"/>
      <c r="K269" s="37"/>
      <c r="L269" s="37"/>
      <c r="M269" s="37"/>
      <c r="N269" s="12"/>
      <c r="O269" s="12"/>
      <c r="P269" s="12"/>
      <c r="Q269" s="12"/>
      <c r="R269" s="12"/>
      <c r="S269" s="12"/>
      <c r="T269" s="12"/>
      <c r="U269" s="12"/>
      <c r="V269" s="12"/>
      <c r="W269" s="12"/>
      <c r="X269" s="12"/>
    </row>
    <row r="270" spans="1:24" ht="12.95" customHeight="1">
      <c r="A270" s="1265"/>
      <c r="B270" s="37"/>
      <c r="C270" s="37"/>
      <c r="D270" s="37"/>
      <c r="E270" s="37"/>
      <c r="F270" s="37"/>
      <c r="G270" s="37"/>
      <c r="H270" s="37"/>
      <c r="I270" s="37"/>
      <c r="J270" s="37"/>
      <c r="K270" s="37"/>
      <c r="L270" s="37"/>
      <c r="M270" s="37"/>
      <c r="N270" s="12"/>
      <c r="O270" s="12"/>
      <c r="P270" s="12"/>
      <c r="Q270" s="12"/>
      <c r="R270" s="12"/>
      <c r="S270" s="12"/>
      <c r="T270" s="12"/>
      <c r="U270" s="12"/>
      <c r="V270" s="12"/>
      <c r="W270" s="12"/>
      <c r="X270" s="12"/>
    </row>
    <row r="271" spans="1:24" ht="12.95" customHeight="1">
      <c r="A271" s="1265"/>
      <c r="B271" s="37"/>
      <c r="C271" s="37"/>
      <c r="D271" s="37"/>
      <c r="E271" s="37"/>
      <c r="F271" s="37"/>
      <c r="G271" s="37"/>
      <c r="H271" s="37"/>
      <c r="I271" s="37"/>
      <c r="J271" s="37"/>
      <c r="K271" s="37"/>
      <c r="L271" s="37"/>
      <c r="M271" s="37"/>
      <c r="N271" s="12"/>
      <c r="O271" s="12"/>
      <c r="P271" s="12"/>
      <c r="Q271" s="12"/>
      <c r="R271" s="12"/>
      <c r="S271" s="12"/>
      <c r="T271" s="12"/>
      <c r="U271" s="12"/>
      <c r="V271" s="12"/>
      <c r="W271" s="12"/>
      <c r="X271" s="12"/>
    </row>
    <row r="272" spans="1:24" ht="12.95" customHeight="1" thickBot="1">
      <c r="A272" s="1266"/>
      <c r="B272" s="37"/>
      <c r="C272" s="37"/>
      <c r="D272" s="37"/>
      <c r="E272" s="37"/>
      <c r="F272" s="37"/>
      <c r="G272" s="37"/>
      <c r="H272" s="37"/>
      <c r="I272" s="37"/>
      <c r="J272" s="37"/>
      <c r="K272" s="37"/>
      <c r="L272" s="37"/>
      <c r="M272" s="37"/>
      <c r="N272" s="12"/>
      <c r="O272" s="12"/>
      <c r="P272" s="12"/>
      <c r="Q272" s="12"/>
      <c r="R272" s="12"/>
      <c r="S272" s="12"/>
      <c r="T272" s="12"/>
      <c r="U272" s="12"/>
      <c r="V272" s="12"/>
      <c r="W272" s="12"/>
      <c r="X272" s="12"/>
    </row>
    <row r="273" spans="1:24" ht="12.95" customHeight="1">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row>
    <row r="274" spans="1:24" ht="12.95" customHeight="1">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row>
    <row r="275" spans="1:24" ht="12.95" customHeight="1">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row>
    <row r="276" spans="1:24" ht="12.95" customHeight="1">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row>
    <row r="277" spans="1:24" ht="12.95" customHeight="1">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row>
    <row r="278" spans="1:24" ht="12.95" customHeight="1">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row>
    <row r="279" spans="1:24" ht="12.95" customHeight="1">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row>
    <row r="280" spans="1:24" ht="12.95" customHeight="1">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row>
    <row r="281" spans="1:24" ht="12.95" customHeight="1">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row>
    <row r="282" spans="1:24" ht="12.95" customHeight="1">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row>
    <row r="283" spans="1:24" ht="12.95" customHeight="1">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row>
    <row r="284" spans="1:24" ht="12.95" customHeight="1">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row>
    <row r="285" spans="1:24" ht="12.95" customHeight="1">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row>
    <row r="286" spans="1:24" ht="12.95" customHeight="1">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row>
    <row r="287" spans="1:24" ht="12.95" customHeight="1">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row>
    <row r="288" spans="1:24" ht="12.95" customHeight="1">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row>
    <row r="289" spans="1:24" ht="12.95" customHeight="1">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row>
    <row r="290" spans="1:24" ht="12.95" customHeight="1">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row>
    <row r="291" spans="1:24" ht="12.95" customHeight="1">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row>
    <row r="292" spans="1:24" ht="12.95" customHeight="1">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row>
    <row r="293" spans="1:24" ht="12.95" customHeight="1">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row>
    <row r="294" spans="1:24" ht="12.95" customHeight="1">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row>
    <row r="295" spans="1:24" ht="12.95" customHeight="1">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row>
    <row r="296" spans="1:24" ht="12.95" customHeight="1">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row>
    <row r="297" spans="1:24" ht="12.95" customHeight="1">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row>
    <row r="298" spans="1:24" ht="12.95" customHeight="1">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row>
    <row r="299" spans="1:24" ht="12.95" customHeight="1">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row>
    <row r="300" spans="1:24" ht="12.95" customHeight="1">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row>
    <row r="301" spans="1:24" ht="12.95" customHeight="1">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row>
    <row r="302" spans="1:24" ht="12.95" customHeight="1">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row>
    <row r="303" spans="1:24" ht="12.95" customHeight="1">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row>
    <row r="304" spans="1:24" ht="12.95" customHeight="1">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row>
    <row r="305" spans="1:24" ht="12.95" customHeight="1">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row>
    <row r="306" spans="1:24" ht="12.95" customHeight="1">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row>
    <row r="307" spans="1:24" ht="12.95" customHeight="1">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row>
    <row r="308" spans="1:24" ht="12.95" customHeight="1">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row>
    <row r="309" spans="1:24" ht="12.95" customHeight="1">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row>
    <row r="310" spans="1:24" ht="12.95" customHeight="1">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row>
    <row r="311" spans="1:24" ht="12.95" customHeight="1">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row>
    <row r="312" spans="1:24" ht="12.95" customHeight="1">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row>
    <row r="313" spans="1:24" ht="12.95" customHeight="1">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row>
    <row r="314" spans="1:24" ht="12.95" customHeight="1">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row>
    <row r="315" spans="1:24" ht="12.95" customHeight="1">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row>
    <row r="316" spans="1:24" ht="12.95" customHeight="1">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row>
    <row r="317" spans="1:24" ht="12.95" customHeight="1">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row>
    <row r="318" spans="1:24" ht="12.95" customHeight="1">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row>
    <row r="319" spans="1:24" ht="12.95" customHeight="1">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row>
    <row r="320" spans="1:24" ht="12.95" customHeight="1">
      <c r="P320" s="12"/>
      <c r="Q320" s="12"/>
      <c r="R320" s="12"/>
      <c r="S320" s="12"/>
      <c r="T320" s="12"/>
      <c r="U320" s="12"/>
      <c r="V320" s="12"/>
      <c r="W320" s="12"/>
      <c r="X320" s="12"/>
    </row>
    <row r="321" spans="16:24" ht="12.95" customHeight="1">
      <c r="P321" s="12"/>
      <c r="Q321" s="12"/>
      <c r="R321" s="12"/>
      <c r="S321" s="12"/>
      <c r="T321" s="12"/>
      <c r="U321" s="12"/>
      <c r="V321" s="12"/>
      <c r="W321" s="12"/>
      <c r="X321" s="12"/>
    </row>
    <row r="322" spans="16:24" ht="12.95" customHeight="1">
      <c r="P322" s="12"/>
      <c r="Q322" s="12"/>
      <c r="R322" s="12"/>
      <c r="S322" s="12"/>
      <c r="T322" s="12"/>
      <c r="U322" s="12"/>
      <c r="V322" s="12"/>
      <c r="W322" s="12"/>
      <c r="X322" s="12"/>
    </row>
    <row r="323" spans="16:24" ht="12.95" customHeight="1">
      <c r="P323" s="12"/>
      <c r="Q323" s="12"/>
      <c r="R323" s="12"/>
      <c r="S323" s="12"/>
      <c r="T323" s="12"/>
      <c r="U323" s="12"/>
      <c r="V323" s="12"/>
      <c r="W323" s="12"/>
      <c r="X323" s="12"/>
    </row>
    <row r="324" spans="16:24" ht="12.95" customHeight="1">
      <c r="P324" s="12"/>
      <c r="Q324" s="12"/>
      <c r="R324" s="12"/>
      <c r="S324" s="12"/>
      <c r="T324" s="12"/>
      <c r="U324" s="12"/>
      <c r="V324" s="12"/>
      <c r="W324" s="12"/>
      <c r="X324" s="12"/>
    </row>
    <row r="325" spans="16:24" ht="12.95" customHeight="1">
      <c r="P325" s="12"/>
      <c r="Q325" s="12"/>
      <c r="R325" s="12"/>
      <c r="S325" s="12"/>
      <c r="T325" s="12"/>
      <c r="U325" s="12"/>
      <c r="V325" s="12"/>
      <c r="W325" s="12"/>
      <c r="X325" s="12"/>
    </row>
    <row r="326" spans="16:24" ht="12.95" customHeight="1">
      <c r="P326" s="12"/>
      <c r="Q326" s="12"/>
      <c r="R326" s="12"/>
      <c r="S326" s="12"/>
      <c r="T326" s="12"/>
      <c r="U326" s="12"/>
      <c r="V326" s="12"/>
      <c r="W326" s="12"/>
      <c r="X326" s="12"/>
    </row>
    <row r="327" spans="16:24" ht="12.95" customHeight="1">
      <c r="P327" s="12"/>
      <c r="Q327" s="12"/>
      <c r="R327" s="12"/>
      <c r="S327" s="12"/>
      <c r="T327" s="12"/>
      <c r="U327" s="12"/>
      <c r="V327" s="12"/>
      <c r="W327" s="12"/>
      <c r="X327" s="12"/>
    </row>
  </sheetData>
  <sheetProtection algorithmName="SHA-512" hashValue="T8if2wCyA0SgltC3p82VbjZghY0iMrcqsK6Pqsg5RH+qGZa6FF7/wpVtmdhgcSBTEcOkVm/aykHvziT28BprqQ==" saltValue="su/sR77ok1cFU4frDP+GxQ=="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phoneticPr fontId="87" type="noConversion"/>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7</xdr:col>
                <xdr:colOff>304800</xdr:colOff>
                <xdr:row>0</xdr:row>
                <xdr:rowOff>381000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B0F0"/>
    <pageSetUpPr fitToPage="1"/>
  </sheetPr>
  <dimension ref="A1:Y1115"/>
  <sheetViews>
    <sheetView showRowColHeaders="0" topLeftCell="F1" zoomScaleNormal="100" zoomScaleSheetLayoutView="40" zoomScalePageLayoutView="10" workbookViewId="0">
      <pane ySplit="2" topLeftCell="A3" activePane="bottomLeft" state="frozen"/>
      <selection activeCell="D50" sqref="D50"/>
      <selection pane="bottomLeft" activeCell="P4" sqref="P4"/>
    </sheetView>
  </sheetViews>
  <sheetFormatPr defaultRowHeight="15"/>
  <cols>
    <col min="1" max="1" width="5.5703125" bestFit="1" customWidth="1"/>
    <col min="2" max="2" width="81.5703125" style="332" bestFit="1" customWidth="1"/>
    <col min="3" max="3" width="15.28515625" bestFit="1" customWidth="1"/>
    <col min="4" max="15" width="13.85546875" bestFit="1" customWidth="1"/>
  </cols>
  <sheetData>
    <row r="1" spans="1:22" ht="19.5" customHeight="1">
      <c r="B1"/>
      <c r="C1" s="1285" t="str">
        <f>"CurrentCycle "&amp;CurrentCycle&amp;"       Cycle in Calculation "&amp;CycleInCalculation&amp;"        Cycle for Monte-Carlo Simulation "&amp;MCSCycleCurrent</f>
        <v>CurrentCycle 12       Cycle in Calculation 12        Cycle for Monte-Carlo Simulation 4</v>
      </c>
      <c r="D1" s="1285"/>
      <c r="E1" s="1285"/>
      <c r="F1" s="1285"/>
      <c r="G1" s="1285"/>
      <c r="H1" s="1285"/>
      <c r="I1" s="1285"/>
    </row>
    <row r="2" spans="1:22">
      <c r="B2" s="344" t="s">
        <v>613</v>
      </c>
      <c r="C2" s="335" t="s">
        <v>23</v>
      </c>
      <c r="D2" s="336" t="s">
        <v>22</v>
      </c>
      <c r="E2" s="337" t="s">
        <v>21</v>
      </c>
      <c r="F2" s="338" t="s">
        <v>20</v>
      </c>
      <c r="G2" s="339" t="s">
        <v>19</v>
      </c>
      <c r="H2" s="340" t="s">
        <v>18</v>
      </c>
      <c r="I2" s="341" t="s">
        <v>17</v>
      </c>
      <c r="J2" s="342" t="s">
        <v>16</v>
      </c>
    </row>
    <row r="3" spans="1:22" s="330" customFormat="1" ht="15.75" thickBot="1">
      <c r="A3" s="328"/>
      <c r="B3" s="720"/>
      <c r="C3" s="345" t="s">
        <v>453</v>
      </c>
      <c r="D3" s="343">
        <v>0</v>
      </c>
      <c r="E3" s="329">
        <v>1</v>
      </c>
      <c r="F3" s="329">
        <v>2</v>
      </c>
      <c r="G3" s="329">
        <v>3</v>
      </c>
      <c r="H3" s="329">
        <v>4</v>
      </c>
      <c r="I3" s="329">
        <v>5</v>
      </c>
      <c r="J3" s="329">
        <v>6</v>
      </c>
      <c r="K3" s="330">
        <v>7</v>
      </c>
      <c r="L3" s="330">
        <v>8</v>
      </c>
      <c r="M3" s="330">
        <v>9</v>
      </c>
      <c r="N3" s="330">
        <v>10</v>
      </c>
      <c r="O3" s="330">
        <v>11</v>
      </c>
    </row>
    <row r="4" spans="1:22">
      <c r="A4" s="395"/>
      <c r="B4" s="394"/>
      <c r="C4" s="35" t="s">
        <v>557</v>
      </c>
      <c r="D4" s="35" t="s">
        <v>1464</v>
      </c>
      <c r="E4" s="35" t="s">
        <v>1464</v>
      </c>
      <c r="F4" s="35" t="s">
        <v>1464</v>
      </c>
      <c r="G4" s="35" t="s">
        <v>1568</v>
      </c>
      <c r="H4" s="35" t="s">
        <v>1568</v>
      </c>
      <c r="I4" s="35" t="s">
        <v>1598</v>
      </c>
      <c r="J4" s="35" t="s">
        <v>1464</v>
      </c>
      <c r="K4" t="s">
        <v>1609</v>
      </c>
      <c r="L4" t="s">
        <v>1568</v>
      </c>
      <c r="M4" t="s">
        <v>1615</v>
      </c>
      <c r="N4" t="s">
        <v>1464</v>
      </c>
      <c r="O4" t="s">
        <v>1615</v>
      </c>
    </row>
    <row r="5" spans="1:22" s="723" customFormat="1">
      <c r="A5" s="721" t="s">
        <v>0</v>
      </c>
      <c r="B5" s="724" t="s">
        <v>676</v>
      </c>
    </row>
    <row r="6" spans="1:22" s="520" customFormat="1">
      <c r="A6" s="119"/>
      <c r="B6" s="331" t="s">
        <v>597</v>
      </c>
      <c r="C6" s="922">
        <v>764903.85250000004</v>
      </c>
      <c r="D6" s="922">
        <v>2030944.35</v>
      </c>
      <c r="E6" s="922">
        <v>2030944.35</v>
      </c>
      <c r="F6" s="922">
        <v>1960116.6513</v>
      </c>
      <c r="G6" s="922">
        <v>1960116.6513</v>
      </c>
      <c r="H6" s="922">
        <v>1960116.6513</v>
      </c>
      <c r="I6" s="922">
        <v>2405204.5144982031</v>
      </c>
      <c r="J6" s="922">
        <v>2405195.1327999998</v>
      </c>
      <c r="K6" s="922">
        <v>2405195.1327999998</v>
      </c>
      <c r="L6" s="922">
        <v>2405195.1327999998</v>
      </c>
      <c r="M6" s="922">
        <v>2405195.1327999998</v>
      </c>
      <c r="N6" s="922">
        <v>2405199.0027000001</v>
      </c>
      <c r="O6" s="922">
        <v>2405199.0027000001</v>
      </c>
      <c r="P6" s="922"/>
      <c r="Q6" s="922"/>
    </row>
    <row r="7" spans="1:22" s="520" customFormat="1">
      <c r="A7" s="119"/>
      <c r="B7" s="331" t="s">
        <v>595</v>
      </c>
      <c r="C7" s="922">
        <v>234195.3187</v>
      </c>
      <c r="D7" s="922">
        <v>632756.25230000005</v>
      </c>
      <c r="E7" s="922">
        <v>632756.25230000005</v>
      </c>
      <c r="F7" s="922">
        <v>611618.71050000004</v>
      </c>
      <c r="G7" s="922">
        <v>611618.71050000004</v>
      </c>
      <c r="H7" s="922">
        <v>611618.71050000004</v>
      </c>
      <c r="I7" s="922">
        <v>741236.7326067395</v>
      </c>
      <c r="J7" s="922">
        <v>741236.73259999999</v>
      </c>
      <c r="K7" s="922">
        <v>741236.73259999999</v>
      </c>
      <c r="L7" s="922">
        <v>741236.73259999999</v>
      </c>
      <c r="M7" s="922">
        <v>741236.73259999999</v>
      </c>
      <c r="N7" s="922">
        <v>741236.73259999999</v>
      </c>
      <c r="O7" s="922">
        <v>741236.73259999999</v>
      </c>
      <c r="P7" s="922"/>
      <c r="Q7" s="922"/>
    </row>
    <row r="8" spans="1:22" s="520" customFormat="1">
      <c r="A8" s="119"/>
      <c r="B8" s="331" t="s">
        <v>594</v>
      </c>
      <c r="C8" s="922">
        <v>251494.67790000001</v>
      </c>
      <c r="D8" s="922">
        <v>660762.42799999996</v>
      </c>
      <c r="E8" s="922">
        <v>660762.42799999996</v>
      </c>
      <c r="F8" s="922">
        <v>637492.10259999998</v>
      </c>
      <c r="G8" s="922">
        <v>637492.10259999998</v>
      </c>
      <c r="H8" s="922">
        <v>637492.10259999998</v>
      </c>
      <c r="I8" s="922">
        <v>786578.17820530769</v>
      </c>
      <c r="J8" s="922">
        <v>786568.79650000005</v>
      </c>
      <c r="K8" s="922">
        <v>786568.79650000005</v>
      </c>
      <c r="L8" s="922">
        <v>786568.79650000005</v>
      </c>
      <c r="M8" s="922">
        <v>786568.79650000005</v>
      </c>
      <c r="N8" s="922">
        <v>786572.66639999999</v>
      </c>
      <c r="O8" s="922">
        <v>786572.66639999999</v>
      </c>
      <c r="P8" s="922"/>
      <c r="Q8" s="922"/>
    </row>
    <row r="9" spans="1:22">
      <c r="A9" s="119"/>
      <c r="B9" s="331" t="s">
        <v>596</v>
      </c>
      <c r="C9" s="922">
        <v>279213.85590000002</v>
      </c>
      <c r="D9" s="922">
        <v>737425.66969999997</v>
      </c>
      <c r="E9" s="922">
        <v>737425.66969999997</v>
      </c>
      <c r="F9" s="922">
        <v>711005.8382</v>
      </c>
      <c r="G9" s="922">
        <v>711005.8382</v>
      </c>
      <c r="H9" s="922">
        <v>711005.8382</v>
      </c>
      <c r="I9" s="922">
        <v>877389.60368615587</v>
      </c>
      <c r="J9" s="922">
        <v>877389.60369999998</v>
      </c>
      <c r="K9" s="922">
        <v>877389.60369999998</v>
      </c>
      <c r="L9" s="922">
        <v>877389.60369999998</v>
      </c>
      <c r="M9" s="922">
        <v>877389.60369999998</v>
      </c>
      <c r="N9" s="922">
        <v>877389.60369999998</v>
      </c>
      <c r="O9" s="922">
        <v>877389.60369999998</v>
      </c>
      <c r="P9" s="922"/>
      <c r="Q9" s="922"/>
      <c r="R9" s="520"/>
      <c r="S9" s="520"/>
      <c r="T9" s="520"/>
      <c r="U9" s="520"/>
      <c r="V9" s="520"/>
    </row>
    <row r="10" spans="1:22">
      <c r="A10" s="119"/>
      <c r="B10" s="331"/>
      <c r="C10" s="922"/>
      <c r="D10" s="922"/>
      <c r="E10" s="922"/>
      <c r="F10" s="922"/>
      <c r="G10" s="922"/>
      <c r="H10" s="922"/>
      <c r="I10" s="922"/>
      <c r="J10" s="922"/>
      <c r="K10" s="922"/>
      <c r="L10" s="922"/>
      <c r="M10" s="922"/>
      <c r="N10" s="922"/>
      <c r="O10" s="922"/>
      <c r="P10" s="922"/>
      <c r="Q10" s="922"/>
    </row>
    <row r="11" spans="1:22" s="718" customFormat="1">
      <c r="A11" s="119"/>
      <c r="B11" s="331" t="s">
        <v>599</v>
      </c>
      <c r="C11" s="922">
        <v>-503145.07940000005</v>
      </c>
      <c r="D11" s="922">
        <v>789000.9031</v>
      </c>
      <c r="E11" s="922">
        <v>707307.9031</v>
      </c>
      <c r="F11" s="922">
        <v>636480.20429999998</v>
      </c>
      <c r="G11" s="922">
        <v>889696.37470000004</v>
      </c>
      <c r="H11" s="922">
        <v>889696.37470000004</v>
      </c>
      <c r="I11" s="922">
        <v>1264154.8344797855</v>
      </c>
      <c r="J11" s="922">
        <v>1264146.7428000001</v>
      </c>
      <c r="K11" s="922">
        <v>1284018.4347999999</v>
      </c>
      <c r="L11" s="922">
        <v>1324221.2848</v>
      </c>
      <c r="M11" s="922">
        <v>1295439.8348000001</v>
      </c>
      <c r="N11" s="922">
        <v>1271354.9046</v>
      </c>
      <c r="O11" s="922">
        <v>1271354.9046</v>
      </c>
      <c r="P11" s="922"/>
      <c r="Q11" s="922"/>
    </row>
    <row r="12" spans="1:22" s="718" customFormat="1">
      <c r="A12" s="119"/>
      <c r="B12" s="331" t="s">
        <v>600</v>
      </c>
      <c r="C12" s="922">
        <v>-139781.28700000001</v>
      </c>
      <c r="D12" s="922">
        <v>263370.89909999998</v>
      </c>
      <c r="E12" s="922">
        <v>235370.89910000001</v>
      </c>
      <c r="F12" s="922">
        <v>214233.3572</v>
      </c>
      <c r="G12" s="922">
        <v>284927.08069999999</v>
      </c>
      <c r="H12" s="922">
        <v>284927.08069999999</v>
      </c>
      <c r="I12" s="922">
        <v>394352.35586075374</v>
      </c>
      <c r="J12" s="922">
        <v>394352.35590000002</v>
      </c>
      <c r="K12" s="922">
        <v>400498.41249999998</v>
      </c>
      <c r="L12" s="922">
        <v>407998.41249999998</v>
      </c>
      <c r="M12" s="922">
        <v>400998.41249999998</v>
      </c>
      <c r="N12" s="922">
        <v>393516.6826</v>
      </c>
      <c r="O12" s="922">
        <v>393516.6826</v>
      </c>
      <c r="P12" s="922"/>
      <c r="Q12" s="922"/>
    </row>
    <row r="13" spans="1:22" s="718" customFormat="1">
      <c r="A13" s="119"/>
      <c r="B13" s="331" t="s">
        <v>601</v>
      </c>
      <c r="C13" s="922">
        <v>-168832.29060000001</v>
      </c>
      <c r="D13" s="922">
        <v>252773.45120000001</v>
      </c>
      <c r="E13" s="922">
        <v>227463.45120000001</v>
      </c>
      <c r="F13" s="922">
        <v>204193.12580000001</v>
      </c>
      <c r="G13" s="922">
        <v>285156.8492</v>
      </c>
      <c r="H13" s="922">
        <v>285156.8492</v>
      </c>
      <c r="I13" s="922">
        <v>409871.06832537265</v>
      </c>
      <c r="J13" s="922">
        <v>409862.97659999999</v>
      </c>
      <c r="K13" s="922">
        <v>416345.99780000001</v>
      </c>
      <c r="L13" s="922">
        <v>427750.99780000001</v>
      </c>
      <c r="M13" s="922">
        <v>418275.99780000001</v>
      </c>
      <c r="N13" s="922">
        <v>410311.17810000002</v>
      </c>
      <c r="O13" s="922">
        <v>410311.17810000002</v>
      </c>
      <c r="P13" s="922"/>
      <c r="Q13" s="922"/>
    </row>
    <row r="14" spans="1:22" s="718" customFormat="1">
      <c r="A14" s="119"/>
      <c r="B14" s="331" t="s">
        <v>602</v>
      </c>
      <c r="C14" s="922">
        <v>-194531.5018</v>
      </c>
      <c r="D14" s="922">
        <v>272856.5528</v>
      </c>
      <c r="E14" s="922">
        <v>244473.5528</v>
      </c>
      <c r="F14" s="922">
        <v>218053.7213</v>
      </c>
      <c r="G14" s="922">
        <v>319612.4448</v>
      </c>
      <c r="H14" s="922">
        <v>319612.4448</v>
      </c>
      <c r="I14" s="922">
        <v>459931.4102936592</v>
      </c>
      <c r="J14" s="922">
        <v>459931.41029999999</v>
      </c>
      <c r="K14" s="922">
        <v>467174.0245</v>
      </c>
      <c r="L14" s="922">
        <v>488471.87449999998</v>
      </c>
      <c r="M14" s="922">
        <v>476165.42450000002</v>
      </c>
      <c r="N14" s="922">
        <v>467527.04389999999</v>
      </c>
      <c r="O14" s="922">
        <v>467527.04389999999</v>
      </c>
      <c r="P14" s="922"/>
      <c r="Q14" s="922"/>
    </row>
    <row r="15" spans="1:22" s="718" customFormat="1">
      <c r="A15" s="119"/>
      <c r="B15" s="331"/>
      <c r="C15" s="922"/>
      <c r="D15" s="922"/>
      <c r="E15" s="922"/>
      <c r="F15" s="922"/>
      <c r="G15" s="922"/>
      <c r="H15" s="922"/>
      <c r="I15" s="922"/>
      <c r="J15" s="922"/>
      <c r="K15" s="922"/>
      <c r="L15" s="922"/>
      <c r="M15" s="922"/>
      <c r="N15" s="922"/>
      <c r="O15" s="922"/>
      <c r="P15" s="922"/>
      <c r="Q15" s="922"/>
    </row>
    <row r="16" spans="1:22" s="718" customFormat="1">
      <c r="A16" s="119"/>
      <c r="B16" s="331" t="s">
        <v>598</v>
      </c>
      <c r="C16" s="922">
        <v>-503145.07940000005</v>
      </c>
      <c r="D16" s="922">
        <v>509861.00659999996</v>
      </c>
      <c r="E16" s="922">
        <v>453448.8345</v>
      </c>
      <c r="F16" s="922">
        <v>406622.25450000004</v>
      </c>
      <c r="G16" s="922">
        <v>624122.00699999998</v>
      </c>
      <c r="H16" s="922">
        <v>624122.00699999998</v>
      </c>
      <c r="I16" s="922">
        <v>886804.61638756958</v>
      </c>
      <c r="J16" s="922">
        <v>886798.94019999995</v>
      </c>
      <c r="K16" s="922">
        <v>900738.93190000008</v>
      </c>
      <c r="L16" s="922">
        <v>928941.23120000004</v>
      </c>
      <c r="M16" s="922">
        <v>908751.04409999994</v>
      </c>
      <c r="N16" s="922">
        <v>891855.46550000005</v>
      </c>
      <c r="O16" s="922">
        <v>891855.46550000005</v>
      </c>
      <c r="P16" s="922"/>
      <c r="Q16" s="922"/>
    </row>
    <row r="17" spans="1:22" s="718" customFormat="1">
      <c r="A17" s="119"/>
      <c r="B17" s="331" t="s">
        <v>603</v>
      </c>
      <c r="C17" s="922">
        <v>-139781.28700000001</v>
      </c>
      <c r="D17" s="922">
        <v>171191.08439999999</v>
      </c>
      <c r="E17" s="922">
        <v>152658.80439999999</v>
      </c>
      <c r="F17" s="922">
        <v>138658.43640000001</v>
      </c>
      <c r="G17" s="922">
        <v>199876.34719999999</v>
      </c>
      <c r="H17" s="922">
        <v>199876.34719999999</v>
      </c>
      <c r="I17" s="922">
        <v>276638.17763631872</v>
      </c>
      <c r="J17" s="922">
        <v>276638.1776</v>
      </c>
      <c r="K17" s="922">
        <v>280949.63630000001</v>
      </c>
      <c r="L17" s="922">
        <v>286210.88630000001</v>
      </c>
      <c r="M17" s="922">
        <v>281300.38640000002</v>
      </c>
      <c r="N17" s="922">
        <v>276051.95280000003</v>
      </c>
      <c r="O17" s="922">
        <v>276051.95280000003</v>
      </c>
      <c r="P17" s="922"/>
      <c r="Q17" s="922"/>
    </row>
    <row r="18" spans="1:22" s="718" customFormat="1">
      <c r="A18" s="119"/>
      <c r="B18" s="331" t="s">
        <v>604</v>
      </c>
      <c r="C18" s="922">
        <v>-168832.29060000001</v>
      </c>
      <c r="D18" s="922">
        <v>163107.3885</v>
      </c>
      <c r="E18" s="922">
        <v>145332.1214</v>
      </c>
      <c r="F18" s="922">
        <v>129680.8573</v>
      </c>
      <c r="G18" s="922">
        <v>200037.52979999999</v>
      </c>
      <c r="H18" s="922">
        <v>200037.52979999999</v>
      </c>
      <c r="I18" s="922">
        <v>287524.55443024891</v>
      </c>
      <c r="J18" s="922">
        <v>287518.87819999998</v>
      </c>
      <c r="K18" s="922">
        <v>292066.71740000002</v>
      </c>
      <c r="L18" s="922">
        <v>300067.32490000001</v>
      </c>
      <c r="M18" s="922">
        <v>293420.61239999998</v>
      </c>
      <c r="N18" s="922">
        <v>287833.29139999999</v>
      </c>
      <c r="O18" s="922">
        <v>287833.29139999999</v>
      </c>
      <c r="P18" s="922"/>
      <c r="Q18" s="922"/>
    </row>
    <row r="19" spans="1:22" s="718" customFormat="1">
      <c r="A19" s="119"/>
      <c r="B19" s="331" t="s">
        <v>605</v>
      </c>
      <c r="C19" s="922">
        <v>-194531.5018</v>
      </c>
      <c r="D19" s="922">
        <v>175562.5337</v>
      </c>
      <c r="E19" s="922">
        <v>155457.9087</v>
      </c>
      <c r="F19" s="922">
        <v>138282.9608</v>
      </c>
      <c r="G19" s="922">
        <v>224208.13</v>
      </c>
      <c r="H19" s="922">
        <v>224208.13</v>
      </c>
      <c r="I19" s="922">
        <v>322641.88432100194</v>
      </c>
      <c r="J19" s="922">
        <v>322641.88439999998</v>
      </c>
      <c r="K19" s="922">
        <v>327722.57819999999</v>
      </c>
      <c r="L19" s="922">
        <v>342663.02</v>
      </c>
      <c r="M19" s="922">
        <v>334030.0453</v>
      </c>
      <c r="N19" s="922">
        <v>327970.22129999998</v>
      </c>
      <c r="O19" s="922">
        <v>327970.22129999998</v>
      </c>
      <c r="P19" s="922"/>
      <c r="Q19" s="922"/>
    </row>
    <row r="20" spans="1:22" s="718" customFormat="1">
      <c r="A20" s="119"/>
      <c r="B20" s="331"/>
      <c r="C20" s="922"/>
      <c r="D20" s="922"/>
      <c r="E20" s="922"/>
      <c r="F20" s="922"/>
      <c r="G20" s="922"/>
      <c r="H20" s="922"/>
      <c r="I20" s="922"/>
      <c r="J20" s="922"/>
      <c r="K20" s="922"/>
      <c r="L20" s="922"/>
      <c r="M20" s="922"/>
      <c r="N20" s="922"/>
      <c r="O20" s="922"/>
      <c r="P20" s="922"/>
      <c r="Q20" s="922"/>
    </row>
    <row r="21" spans="1:22" s="718" customFormat="1">
      <c r="A21" s="119"/>
      <c r="B21" s="331" t="s">
        <v>622</v>
      </c>
      <c r="C21" s="922">
        <v>-150000</v>
      </c>
      <c r="D21" s="922">
        <v>-150000</v>
      </c>
      <c r="E21" s="922">
        <v>-150000</v>
      </c>
      <c r="F21" s="922">
        <v>-150000</v>
      </c>
      <c r="G21" s="922">
        <v>-150000</v>
      </c>
      <c r="H21" s="922">
        <v>-150000</v>
      </c>
      <c r="I21" s="922">
        <v>-150000</v>
      </c>
      <c r="J21" s="922">
        <v>-150000</v>
      </c>
      <c r="K21" s="922">
        <v>-150000</v>
      </c>
      <c r="L21" s="922">
        <v>-150000</v>
      </c>
      <c r="M21" s="922">
        <v>-150000</v>
      </c>
      <c r="N21" s="922">
        <v>-150000</v>
      </c>
      <c r="O21" s="922">
        <v>-150000</v>
      </c>
      <c r="P21" s="922"/>
      <c r="Q21" s="922"/>
    </row>
    <row r="22" spans="1:22">
      <c r="A22" s="119"/>
      <c r="B22" s="331"/>
    </row>
    <row r="23" spans="1:22" s="719" customFormat="1">
      <c r="A23" s="119"/>
      <c r="B23" s="331" t="s">
        <v>606</v>
      </c>
      <c r="C23" s="719">
        <f t="shared" ref="C23:H23" si="0">C11/C6</f>
        <v>-0.65778865900011929</v>
      </c>
      <c r="D23" s="719">
        <f t="shared" si="0"/>
        <v>0.38848967136888807</v>
      </c>
      <c r="E23" s="719">
        <f t="shared" si="0"/>
        <v>0.34826552637939096</v>
      </c>
      <c r="F23" s="719">
        <f t="shared" si="0"/>
        <v>0.32471547235613241</v>
      </c>
      <c r="G23" s="719">
        <f t="shared" si="0"/>
        <v>0.45389970750461733</v>
      </c>
      <c r="H23" s="719">
        <f t="shared" si="0"/>
        <v>0.45389970750461733</v>
      </c>
      <c r="I23" s="719">
        <f>I11/I6</f>
        <v>0.52559141098382878</v>
      </c>
      <c r="J23" s="719">
        <f>J11/J6</f>
        <v>0.52559009685353386</v>
      </c>
      <c r="K23" s="719">
        <f>K11/K6</f>
        <v>0.53385208430270448</v>
      </c>
      <c r="L23" s="719">
        <f>L11/L6</f>
        <v>0.55056708985537162</v>
      </c>
      <c r="M23" s="719">
        <f>M11/M6</f>
        <v>0.53860072188484687</v>
      </c>
      <c r="N23" s="719">
        <f>N11/N6</f>
        <v>0.5285861598864865</v>
      </c>
      <c r="O23" s="719">
        <f>O11/O6</f>
        <v>0.5285861598864865</v>
      </c>
    </row>
    <row r="24" spans="1:22" s="719" customFormat="1">
      <c r="A24" s="119"/>
      <c r="B24" s="331" t="s">
        <v>607</v>
      </c>
      <c r="C24" s="719">
        <f t="shared" ref="C24:H24" si="1">C16/C6</f>
        <v>-0.65778865900011929</v>
      </c>
      <c r="D24" s="719">
        <f t="shared" si="1"/>
        <v>0.25104627145495145</v>
      </c>
      <c r="E24" s="719">
        <f t="shared" si="1"/>
        <v>0.22326994557974963</v>
      </c>
      <c r="F24" s="719">
        <f t="shared" si="1"/>
        <v>0.20744798746050019</v>
      </c>
      <c r="G24" s="719">
        <f t="shared" si="1"/>
        <v>0.31841064488996923</v>
      </c>
      <c r="H24" s="719">
        <f t="shared" si="1"/>
        <v>0.31841064488996923</v>
      </c>
      <c r="I24" s="719">
        <f>I16/I6</f>
        <v>0.36870237480515594</v>
      </c>
      <c r="J24" s="719">
        <f>J16/J6</f>
        <v>0.36870145299505741</v>
      </c>
      <c r="K24" s="719">
        <f>K16/K6</f>
        <v>0.37449723709169819</v>
      </c>
      <c r="L24" s="719">
        <f>L16/L6</f>
        <v>0.38622281349728838</v>
      </c>
      <c r="M24" s="719">
        <f>M16/M6</f>
        <v>0.37782840639714771</v>
      </c>
      <c r="N24" s="719">
        <f>N16/N6</f>
        <v>0.37080319112839788</v>
      </c>
      <c r="O24" s="719">
        <f>O16/O6</f>
        <v>0.37080319112839788</v>
      </c>
    </row>
    <row r="25" spans="1:22">
      <c r="A25" s="119"/>
      <c r="B25" s="331"/>
    </row>
    <row r="26" spans="1:22" s="718" customFormat="1">
      <c r="A26" s="119"/>
      <c r="B26" s="331" t="s">
        <v>608</v>
      </c>
      <c r="C26" s="922">
        <v>29.714268496819553</v>
      </c>
      <c r="D26" s="922">
        <v>5.2036218878184792</v>
      </c>
      <c r="E26" s="922">
        <v>5.9061654027051569</v>
      </c>
      <c r="F26" s="922">
        <v>6.1792675984708412</v>
      </c>
      <c r="G26" s="922">
        <v>4.3234833141576745</v>
      </c>
      <c r="H26" s="922">
        <v>4.3234833141576745</v>
      </c>
      <c r="I26" s="922">
        <v>3.4884318970933776</v>
      </c>
      <c r="J26" s="922">
        <v>3.4884318229739821</v>
      </c>
      <c r="K26" s="922">
        <v>3.4509947240943664</v>
      </c>
      <c r="L26" s="922">
        <v>3.2938432832400313</v>
      </c>
      <c r="M26" s="922">
        <v>3.4405179613707442</v>
      </c>
      <c r="N26" s="922">
        <v>3.4860600296956417</v>
      </c>
      <c r="O26" s="922">
        <v>3.4860600296956417</v>
      </c>
      <c r="P26" s="922"/>
      <c r="Q26" s="922"/>
      <c r="R26" s="922"/>
      <c r="S26" s="922"/>
    </row>
    <row r="27" spans="1:22" s="718" customFormat="1">
      <c r="A27" s="119"/>
      <c r="B27" s="331" t="s">
        <v>609</v>
      </c>
      <c r="C27" s="922">
        <v>579911.76</v>
      </c>
      <c r="D27" s="922">
        <v>274385.34999999998</v>
      </c>
      <c r="E27" s="922">
        <v>311430.25</v>
      </c>
      <c r="F27" s="922">
        <v>314946.3</v>
      </c>
      <c r="G27" s="922">
        <v>220360.27</v>
      </c>
      <c r="H27" s="922">
        <v>220360.27</v>
      </c>
      <c r="I27" s="922">
        <v>215479.48844355214</v>
      </c>
      <c r="J27" s="922">
        <v>215479.49</v>
      </c>
      <c r="K27" s="922">
        <v>213167</v>
      </c>
      <c r="L27" s="922">
        <v>203459.8</v>
      </c>
      <c r="M27" s="922">
        <v>212519.86</v>
      </c>
      <c r="N27" s="922">
        <v>215332.98</v>
      </c>
      <c r="O27" s="922">
        <v>215332.98</v>
      </c>
      <c r="P27" s="922"/>
      <c r="Q27" s="922"/>
      <c r="R27" s="922"/>
      <c r="S27" s="922"/>
    </row>
    <row r="28" spans="1:22">
      <c r="A28" s="119"/>
      <c r="B28" s="331"/>
      <c r="C28" s="922"/>
      <c r="D28" s="922"/>
      <c r="E28" s="922"/>
      <c r="F28" s="922"/>
      <c r="G28" s="922"/>
      <c r="H28" s="922"/>
      <c r="I28" s="922"/>
      <c r="J28" s="922"/>
      <c r="K28" s="922"/>
      <c r="L28" s="922"/>
      <c r="M28" s="922"/>
      <c r="N28" s="922"/>
      <c r="O28" s="922"/>
      <c r="P28" s="922"/>
      <c r="Q28" s="922"/>
      <c r="R28" s="922"/>
      <c r="S28" s="922"/>
    </row>
    <row r="29" spans="1:22">
      <c r="A29" s="119"/>
      <c r="B29" s="331" t="s">
        <v>682</v>
      </c>
      <c r="C29" s="922">
        <v>-289781.28999999998</v>
      </c>
      <c r="D29" s="922">
        <v>21191.08</v>
      </c>
      <c r="E29" s="922">
        <v>2658.8</v>
      </c>
      <c r="F29" s="922">
        <v>-11341.56</v>
      </c>
      <c r="G29" s="922">
        <v>49876.35</v>
      </c>
      <c r="H29" s="922">
        <v>49876.35</v>
      </c>
      <c r="I29" s="922">
        <v>126638.17763631872</v>
      </c>
      <c r="J29" s="922">
        <v>126638.18</v>
      </c>
      <c r="K29" s="922">
        <v>130949.64</v>
      </c>
      <c r="L29" s="922">
        <v>136210.89000000001</v>
      </c>
      <c r="M29" s="922">
        <v>131300.39000000001</v>
      </c>
      <c r="N29" s="922">
        <v>126051.95</v>
      </c>
      <c r="O29" s="922">
        <v>126051.95</v>
      </c>
      <c r="P29" s="922"/>
      <c r="Q29" s="922"/>
      <c r="R29" s="922"/>
      <c r="S29" s="922"/>
      <c r="T29" s="520"/>
      <c r="U29" s="520"/>
      <c r="V29" s="520"/>
    </row>
    <row r="30" spans="1:22">
      <c r="A30" s="119"/>
      <c r="B30" s="331"/>
    </row>
    <row r="31" spans="1:22" s="719" customFormat="1">
      <c r="A31" s="119"/>
      <c r="B31" s="331" t="s">
        <v>610</v>
      </c>
      <c r="C31" s="719">
        <f t="shared" ref="C31:H31" si="2">C16/(-C21)</f>
        <v>-3.3543005293333334</v>
      </c>
      <c r="D31" s="719">
        <f t="shared" si="2"/>
        <v>3.399073377333333</v>
      </c>
      <c r="E31" s="719">
        <f t="shared" si="2"/>
        <v>3.0229922299999998</v>
      </c>
      <c r="F31" s="719">
        <f t="shared" si="2"/>
        <v>2.7108150300000005</v>
      </c>
      <c r="G31" s="719">
        <f t="shared" si="2"/>
        <v>4.1608133799999996</v>
      </c>
      <c r="H31" s="719">
        <f t="shared" si="2"/>
        <v>4.1608133799999996</v>
      </c>
      <c r="I31" s="719">
        <f>I16/(-I21)</f>
        <v>5.9120307759171302</v>
      </c>
      <c r="J31" s="719">
        <f>J16/(-J21)</f>
        <v>5.9119929346666664</v>
      </c>
      <c r="K31" s="719">
        <f>K16/(-K21)</f>
        <v>6.0049262126666676</v>
      </c>
      <c r="L31" s="719">
        <f>L16/(-L21)</f>
        <v>6.192941541333334</v>
      </c>
      <c r="M31" s="719">
        <f>M16/(-M21)</f>
        <v>6.0583402939999997</v>
      </c>
      <c r="N31" s="719">
        <f>N16/(-N21)</f>
        <v>5.9457031033333338</v>
      </c>
      <c r="O31" s="719">
        <f>O16/(-O21)</f>
        <v>5.9457031033333338</v>
      </c>
    </row>
    <row r="32" spans="1:22" s="380" customFormat="1">
      <c r="A32" s="119"/>
      <c r="B32" s="331" t="s">
        <v>619</v>
      </c>
      <c r="C32" s="380" t="e">
        <f>IRR((C21,C17:C19))</f>
        <v>#NUM!</v>
      </c>
      <c r="D32" s="380">
        <f>IRR((D21,D17:D19))</f>
        <v>0.98570911237718306</v>
      </c>
      <c r="E32" s="380">
        <f>IRR((E21,E17:E19))</f>
        <v>0.84643924005914384</v>
      </c>
      <c r="F32" s="380">
        <f>IRR((F21,F17:F19))</f>
        <v>0.73130604955765355</v>
      </c>
      <c r="G32" s="380">
        <f>IRR((G21,G17:G19))</f>
        <v>1.2307165943776224</v>
      </c>
      <c r="H32" s="380">
        <f>IRR((H21,H17:H19))</f>
        <v>1.2307165943776224</v>
      </c>
      <c r="I32" s="380">
        <f>IRR((I21,I17:I19))</f>
        <v>1.8022167043572024</v>
      </c>
      <c r="J32" s="380">
        <f>IRR((J21,J17:J19))</f>
        <v>1.8022073238010257</v>
      </c>
      <c r="K32" s="380">
        <f>IRR((K21,K17:K19))</f>
        <v>1.8326622954790022</v>
      </c>
      <c r="L32" s="380">
        <f>IRR((L21,L17:L19))</f>
        <v>1.878666861395383</v>
      </c>
      <c r="M32" s="380">
        <f>IRR((M21,M17:M19))</f>
        <v>1.8401469007747275</v>
      </c>
      <c r="N32" s="380">
        <f>IRR((N21,N17:N19))</f>
        <v>1.8031523584935067</v>
      </c>
      <c r="O32" s="380">
        <f>IRR((O21,O17:O19))</f>
        <v>1.8031523584935067</v>
      </c>
    </row>
    <row r="33" spans="1:25">
      <c r="A33" s="119"/>
      <c r="B33" s="331"/>
    </row>
    <row r="34" spans="1:25" s="380" customFormat="1">
      <c r="A34" s="119"/>
      <c r="B34" s="331" t="s">
        <v>611</v>
      </c>
      <c r="C34" s="380">
        <f>FindNameFinM("Investment",0)</f>
        <v>0.05</v>
      </c>
      <c r="D34" s="380">
        <f>FindNameFinM("Investment",1)</f>
        <v>0.05</v>
      </c>
      <c r="E34" s="380">
        <f>FindNameFinM("Investment",2)</f>
        <v>0.05</v>
      </c>
      <c r="F34" s="380">
        <f>FindNameFinM("Investment",3)</f>
        <v>0.05</v>
      </c>
      <c r="G34" s="380">
        <f>FindNameFinM("Investment",4)</f>
        <v>0.05</v>
      </c>
      <c r="H34" s="380">
        <f>FindNameFinM("Investment",5)</f>
        <v>0.05</v>
      </c>
      <c r="I34" s="380">
        <f>FindNameFinM("Investment",6)</f>
        <v>0.05</v>
      </c>
      <c r="J34" s="380">
        <f>FindNameFinM("Investment",7)</f>
        <v>0.05</v>
      </c>
      <c r="K34" s="380">
        <f>FindNameFinM("Investment",8)</f>
        <v>0.05</v>
      </c>
      <c r="L34" s="380">
        <f>FindNameFinM("Investment",9)</f>
        <v>0.05</v>
      </c>
      <c r="M34" s="380">
        <f>FindNameFinM("Investment",10)</f>
        <v>0.05</v>
      </c>
      <c r="N34" s="380">
        <f>FindNameFinM("Investment",11)</f>
        <v>0.05</v>
      </c>
      <c r="O34" s="380">
        <f>FindNameFinM("Investment",12)</f>
        <v>0.05</v>
      </c>
    </row>
    <row r="35" spans="1:25" s="380" customFormat="1">
      <c r="A35" s="119"/>
      <c r="B35" s="331" t="s">
        <v>630</v>
      </c>
      <c r="C35" s="380">
        <f>FindNameFinM("Risk-Free",0)</f>
        <v>0.01</v>
      </c>
      <c r="D35" s="380">
        <f>FindNameFinM("Risk-Free",1)</f>
        <v>0.01</v>
      </c>
      <c r="E35" s="380">
        <f>FindNameFinM("Risk-Free",2)</f>
        <v>0.01</v>
      </c>
      <c r="F35" s="380">
        <f>FindNameFinM("Risk-Free",3)</f>
        <v>0.01</v>
      </c>
      <c r="G35" s="380">
        <f>FindNameFinM("Risk-Free",4)</f>
        <v>0.01</v>
      </c>
      <c r="H35" s="380">
        <f>FindNameFinM("Risk-Free",5)</f>
        <v>0.01</v>
      </c>
      <c r="I35" s="380">
        <f>FindNameFinM("Risk-Free",6)</f>
        <v>0.01</v>
      </c>
      <c r="J35" s="380">
        <f>FindNameFinM("Risk-Free",7)</f>
        <v>0.01</v>
      </c>
      <c r="K35" s="380">
        <f>FindNameFinM("Risk-Free",8)</f>
        <v>0.01</v>
      </c>
      <c r="L35" s="380">
        <f>FindNameFinM("Risk-Free",9)</f>
        <v>0.01</v>
      </c>
      <c r="M35" s="380">
        <f>FindNameFinM("Risk-Free",10)</f>
        <v>0.01</v>
      </c>
      <c r="N35" s="380">
        <f>FindNameFinM("Risk-Free",11)</f>
        <v>0.01</v>
      </c>
      <c r="O35" s="380">
        <f>FindNameFinM("Risk-Free",12)</f>
        <v>0.01</v>
      </c>
    </row>
    <row r="36" spans="1:25" s="380" customFormat="1">
      <c r="A36" s="119"/>
      <c r="B36" s="331"/>
    </row>
    <row r="37" spans="1:25" s="718" customFormat="1">
      <c r="A37" s="119"/>
      <c r="B37" s="331" t="s">
        <v>612</v>
      </c>
      <c r="C37" s="922">
        <f t="shared" ref="C37:H37" si="3">(C17/(1+C34)+C18/(1+C34)^2+C19/(1+C34)^3)+C21</f>
        <v>-604304.52508152463</v>
      </c>
      <c r="D37" s="922">
        <f t="shared" si="3"/>
        <v>312639.85502731882</v>
      </c>
      <c r="E37" s="922">
        <f t="shared" si="3"/>
        <v>261500.24232458696</v>
      </c>
      <c r="F37" s="922">
        <f t="shared" si="3"/>
        <v>219134.03485239175</v>
      </c>
      <c r="G37" s="922">
        <f t="shared" si="3"/>
        <v>415477.77482172544</v>
      </c>
      <c r="H37" s="922">
        <f t="shared" si="3"/>
        <v>415477.77482172544</v>
      </c>
      <c r="I37" s="922">
        <f>(I17/(1+I34)+I18/(1+I34)^2+I19/(1+I34)^3)+I21</f>
        <v>652968.36826848472</v>
      </c>
      <c r="J37" s="922">
        <f>(J17/(1+J34)+J18/(1+J34)^2+J19/(1+J34)^3)+J21</f>
        <v>652963.21979397465</v>
      </c>
      <c r="K37" s="922">
        <f>(K17/(1+K34)+K18/(1+K34)^2+K19/(1+K34)^3)+K21</f>
        <v>665583.28948558471</v>
      </c>
      <c r="L37" s="922">
        <f>(L17/(1+L34)+L18/(1+L34)^2+L19/(1+L34)^3)+L21</f>
        <v>690756.90598488285</v>
      </c>
      <c r="M37" s="922">
        <f>(M17/(1+M34)+M18/(1+M34)^2+M19/(1+M34)^3)+M21</f>
        <v>672593.98710808763</v>
      </c>
      <c r="N37" s="922">
        <f>(N17/(1+N34)+N18/(1+N34)^2+N19/(1+N34)^3)+N21</f>
        <v>657292.91025332035</v>
      </c>
      <c r="O37" s="922">
        <f>(O17/(1+O34)+O18/(1+O34)^2+O19/(1+O34)^3)+O21</f>
        <v>657292.91025332035</v>
      </c>
    </row>
    <row r="38" spans="1:25" s="733" customFormat="1">
      <c r="A38" s="119"/>
      <c r="B38" s="331" t="s">
        <v>623</v>
      </c>
      <c r="C38" s="733">
        <f t="shared" ref="C38:H38" si="4">DURATION(DATE(2014,12,31),DATE(2017,12,31),0.1,C36,1)</f>
        <v>2.7692307692307692</v>
      </c>
      <c r="D38" s="733">
        <f t="shared" si="4"/>
        <v>2.7692307692307692</v>
      </c>
      <c r="E38" s="733">
        <f t="shared" si="4"/>
        <v>2.7692307692307692</v>
      </c>
      <c r="F38" s="733">
        <f t="shared" si="4"/>
        <v>2.7692307692307692</v>
      </c>
      <c r="G38" s="733">
        <f t="shared" si="4"/>
        <v>2.7692307692307692</v>
      </c>
      <c r="H38" s="733">
        <f t="shared" si="4"/>
        <v>2.7692307692307692</v>
      </c>
      <c r="I38" s="733">
        <f>DURATION(DATE(2014,12,31),DATE(2017,12,31),0.1,I36,1)</f>
        <v>2.7692307692307692</v>
      </c>
      <c r="J38" s="733">
        <f>DURATION(DATE(2014,12,31),DATE(2017,12,31),0.1,J36,1)</f>
        <v>2.7692307692307692</v>
      </c>
      <c r="K38" s="733">
        <f>DURATION(DATE(2014,12,31),DATE(2017,12,31),0.1,K36,1)</f>
        <v>2.7692307692307692</v>
      </c>
      <c r="L38" s="733">
        <f>DURATION(DATE(2014,12,31),DATE(2017,12,31),0.1,L36,1)</f>
        <v>2.7692307692307692</v>
      </c>
      <c r="M38" s="733">
        <f>DURATION(DATE(2014,12,31),DATE(2017,12,31),0.1,M36,1)</f>
        <v>2.7692307692307692</v>
      </c>
      <c r="N38" s="733">
        <f>DURATION(DATE(2014,12,31),DATE(2017,12,31),0.1,N36,1)</f>
        <v>2.7692307692307692</v>
      </c>
      <c r="O38" s="733">
        <f>DURATION(DATE(2014,12,31),DATE(2017,12,31),0.1,O36,1)</f>
        <v>2.7692307692307692</v>
      </c>
    </row>
    <row r="39" spans="1:25" s="719" customFormat="1">
      <c r="A39" s="119"/>
      <c r="B39" s="331" t="s">
        <v>620</v>
      </c>
      <c r="C39" s="732">
        <f t="shared" ref="C39:H39" si="5">DurationProject(C17,C18,C19,C34)</f>
        <v>2.0768616383675069</v>
      </c>
      <c r="D39" s="732">
        <f t="shared" si="5"/>
        <v>1.9753985516534915</v>
      </c>
      <c r="E39" s="732">
        <f t="shared" si="5"/>
        <v>1.97302808149765</v>
      </c>
      <c r="F39" s="732">
        <f t="shared" si="5"/>
        <v>1.9658616335824179</v>
      </c>
      <c r="G39" s="732">
        <f t="shared" si="5"/>
        <v>2.0058728863158559</v>
      </c>
      <c r="H39" s="732">
        <f t="shared" si="5"/>
        <v>2.0058728863158559</v>
      </c>
      <c r="I39" s="732">
        <f>DurationProject(I17,I18,I19,I34)</f>
        <v>2.0189861270478078</v>
      </c>
      <c r="J39" s="732">
        <f>DurationProject(J17,J18,J19,J34)</f>
        <v>2.0189862489119474</v>
      </c>
      <c r="K39" s="732">
        <f>DurationProject(K17,K18,K19,K34)</f>
        <v>2.0190391379354398</v>
      </c>
      <c r="L39" s="732">
        <f>DurationProject(L17,L18,L19,L34)</f>
        <v>2.0278599005960158</v>
      </c>
      <c r="M39" s="732">
        <f>DurationProject(M17,M18,M19,M34)</f>
        <v>2.0250944969062092</v>
      </c>
      <c r="N39" s="732">
        <f>DurationProject(N17,N18,N19,N34)</f>
        <v>2.0252775496776501</v>
      </c>
      <c r="O39" s="732">
        <f>DurationProject(O17,O18,O19,O34)</f>
        <v>2.0252775496776501</v>
      </c>
      <c r="P39" s="732" t="str">
        <f t="shared" ref="J39:Y39" si="6">IF(P34="","",DURATION(DATE(2014,12,31),DATE(2017,12,31),0.1,P34,1))</f>
        <v/>
      </c>
      <c r="Q39" s="732" t="str">
        <f t="shared" si="6"/>
        <v/>
      </c>
      <c r="R39" s="732" t="str">
        <f t="shared" si="6"/>
        <v/>
      </c>
      <c r="S39" s="732" t="str">
        <f t="shared" si="6"/>
        <v/>
      </c>
      <c r="T39" s="732" t="str">
        <f t="shared" si="6"/>
        <v/>
      </c>
      <c r="U39" s="732" t="str">
        <f t="shared" si="6"/>
        <v/>
      </c>
      <c r="V39" s="732" t="str">
        <f t="shared" si="6"/>
        <v/>
      </c>
      <c r="W39" s="732" t="str">
        <f t="shared" si="6"/>
        <v/>
      </c>
      <c r="X39" s="732" t="str">
        <f t="shared" si="6"/>
        <v/>
      </c>
      <c r="Y39" s="732" t="str">
        <f t="shared" si="6"/>
        <v/>
      </c>
    </row>
    <row r="40" spans="1:25">
      <c r="A40" s="119"/>
      <c r="B40" s="331"/>
    </row>
    <row r="41" spans="1:25" s="718" customFormat="1">
      <c r="A41" s="119"/>
      <c r="B41" s="331" t="s">
        <v>692</v>
      </c>
      <c r="G41" s="718">
        <v>52771.465734961072</v>
      </c>
    </row>
    <row r="42" spans="1:25" s="380" customFormat="1">
      <c r="A42" s="119"/>
      <c r="B42" s="331" t="s">
        <v>621</v>
      </c>
      <c r="G42" s="380">
        <v>0</v>
      </c>
    </row>
    <row r="43" spans="1:25" s="719" customFormat="1">
      <c r="A43" s="119"/>
      <c r="B43" s="331" t="s">
        <v>693</v>
      </c>
      <c r="G43" s="719">
        <v>0.13522566103215747</v>
      </c>
    </row>
    <row r="44" spans="1:25" s="719" customFormat="1">
      <c r="A44" s="119"/>
      <c r="B44" s="331" t="s">
        <v>629</v>
      </c>
      <c r="C44" s="719" t="str">
        <f>IFERROR((C32-C34)/C43,"")</f>
        <v/>
      </c>
      <c r="G44" s="719">
        <f>(G32-G34)/G43</f>
        <v>8.7314536705931936</v>
      </c>
    </row>
    <row r="45" spans="1:25" s="719" customFormat="1">
      <c r="A45" s="119"/>
      <c r="B45" s="331" t="s">
        <v>628</v>
      </c>
      <c r="G45" s="719">
        <f>(G32-G35)/G43</f>
        <v>9.0272555154108556</v>
      </c>
    </row>
    <row r="46" spans="1:25" s="719" customFormat="1">
      <c r="A46" s="119"/>
      <c r="B46" s="331" t="s">
        <v>714</v>
      </c>
      <c r="G46" s="719">
        <v>409296.01799999998</v>
      </c>
    </row>
    <row r="47" spans="1:25" s="719" customFormat="1">
      <c r="A47" s="119"/>
      <c r="B47" s="331" t="s">
        <v>715</v>
      </c>
      <c r="G47" s="719">
        <v>0.73184280118612921</v>
      </c>
    </row>
    <row r="48" spans="1:25" s="380" customFormat="1">
      <c r="A48" s="119"/>
      <c r="B48" s="331"/>
    </row>
    <row r="49" spans="1:15" s="723" customFormat="1">
      <c r="A49" s="721" t="s">
        <v>0</v>
      </c>
      <c r="B49" s="722" t="s">
        <v>24</v>
      </c>
      <c r="C49" s="731"/>
      <c r="D49" s="731"/>
    </row>
    <row r="50" spans="1:15">
      <c r="A50" s="119">
        <v>1.1000000000000001</v>
      </c>
      <c r="B50" s="331" t="s">
        <v>15</v>
      </c>
    </row>
    <row r="51" spans="1:15">
      <c r="A51" s="119"/>
      <c r="B51" s="331" t="s">
        <v>720</v>
      </c>
      <c r="C51">
        <v>0.357328125</v>
      </c>
      <c r="D51" s="953">
        <v>0.357328125</v>
      </c>
      <c r="E51" s="953">
        <v>0.357328125</v>
      </c>
      <c r="F51" s="953">
        <v>0.357328125</v>
      </c>
      <c r="G51" s="953">
        <v>0.357328125</v>
      </c>
      <c r="H51" s="953">
        <v>0.357328125</v>
      </c>
      <c r="I51" s="953">
        <v>0.357328125</v>
      </c>
      <c r="J51" s="953">
        <v>0.357328125</v>
      </c>
      <c r="K51" s="953">
        <v>0.357328125</v>
      </c>
      <c r="L51" s="953">
        <v>0.357328125</v>
      </c>
      <c r="M51" s="953">
        <v>0.357328125</v>
      </c>
      <c r="N51" s="953">
        <v>0.357328125</v>
      </c>
      <c r="O51" s="953">
        <v>0.357328125</v>
      </c>
    </row>
    <row r="52" spans="1:15">
      <c r="A52" s="119"/>
      <c r="B52" s="331" t="s">
        <v>721</v>
      </c>
      <c r="C52">
        <v>0.38038155241935484</v>
      </c>
      <c r="D52" s="953">
        <v>0.38038155241935484</v>
      </c>
      <c r="E52" s="953">
        <v>0.38038155241935484</v>
      </c>
      <c r="F52" s="953">
        <v>0.38038155241935484</v>
      </c>
      <c r="G52" s="953">
        <v>0.38038155241935484</v>
      </c>
      <c r="H52" s="953">
        <v>0.38038155241935484</v>
      </c>
      <c r="I52" s="953">
        <v>0.38038155241935484</v>
      </c>
      <c r="J52" s="953">
        <v>0.38038155241935484</v>
      </c>
      <c r="K52" s="953">
        <v>0.38038155241935484</v>
      </c>
      <c r="L52" s="953">
        <v>0.38038155241935484</v>
      </c>
      <c r="M52" s="953">
        <v>0.38038155241935484</v>
      </c>
      <c r="N52" s="953">
        <v>0.38038155241935484</v>
      </c>
      <c r="O52" s="953">
        <v>0.38038155241935484</v>
      </c>
    </row>
    <row r="53" spans="1:15">
      <c r="A53" s="119"/>
      <c r="B53" s="331" t="s">
        <v>722</v>
      </c>
      <c r="C53">
        <v>0.41496169354838708</v>
      </c>
      <c r="D53" s="953">
        <v>0.41496169354838708</v>
      </c>
      <c r="E53" s="953">
        <v>0.41496169354838708</v>
      </c>
      <c r="F53" s="953">
        <v>0.41496169354838708</v>
      </c>
      <c r="G53" s="953">
        <v>0.41496169354838708</v>
      </c>
      <c r="H53" s="953">
        <v>0.41496169354838708</v>
      </c>
      <c r="I53" s="953">
        <v>0.41496169354838708</v>
      </c>
      <c r="J53" s="953">
        <v>0.41496169354838708</v>
      </c>
      <c r="K53" s="953">
        <v>0.41496169354838708</v>
      </c>
      <c r="L53" s="953">
        <v>0.41496169354838708</v>
      </c>
      <c r="M53" s="953">
        <v>0.41496169354838708</v>
      </c>
      <c r="N53" s="953">
        <v>0.41496169354838708</v>
      </c>
      <c r="O53" s="953">
        <v>0.41496169354838708</v>
      </c>
    </row>
    <row r="54" spans="1:15">
      <c r="A54" s="119"/>
      <c r="B54" s="331" t="s">
        <v>723</v>
      </c>
      <c r="C54">
        <v>1</v>
      </c>
      <c r="D54" s="953">
        <v>1</v>
      </c>
      <c r="E54" s="953">
        <v>1</v>
      </c>
      <c r="F54" s="953">
        <v>1</v>
      </c>
      <c r="G54" s="953">
        <v>1</v>
      </c>
      <c r="H54" s="953">
        <v>1</v>
      </c>
      <c r="I54" s="953">
        <v>1</v>
      </c>
      <c r="J54" s="953">
        <v>1</v>
      </c>
      <c r="K54" s="953">
        <v>1</v>
      </c>
      <c r="L54" s="953">
        <v>1</v>
      </c>
      <c r="M54" s="953">
        <v>1</v>
      </c>
      <c r="N54" s="953">
        <v>1</v>
      </c>
      <c r="O54" s="953">
        <v>1</v>
      </c>
    </row>
    <row r="55" spans="1:15">
      <c r="A55" s="119"/>
      <c r="B55" s="331" t="s">
        <v>724</v>
      </c>
      <c r="C55">
        <v>1</v>
      </c>
      <c r="D55" s="953">
        <v>1</v>
      </c>
      <c r="E55" s="953">
        <v>1</v>
      </c>
      <c r="F55" s="953">
        <v>1</v>
      </c>
      <c r="G55" s="953">
        <v>1</v>
      </c>
      <c r="H55" s="953">
        <v>1</v>
      </c>
      <c r="I55" s="953">
        <v>1</v>
      </c>
      <c r="J55" s="953">
        <v>1</v>
      </c>
      <c r="K55" s="953">
        <v>1</v>
      </c>
      <c r="L55" s="953">
        <v>1</v>
      </c>
      <c r="M55" s="953">
        <v>1</v>
      </c>
      <c r="N55" s="953">
        <v>1</v>
      </c>
      <c r="O55" s="953">
        <v>1</v>
      </c>
    </row>
    <row r="56" spans="1:15">
      <c r="A56" s="119"/>
      <c r="B56" s="331" t="s">
        <v>725</v>
      </c>
      <c r="C56">
        <v>1</v>
      </c>
      <c r="D56" s="953">
        <v>1</v>
      </c>
      <c r="E56" s="953">
        <v>1</v>
      </c>
      <c r="F56" s="953">
        <v>1</v>
      </c>
      <c r="G56" s="953">
        <v>1</v>
      </c>
      <c r="H56" s="953">
        <v>1</v>
      </c>
      <c r="I56" s="953">
        <v>1</v>
      </c>
      <c r="J56" s="953">
        <v>1</v>
      </c>
      <c r="K56" s="953">
        <v>1</v>
      </c>
      <c r="L56" s="953">
        <v>1</v>
      </c>
      <c r="M56" s="953">
        <v>1</v>
      </c>
      <c r="N56" s="953">
        <v>1</v>
      </c>
      <c r="O56" s="953">
        <v>1</v>
      </c>
    </row>
    <row r="57" spans="1:15">
      <c r="A57" s="119"/>
      <c r="B57" s="331" t="s">
        <v>726</v>
      </c>
      <c r="C57">
        <v>1</v>
      </c>
      <c r="D57" s="953">
        <v>1</v>
      </c>
      <c r="E57" s="953">
        <v>1</v>
      </c>
      <c r="F57" s="953">
        <v>1</v>
      </c>
      <c r="G57" s="953">
        <v>1</v>
      </c>
      <c r="H57" s="953">
        <v>1</v>
      </c>
      <c r="I57" s="953">
        <v>1</v>
      </c>
      <c r="J57" s="953">
        <v>1</v>
      </c>
      <c r="K57" s="953">
        <v>1</v>
      </c>
      <c r="L57" s="953">
        <v>1</v>
      </c>
      <c r="M57" s="953">
        <v>1</v>
      </c>
      <c r="N57" s="953">
        <v>1</v>
      </c>
      <c r="O57" s="953">
        <v>1</v>
      </c>
    </row>
    <row r="58" spans="1:15">
      <c r="A58" s="119"/>
      <c r="B58" s="331" t="s">
        <v>727</v>
      </c>
      <c r="C58">
        <v>1</v>
      </c>
      <c r="D58" s="953">
        <v>1</v>
      </c>
      <c r="E58" s="953">
        <v>1</v>
      </c>
      <c r="F58" s="953">
        <v>1</v>
      </c>
      <c r="G58" s="953">
        <v>1</v>
      </c>
      <c r="H58" s="953">
        <v>1</v>
      </c>
      <c r="I58" s="953">
        <v>1</v>
      </c>
      <c r="J58" s="953">
        <v>1</v>
      </c>
      <c r="K58" s="953">
        <v>1</v>
      </c>
      <c r="L58" s="953">
        <v>1</v>
      </c>
      <c r="M58" s="953">
        <v>1</v>
      </c>
      <c r="N58" s="953">
        <v>1</v>
      </c>
      <c r="O58" s="953">
        <v>1</v>
      </c>
    </row>
    <row r="59" spans="1:15">
      <c r="A59" s="119"/>
      <c r="B59" s="331" t="s">
        <v>728</v>
      </c>
      <c r="C59">
        <v>2</v>
      </c>
      <c r="D59" s="953">
        <v>2</v>
      </c>
      <c r="E59" s="953">
        <v>2</v>
      </c>
      <c r="F59" s="953">
        <v>2</v>
      </c>
      <c r="G59" s="953">
        <v>2</v>
      </c>
      <c r="H59" s="953">
        <v>2</v>
      </c>
      <c r="I59" s="953">
        <v>2</v>
      </c>
      <c r="J59" s="953">
        <v>2</v>
      </c>
      <c r="K59" s="953">
        <v>2</v>
      </c>
      <c r="L59" s="953">
        <v>2</v>
      </c>
      <c r="M59" s="1398">
        <v>1</v>
      </c>
      <c r="N59" s="1398">
        <v>1</v>
      </c>
      <c r="O59" s="1398">
        <v>1</v>
      </c>
    </row>
    <row r="60" spans="1:15" s="1360" customFormat="1">
      <c r="A60" s="1395"/>
      <c r="B60" s="1396" t="s">
        <v>1616</v>
      </c>
      <c r="M60" s="1398">
        <v>0.25</v>
      </c>
      <c r="N60" s="1398">
        <v>0.25</v>
      </c>
      <c r="O60" s="1398">
        <v>0.25</v>
      </c>
    </row>
    <row r="61" spans="1:15" s="1360" customFormat="1">
      <c r="A61" s="1395"/>
      <c r="B61" s="1396" t="s">
        <v>1617</v>
      </c>
      <c r="M61" s="1398">
        <v>0.25</v>
      </c>
      <c r="N61" s="1398">
        <v>0.25</v>
      </c>
      <c r="O61" s="1398">
        <v>0.25</v>
      </c>
    </row>
    <row r="62" spans="1:15" s="1360" customFormat="1">
      <c r="A62" s="1395"/>
      <c r="B62" s="1396" t="s">
        <v>1618</v>
      </c>
      <c r="M62" s="1398">
        <v>0.25</v>
      </c>
      <c r="N62" s="1398">
        <v>0.25</v>
      </c>
      <c r="O62" s="1398">
        <v>0.25</v>
      </c>
    </row>
    <row r="63" spans="1:15" s="1360" customFormat="1">
      <c r="A63" s="1395"/>
      <c r="B63" s="1396" t="s">
        <v>1619</v>
      </c>
      <c r="M63" s="1398">
        <v>0.25</v>
      </c>
      <c r="N63" s="1398">
        <v>0.25</v>
      </c>
      <c r="O63" s="1398">
        <v>0.25</v>
      </c>
    </row>
    <row r="64" spans="1:15" s="1360" customFormat="1">
      <c r="A64" s="1395"/>
      <c r="B64" s="1396" t="s">
        <v>1620</v>
      </c>
      <c r="M64" s="1398">
        <v>0.25</v>
      </c>
      <c r="N64" s="1398">
        <v>0.25</v>
      </c>
      <c r="O64" s="1398">
        <v>0.25</v>
      </c>
    </row>
    <row r="65" spans="1:15" s="1360" customFormat="1">
      <c r="A65" s="1395"/>
      <c r="B65" s="1396" t="s">
        <v>1621</v>
      </c>
      <c r="M65" s="1398">
        <v>0.25</v>
      </c>
      <c r="N65" s="1398">
        <v>0.25</v>
      </c>
      <c r="O65" s="1398">
        <v>0.25</v>
      </c>
    </row>
    <row r="66" spans="1:15" s="1360" customFormat="1">
      <c r="A66" s="1395"/>
      <c r="B66" s="1396" t="s">
        <v>1616</v>
      </c>
      <c r="O66" s="1398">
        <v>0.25</v>
      </c>
    </row>
    <row r="67" spans="1:15" s="1360" customFormat="1">
      <c r="A67" s="1395"/>
      <c r="B67" s="1396" t="s">
        <v>1617</v>
      </c>
      <c r="O67" s="1398">
        <v>0.25</v>
      </c>
    </row>
    <row r="68" spans="1:15" s="1360" customFormat="1">
      <c r="A68" s="1395"/>
      <c r="B68" s="1396" t="s">
        <v>1618</v>
      </c>
      <c r="O68" s="1398">
        <v>0.25</v>
      </c>
    </row>
    <row r="69" spans="1:15" s="1360" customFormat="1">
      <c r="A69" s="1395"/>
      <c r="B69" s="1396" t="s">
        <v>1619</v>
      </c>
      <c r="O69" s="1398">
        <v>0.25</v>
      </c>
    </row>
    <row r="70" spans="1:15" s="1360" customFormat="1">
      <c r="A70" s="1395"/>
      <c r="B70" s="1396" t="s">
        <v>1620</v>
      </c>
      <c r="O70" s="1398">
        <v>0.25</v>
      </c>
    </row>
    <row r="71" spans="1:15" s="1360" customFormat="1">
      <c r="A71" s="1395"/>
      <c r="B71" s="1396" t="s">
        <v>1621</v>
      </c>
      <c r="O71" s="1398">
        <v>0.25</v>
      </c>
    </row>
    <row r="72" spans="1:15">
      <c r="B72" s="331"/>
    </row>
    <row r="73" spans="1:15">
      <c r="A73" s="119">
        <v>1.2</v>
      </c>
      <c r="B73" s="331" t="s">
        <v>14</v>
      </c>
      <c r="D73" s="953"/>
      <c r="E73" s="953"/>
      <c r="F73" s="953"/>
      <c r="G73" s="953"/>
      <c r="H73" s="953"/>
      <c r="I73" s="953"/>
      <c r="J73" s="953"/>
      <c r="K73" s="953"/>
      <c r="L73" s="953"/>
      <c r="M73" s="953"/>
      <c r="N73" s="953"/>
      <c r="O73" s="953"/>
    </row>
    <row r="74" spans="1:15">
      <c r="A74" s="119"/>
      <c r="B74" s="331" t="s">
        <v>729</v>
      </c>
      <c r="C74">
        <v>10000000</v>
      </c>
      <c r="D74" s="953">
        <v>10000000</v>
      </c>
      <c r="E74" s="953">
        <v>10000000</v>
      </c>
      <c r="F74" s="953">
        <v>10000000</v>
      </c>
      <c r="G74" s="953">
        <v>10000000</v>
      </c>
      <c r="H74" s="953">
        <v>10000000</v>
      </c>
      <c r="I74" s="953">
        <v>10000000</v>
      </c>
      <c r="J74" s="953">
        <v>10000000</v>
      </c>
      <c r="K74" s="953">
        <v>10000000</v>
      </c>
      <c r="L74" s="953">
        <v>10000000</v>
      </c>
      <c r="M74" s="953">
        <v>10000000</v>
      </c>
      <c r="N74" s="953">
        <v>10000000</v>
      </c>
      <c r="O74" s="953">
        <v>10000000</v>
      </c>
    </row>
    <row r="75" spans="1:15">
      <c r="A75" s="119"/>
      <c r="B75" s="331" t="s">
        <v>730</v>
      </c>
      <c r="C75">
        <v>1.03</v>
      </c>
      <c r="D75" s="953">
        <v>1.03</v>
      </c>
      <c r="E75" s="953">
        <v>1.03</v>
      </c>
      <c r="F75" s="953">
        <v>1.03</v>
      </c>
      <c r="G75" s="953">
        <v>1.03</v>
      </c>
      <c r="H75" s="953">
        <v>1.03</v>
      </c>
      <c r="I75" s="953">
        <v>1.03</v>
      </c>
      <c r="J75" s="953">
        <v>1.03</v>
      </c>
      <c r="K75" s="953">
        <v>1.03</v>
      </c>
      <c r="L75" s="953">
        <v>1.03</v>
      </c>
      <c r="M75" s="953">
        <v>1.03</v>
      </c>
      <c r="N75" s="953">
        <v>1.03</v>
      </c>
      <c r="O75" s="953">
        <v>1.03</v>
      </c>
    </row>
    <row r="76" spans="1:15">
      <c r="A76" s="119"/>
      <c r="B76" s="331" t="s">
        <v>731</v>
      </c>
      <c r="C76">
        <v>1.06</v>
      </c>
      <c r="D76" s="953">
        <v>1.06</v>
      </c>
      <c r="E76" s="953">
        <v>1.06</v>
      </c>
      <c r="F76" s="953">
        <v>1.06</v>
      </c>
      <c r="G76" s="953">
        <v>1.06</v>
      </c>
      <c r="H76" s="953">
        <v>1.06</v>
      </c>
      <c r="I76" s="953">
        <v>1.06</v>
      </c>
      <c r="J76" s="953">
        <v>1.06</v>
      </c>
      <c r="K76" s="953">
        <v>1.06</v>
      </c>
      <c r="L76" s="953">
        <v>1.06</v>
      </c>
      <c r="M76" s="953">
        <v>1.06</v>
      </c>
      <c r="N76" s="953">
        <v>1.06</v>
      </c>
      <c r="O76" s="953">
        <v>1.06</v>
      </c>
    </row>
    <row r="77" spans="1:15">
      <c r="A77" s="119"/>
      <c r="B77" s="331" t="s">
        <v>732</v>
      </c>
      <c r="C77">
        <v>1.1000000000000001</v>
      </c>
      <c r="D77" s="953">
        <v>1.1000000000000001</v>
      </c>
      <c r="E77" s="953">
        <v>1.1000000000000001</v>
      </c>
      <c r="F77" s="953">
        <v>1.1000000000000001</v>
      </c>
      <c r="G77" s="953">
        <v>1.1000000000000001</v>
      </c>
      <c r="H77" s="953">
        <v>1.1000000000000001</v>
      </c>
      <c r="I77" s="953">
        <v>1.1000000000000001</v>
      </c>
      <c r="J77" s="953">
        <v>1.1000000000000001</v>
      </c>
      <c r="K77" s="953">
        <v>1.1000000000000001</v>
      </c>
      <c r="L77" s="953">
        <v>1.1000000000000001</v>
      </c>
      <c r="M77" s="953">
        <v>1.1000000000000001</v>
      </c>
      <c r="N77" s="953">
        <v>1.1000000000000001</v>
      </c>
      <c r="O77" s="953">
        <v>1.1000000000000001</v>
      </c>
    </row>
    <row r="78" spans="1:15">
      <c r="A78" s="119"/>
      <c r="B78" s="331" t="s">
        <v>733</v>
      </c>
      <c r="D78" s="953"/>
      <c r="E78" s="953"/>
      <c r="F78" s="953"/>
      <c r="G78" s="953"/>
      <c r="H78" s="953"/>
      <c r="I78" s="953"/>
      <c r="J78" s="953"/>
      <c r="K78" s="953"/>
      <c r="L78" s="953"/>
      <c r="M78" s="953"/>
      <c r="N78" s="953"/>
      <c r="O78" s="953"/>
    </row>
    <row r="79" spans="1:15">
      <c r="A79" s="119"/>
      <c r="B79" s="331" t="s">
        <v>734</v>
      </c>
      <c r="C79">
        <v>52800</v>
      </c>
      <c r="D79" s="953">
        <v>52800</v>
      </c>
      <c r="E79" s="953">
        <v>52800</v>
      </c>
      <c r="F79" s="953">
        <v>52800</v>
      </c>
      <c r="G79" s="953">
        <v>52800</v>
      </c>
      <c r="H79" s="953">
        <v>52800</v>
      </c>
      <c r="I79" s="953">
        <v>52800</v>
      </c>
      <c r="J79" s="953">
        <v>52800</v>
      </c>
      <c r="K79" s="953">
        <v>52800</v>
      </c>
      <c r="L79" s="953">
        <v>52800</v>
      </c>
      <c r="M79" s="953">
        <v>52800</v>
      </c>
      <c r="N79" s="953">
        <v>52800</v>
      </c>
      <c r="O79" s="953">
        <v>52800</v>
      </c>
    </row>
    <row r="80" spans="1:15">
      <c r="A80" s="119"/>
      <c r="B80" s="331" t="s">
        <v>735</v>
      </c>
      <c r="D80" s="953"/>
      <c r="E80" s="953"/>
      <c r="F80" s="953"/>
      <c r="G80" s="953"/>
      <c r="H80" s="953"/>
      <c r="I80" s="953"/>
      <c r="J80" s="953"/>
      <c r="K80" s="953"/>
      <c r="L80" s="953"/>
      <c r="M80" s="953"/>
      <c r="N80" s="953"/>
      <c r="O80" s="953"/>
    </row>
    <row r="81" spans="1:15">
      <c r="A81" s="119"/>
      <c r="B81" s="331" t="s">
        <v>736</v>
      </c>
      <c r="D81" s="953"/>
      <c r="E81" s="953"/>
      <c r="F81" s="953"/>
      <c r="G81" s="953"/>
      <c r="H81" s="953"/>
      <c r="I81" s="953"/>
      <c r="J81" s="953"/>
      <c r="K81" s="953"/>
      <c r="L81" s="953"/>
      <c r="M81" s="953"/>
      <c r="N81" s="953"/>
      <c r="O81" s="953"/>
    </row>
    <row r="82" spans="1:15">
      <c r="A82" s="119"/>
      <c r="B82" s="331" t="s">
        <v>737</v>
      </c>
      <c r="D82" s="953"/>
      <c r="E82" s="953"/>
      <c r="F82" s="953"/>
      <c r="G82" s="953"/>
      <c r="H82" s="953"/>
      <c r="I82" s="953"/>
      <c r="J82" s="953"/>
      <c r="K82" s="953"/>
      <c r="L82" s="953"/>
      <c r="M82" s="953"/>
      <c r="N82" s="953"/>
      <c r="O82" s="953"/>
    </row>
    <row r="83" spans="1:15">
      <c r="A83" s="119"/>
      <c r="B83" s="331" t="s">
        <v>738</v>
      </c>
      <c r="D83" s="953"/>
      <c r="E83" s="953"/>
      <c r="F83" s="953"/>
      <c r="G83" s="953"/>
      <c r="H83" s="953"/>
      <c r="I83" s="953"/>
      <c r="J83" s="953"/>
      <c r="K83" s="953"/>
      <c r="L83" s="953"/>
      <c r="M83" s="953"/>
      <c r="N83" s="953"/>
      <c r="O83" s="953"/>
    </row>
    <row r="84" spans="1:15">
      <c r="A84" s="119"/>
      <c r="B84" s="331" t="s">
        <v>739</v>
      </c>
      <c r="C84">
        <v>1.5</v>
      </c>
      <c r="D84" s="953">
        <v>1.5</v>
      </c>
      <c r="E84" s="953">
        <v>1.5</v>
      </c>
      <c r="F84" s="953">
        <v>1.5</v>
      </c>
      <c r="G84" s="953">
        <v>1.5</v>
      </c>
      <c r="H84" s="953">
        <v>1.5</v>
      </c>
      <c r="I84" s="953">
        <v>1.5</v>
      </c>
      <c r="J84" s="953">
        <v>1.5</v>
      </c>
      <c r="K84" s="953">
        <v>1.5</v>
      </c>
      <c r="L84" s="953">
        <v>1.5</v>
      </c>
      <c r="M84" s="953">
        <v>1.5</v>
      </c>
      <c r="N84" s="953">
        <v>1.5</v>
      </c>
      <c r="O84" s="953">
        <v>1.5</v>
      </c>
    </row>
    <row r="85" spans="1:15">
      <c r="A85" s="119"/>
      <c r="B85" s="331" t="s">
        <v>740</v>
      </c>
      <c r="D85" s="953"/>
      <c r="E85" s="953"/>
      <c r="F85" s="953"/>
      <c r="G85" s="953"/>
      <c r="H85" s="953"/>
      <c r="I85" s="953"/>
      <c r="J85" s="953"/>
      <c r="K85" s="953"/>
      <c r="L85" s="953"/>
      <c r="M85" s="953"/>
      <c r="N85" s="953"/>
      <c r="O85" s="953"/>
    </row>
    <row r="86" spans="1:15">
      <c r="A86" s="119"/>
      <c r="B86" s="331" t="s">
        <v>741</v>
      </c>
      <c r="D86" s="953"/>
      <c r="E86" s="953"/>
      <c r="F86" s="953"/>
      <c r="G86" s="953"/>
      <c r="H86" s="953"/>
      <c r="I86" s="953"/>
      <c r="J86" s="953"/>
      <c r="K86" s="953"/>
      <c r="L86" s="953"/>
      <c r="M86" s="953"/>
      <c r="N86" s="953"/>
      <c r="O86" s="953"/>
    </row>
    <row r="87" spans="1:15">
      <c r="A87" s="119"/>
      <c r="B87" s="331" t="s">
        <v>742</v>
      </c>
      <c r="D87" s="953"/>
      <c r="E87" s="953"/>
      <c r="F87" s="953"/>
      <c r="G87" s="953"/>
      <c r="H87" s="953"/>
      <c r="I87" s="953"/>
      <c r="J87" s="953"/>
      <c r="K87" s="953"/>
      <c r="L87" s="953"/>
      <c r="M87" s="953"/>
      <c r="N87" s="953"/>
      <c r="O87" s="953"/>
    </row>
    <row r="88" spans="1:15">
      <c r="A88" s="119"/>
      <c r="B88" s="331" t="s">
        <v>743</v>
      </c>
      <c r="D88" s="953"/>
      <c r="E88" s="953"/>
      <c r="F88" s="953"/>
      <c r="G88" s="953"/>
      <c r="H88" s="953"/>
      <c r="I88" s="953"/>
      <c r="J88" s="953"/>
      <c r="K88" s="953"/>
      <c r="L88" s="953"/>
      <c r="M88" s="953"/>
      <c r="N88" s="953"/>
      <c r="O88" s="953"/>
    </row>
    <row r="89" spans="1:15">
      <c r="A89" s="119"/>
      <c r="B89" s="331" t="s">
        <v>744</v>
      </c>
      <c r="D89" s="953"/>
      <c r="E89" s="953"/>
      <c r="F89" s="953"/>
      <c r="G89" s="953"/>
      <c r="H89" s="953"/>
      <c r="I89" s="953"/>
      <c r="J89" s="953"/>
      <c r="K89" s="953"/>
      <c r="L89" s="953"/>
      <c r="M89" s="953"/>
      <c r="N89" s="953"/>
      <c r="O89" s="953"/>
    </row>
    <row r="90" spans="1:15">
      <c r="A90" s="119"/>
      <c r="B90" s="331" t="s">
        <v>745</v>
      </c>
      <c r="C90">
        <v>1.05</v>
      </c>
      <c r="D90" s="953">
        <v>1.05</v>
      </c>
      <c r="E90" s="953">
        <v>1.05</v>
      </c>
      <c r="F90" s="953">
        <v>1.05</v>
      </c>
      <c r="G90" s="953">
        <v>1.05</v>
      </c>
      <c r="H90" s="953">
        <v>1.05</v>
      </c>
      <c r="I90" s="953">
        <v>1.05</v>
      </c>
      <c r="J90" s="953">
        <v>1.05</v>
      </c>
      <c r="K90" s="953">
        <v>1.05</v>
      </c>
      <c r="L90" s="953">
        <v>1.05</v>
      </c>
      <c r="M90" s="953">
        <v>1.05</v>
      </c>
      <c r="N90" s="953">
        <v>1.05</v>
      </c>
      <c r="O90" s="953">
        <v>1.05</v>
      </c>
    </row>
    <row r="91" spans="1:15">
      <c r="A91" s="119"/>
      <c r="B91" s="331" t="s">
        <v>746</v>
      </c>
      <c r="C91">
        <v>1.1000000000000001</v>
      </c>
      <c r="D91" s="953">
        <v>1.1000000000000001</v>
      </c>
      <c r="E91" s="953">
        <v>1.1000000000000001</v>
      </c>
      <c r="F91" s="953">
        <v>1.1000000000000001</v>
      </c>
      <c r="G91" s="953">
        <v>1.1000000000000001</v>
      </c>
      <c r="H91" s="953">
        <v>1.1000000000000001</v>
      </c>
      <c r="I91" s="953">
        <v>1.1000000000000001</v>
      </c>
      <c r="J91" s="953">
        <v>1.1000000000000001</v>
      </c>
      <c r="K91" s="953">
        <v>1.1000000000000001</v>
      </c>
      <c r="L91" s="953">
        <v>1.1000000000000001</v>
      </c>
      <c r="M91" s="953">
        <v>1.1000000000000001</v>
      </c>
      <c r="N91" s="953">
        <v>1.1000000000000001</v>
      </c>
      <c r="O91" s="953">
        <v>1.1000000000000001</v>
      </c>
    </row>
    <row r="92" spans="1:15">
      <c r="A92" s="119"/>
      <c r="B92" s="331" t="s">
        <v>747</v>
      </c>
      <c r="C92">
        <v>1.1499999999999999</v>
      </c>
      <c r="D92" s="953">
        <v>1.1499999999999999</v>
      </c>
      <c r="E92" s="953">
        <v>1.1499999999999999</v>
      </c>
      <c r="F92" s="953">
        <v>1.1499999999999999</v>
      </c>
      <c r="G92" s="953">
        <v>1.1499999999999999</v>
      </c>
      <c r="H92" s="953">
        <v>1.1499999999999999</v>
      </c>
      <c r="I92" s="953">
        <v>1.1499999999999999</v>
      </c>
      <c r="J92" s="953">
        <v>1.1499999999999999</v>
      </c>
      <c r="K92" s="953">
        <v>1.1499999999999999</v>
      </c>
      <c r="L92" s="953">
        <v>1.1499999999999999</v>
      </c>
      <c r="M92" s="953">
        <v>1.1499999999999999</v>
      </c>
      <c r="N92" s="953">
        <v>1.1499999999999999</v>
      </c>
      <c r="O92" s="953">
        <v>1.1499999999999999</v>
      </c>
    </row>
    <row r="93" spans="1:15">
      <c r="A93" s="119"/>
      <c r="B93" s="331" t="s">
        <v>748</v>
      </c>
      <c r="D93" s="953"/>
      <c r="E93" s="953"/>
      <c r="F93" s="953"/>
      <c r="G93" s="953"/>
      <c r="H93" s="953"/>
      <c r="I93" s="953"/>
      <c r="J93" s="953"/>
      <c r="K93" s="953"/>
      <c r="L93" s="953"/>
      <c r="M93" s="953"/>
      <c r="N93" s="953"/>
      <c r="O93" s="953"/>
    </row>
    <row r="94" spans="1:15">
      <c r="A94" s="119"/>
      <c r="B94" s="331" t="s">
        <v>749</v>
      </c>
      <c r="C94">
        <v>79200</v>
      </c>
      <c r="D94" s="953">
        <v>79200</v>
      </c>
      <c r="E94" s="953">
        <v>79200</v>
      </c>
      <c r="F94" s="953">
        <v>79200</v>
      </c>
      <c r="G94" s="953">
        <v>79200</v>
      </c>
      <c r="H94" s="953">
        <v>79200</v>
      </c>
      <c r="I94" s="953">
        <v>79200</v>
      </c>
      <c r="J94" s="953">
        <v>79200</v>
      </c>
      <c r="K94" s="953">
        <v>79200</v>
      </c>
      <c r="L94" s="953">
        <v>79200</v>
      </c>
      <c r="M94" s="953">
        <v>79200</v>
      </c>
      <c r="N94" s="953">
        <v>79200</v>
      </c>
      <c r="O94" s="953">
        <v>79200</v>
      </c>
    </row>
    <row r="95" spans="1:15">
      <c r="A95" s="119"/>
      <c r="B95" s="331" t="s">
        <v>750</v>
      </c>
      <c r="C95">
        <v>83160</v>
      </c>
      <c r="D95" s="953">
        <v>83160</v>
      </c>
      <c r="E95" s="953">
        <v>83160</v>
      </c>
      <c r="F95" s="953">
        <v>83160</v>
      </c>
      <c r="G95" s="953">
        <v>83160</v>
      </c>
      <c r="H95" s="953">
        <v>83160</v>
      </c>
      <c r="I95" s="953">
        <v>83160</v>
      </c>
      <c r="J95" s="953">
        <v>83160</v>
      </c>
      <c r="K95" s="953">
        <v>83160</v>
      </c>
      <c r="L95" s="953">
        <v>83160</v>
      </c>
      <c r="M95" s="953">
        <v>83160</v>
      </c>
      <c r="N95" s="953">
        <v>83160</v>
      </c>
      <c r="O95" s="953">
        <v>83160</v>
      </c>
    </row>
    <row r="96" spans="1:15">
      <c r="A96" s="119"/>
      <c r="B96" s="331" t="s">
        <v>751</v>
      </c>
      <c r="C96">
        <v>87120</v>
      </c>
      <c r="D96" s="953">
        <v>87120</v>
      </c>
      <c r="E96" s="953">
        <v>87120</v>
      </c>
      <c r="F96" s="953">
        <v>87120</v>
      </c>
      <c r="G96" s="953">
        <v>87120</v>
      </c>
      <c r="H96" s="953">
        <v>87120</v>
      </c>
      <c r="I96" s="953">
        <v>87120</v>
      </c>
      <c r="J96" s="953">
        <v>87120</v>
      </c>
      <c r="K96" s="953">
        <v>87120</v>
      </c>
      <c r="L96" s="953">
        <v>87120</v>
      </c>
      <c r="M96" s="953">
        <v>87120</v>
      </c>
      <c r="N96" s="953">
        <v>87120</v>
      </c>
      <c r="O96" s="953">
        <v>87120</v>
      </c>
    </row>
    <row r="97" spans="1:15">
      <c r="A97" s="119"/>
      <c r="B97" s="331" t="s">
        <v>752</v>
      </c>
      <c r="C97">
        <v>91080</v>
      </c>
      <c r="D97" s="953">
        <v>91080</v>
      </c>
      <c r="E97" s="953">
        <v>91080</v>
      </c>
      <c r="F97" s="953">
        <v>91080</v>
      </c>
      <c r="G97" s="953">
        <v>91080</v>
      </c>
      <c r="H97" s="953">
        <v>91080</v>
      </c>
      <c r="I97" s="953">
        <v>91080</v>
      </c>
      <c r="J97" s="953">
        <v>91080</v>
      </c>
      <c r="K97" s="953">
        <v>91080</v>
      </c>
      <c r="L97" s="953">
        <v>91080</v>
      </c>
      <c r="M97" s="953">
        <v>91080</v>
      </c>
      <c r="N97" s="953">
        <v>91080</v>
      </c>
      <c r="O97" s="953">
        <v>91080</v>
      </c>
    </row>
    <row r="98" spans="1:15">
      <c r="A98" s="119"/>
      <c r="B98" s="331" t="s">
        <v>753</v>
      </c>
      <c r="C98">
        <v>261360</v>
      </c>
      <c r="D98" s="953">
        <v>261360</v>
      </c>
      <c r="E98" s="953">
        <v>261360</v>
      </c>
      <c r="F98" s="953">
        <v>261360</v>
      </c>
      <c r="G98" s="953">
        <v>261360</v>
      </c>
      <c r="H98" s="953">
        <v>261360</v>
      </c>
      <c r="I98" s="953">
        <v>261360</v>
      </c>
      <c r="J98" s="953">
        <v>261360</v>
      </c>
      <c r="K98" s="953">
        <v>261360</v>
      </c>
      <c r="L98" s="953">
        <v>261360</v>
      </c>
      <c r="M98" s="953">
        <v>261360</v>
      </c>
      <c r="N98" s="953">
        <v>261360</v>
      </c>
      <c r="O98" s="953">
        <v>261360</v>
      </c>
    </row>
    <row r="99" spans="1:15">
      <c r="A99" s="119"/>
      <c r="B99" s="331" t="s">
        <v>754</v>
      </c>
      <c r="D99" s="953"/>
      <c r="E99" s="953"/>
      <c r="F99" s="953"/>
      <c r="G99" s="953"/>
      <c r="H99" s="953"/>
      <c r="I99" s="953"/>
      <c r="J99" s="953"/>
      <c r="K99" s="953"/>
      <c r="L99" s="953"/>
      <c r="M99" s="953"/>
      <c r="N99" s="953"/>
      <c r="O99" s="953"/>
    </row>
    <row r="100" spans="1:15">
      <c r="A100" s="119"/>
      <c r="B100" s="331" t="s">
        <v>755</v>
      </c>
      <c r="D100" s="953"/>
      <c r="E100" s="953"/>
      <c r="F100" s="953"/>
      <c r="G100" s="953"/>
      <c r="H100" s="953"/>
      <c r="I100" s="953"/>
      <c r="J100" s="953"/>
      <c r="K100" s="953"/>
      <c r="L100" s="953"/>
      <c r="M100" s="953"/>
      <c r="N100" s="953"/>
      <c r="O100" s="953"/>
    </row>
    <row r="101" spans="1:15">
      <c r="A101" s="119"/>
      <c r="B101" s="331" t="s">
        <v>756</v>
      </c>
      <c r="D101" s="953"/>
      <c r="E101" s="953"/>
      <c r="F101" s="953"/>
      <c r="G101" s="953"/>
      <c r="H101" s="953"/>
      <c r="I101" s="953"/>
      <c r="J101" s="953"/>
      <c r="K101" s="953"/>
      <c r="L101" s="953"/>
      <c r="M101" s="953"/>
      <c r="N101" s="953"/>
      <c r="O101" s="953"/>
    </row>
    <row r="102" spans="1:15">
      <c r="A102" s="119"/>
      <c r="B102" s="331" t="s">
        <v>757</v>
      </c>
      <c r="D102" s="953"/>
      <c r="E102" s="953"/>
      <c r="F102" s="953"/>
      <c r="G102" s="953"/>
      <c r="H102" s="953"/>
      <c r="I102" s="953"/>
      <c r="J102" s="953"/>
      <c r="K102" s="953"/>
      <c r="L102" s="953"/>
      <c r="M102" s="953"/>
      <c r="N102" s="953"/>
      <c r="O102" s="953"/>
    </row>
    <row r="103" spans="1:15">
      <c r="A103" s="119"/>
      <c r="B103" s="331" t="s">
        <v>758</v>
      </c>
      <c r="C103">
        <v>2.1</v>
      </c>
      <c r="D103" s="953">
        <v>2.1</v>
      </c>
      <c r="E103" s="953">
        <v>2.1</v>
      </c>
      <c r="F103" s="953">
        <v>2.1</v>
      </c>
      <c r="G103" s="953">
        <v>2.1</v>
      </c>
      <c r="H103" s="953">
        <v>2.1</v>
      </c>
      <c r="I103" s="953">
        <v>2.1</v>
      </c>
      <c r="J103" s="953">
        <v>2.1</v>
      </c>
      <c r="K103" s="953">
        <v>2.1</v>
      </c>
      <c r="L103" s="953">
        <v>2.1</v>
      </c>
      <c r="M103" s="953">
        <v>2.1</v>
      </c>
      <c r="N103" s="953">
        <v>2.1</v>
      </c>
      <c r="O103" s="953">
        <v>2.1</v>
      </c>
    </row>
    <row r="104" spans="1:15">
      <c r="A104" s="119"/>
      <c r="B104" s="331" t="s">
        <v>759</v>
      </c>
      <c r="D104" s="953"/>
      <c r="E104" s="953"/>
      <c r="F104" s="953"/>
      <c r="G104" s="953"/>
      <c r="H104" s="953"/>
      <c r="I104" s="953"/>
      <c r="J104" s="953"/>
      <c r="K104" s="953"/>
      <c r="L104" s="953"/>
      <c r="M104" s="953"/>
      <c r="N104" s="953"/>
      <c r="O104" s="953"/>
    </row>
    <row r="105" spans="1:15">
      <c r="A105" s="119"/>
      <c r="B105" s="331" t="s">
        <v>760</v>
      </c>
      <c r="C105">
        <v>0.31</v>
      </c>
      <c r="D105" s="953">
        <v>0.31</v>
      </c>
      <c r="E105" s="953">
        <v>0.31</v>
      </c>
      <c r="F105" s="953">
        <v>0.31</v>
      </c>
      <c r="G105" s="953">
        <v>0.31</v>
      </c>
      <c r="H105" s="953">
        <v>0.31</v>
      </c>
      <c r="I105" s="953">
        <v>0.31</v>
      </c>
      <c r="J105" s="953">
        <v>0.31</v>
      </c>
      <c r="K105" s="953">
        <v>0.31</v>
      </c>
      <c r="L105" s="953">
        <v>0.31</v>
      </c>
      <c r="M105" s="953">
        <v>0.31</v>
      </c>
      <c r="N105" s="953">
        <v>0.31</v>
      </c>
      <c r="O105" s="953">
        <v>0.31</v>
      </c>
    </row>
    <row r="106" spans="1:15">
      <c r="A106" s="119"/>
      <c r="B106" s="331" t="s">
        <v>761</v>
      </c>
      <c r="C106">
        <v>0.33</v>
      </c>
      <c r="D106" s="953">
        <v>0.33</v>
      </c>
      <c r="E106" s="953">
        <v>0.33</v>
      </c>
      <c r="F106" s="953">
        <v>0.33</v>
      </c>
      <c r="G106" s="953">
        <v>0.33</v>
      </c>
      <c r="H106" s="953">
        <v>0.33</v>
      </c>
      <c r="I106" s="953">
        <v>0.33</v>
      </c>
      <c r="J106" s="953">
        <v>0.33</v>
      </c>
      <c r="K106" s="953">
        <v>0.33</v>
      </c>
      <c r="L106" s="953">
        <v>0.33</v>
      </c>
      <c r="M106" s="953">
        <v>0.33</v>
      </c>
      <c r="N106" s="953">
        <v>0.33</v>
      </c>
      <c r="O106" s="953">
        <v>0.33</v>
      </c>
    </row>
    <row r="107" spans="1:15">
      <c r="A107" s="119"/>
      <c r="B107" s="331" t="s">
        <v>762</v>
      </c>
      <c r="C107">
        <v>0.36</v>
      </c>
      <c r="D107" s="953">
        <v>0.36</v>
      </c>
      <c r="E107" s="953">
        <v>0.36</v>
      </c>
      <c r="F107" s="953">
        <v>0.36</v>
      </c>
      <c r="G107" s="953">
        <v>0.36</v>
      </c>
      <c r="H107" s="953">
        <v>0.36</v>
      </c>
      <c r="I107" s="953">
        <v>0.36</v>
      </c>
      <c r="J107" s="953">
        <v>0.36</v>
      </c>
      <c r="K107" s="953">
        <v>0.36</v>
      </c>
      <c r="L107" s="953">
        <v>0.36</v>
      </c>
      <c r="M107" s="953">
        <v>0.36</v>
      </c>
      <c r="N107" s="953">
        <v>0.36</v>
      </c>
      <c r="O107" s="953">
        <v>0.36</v>
      </c>
    </row>
    <row r="108" spans="1:15">
      <c r="A108" s="119"/>
      <c r="B108" s="331" t="s">
        <v>763</v>
      </c>
      <c r="C108">
        <v>1</v>
      </c>
      <c r="D108" s="953">
        <v>1</v>
      </c>
      <c r="E108" s="953">
        <v>1</v>
      </c>
      <c r="F108" s="953">
        <v>1</v>
      </c>
      <c r="G108" s="953">
        <v>1</v>
      </c>
      <c r="H108" s="953">
        <v>1</v>
      </c>
      <c r="I108" s="953">
        <v>1</v>
      </c>
      <c r="J108" s="953">
        <v>1</v>
      </c>
      <c r="K108" s="953">
        <v>1</v>
      </c>
      <c r="L108" s="953">
        <v>1</v>
      </c>
      <c r="M108" s="953">
        <v>1</v>
      </c>
      <c r="N108" s="953">
        <v>1</v>
      </c>
      <c r="O108" s="953">
        <v>1</v>
      </c>
    </row>
    <row r="109" spans="1:15">
      <c r="A109" s="119"/>
      <c r="B109" s="331" t="s">
        <v>764</v>
      </c>
      <c r="D109" s="953"/>
      <c r="E109" s="953"/>
      <c r="F109" s="953"/>
      <c r="G109" s="953"/>
      <c r="H109" s="953"/>
      <c r="I109" s="953"/>
      <c r="J109" s="953"/>
      <c r="K109" s="953"/>
      <c r="L109" s="953"/>
      <c r="M109" s="953"/>
      <c r="N109" s="953"/>
      <c r="O109" s="953"/>
    </row>
    <row r="110" spans="1:15">
      <c r="A110" s="119"/>
      <c r="B110" s="331" t="s">
        <v>765</v>
      </c>
      <c r="C110">
        <v>170145.36</v>
      </c>
      <c r="D110" s="953">
        <v>170145.36</v>
      </c>
      <c r="E110" s="953">
        <v>170145.36</v>
      </c>
      <c r="F110" s="953">
        <v>170145.36</v>
      </c>
      <c r="G110" s="953">
        <v>170145.36</v>
      </c>
      <c r="H110" s="953">
        <v>170145.36</v>
      </c>
      <c r="I110" s="953">
        <v>170145.36</v>
      </c>
      <c r="J110" s="953">
        <v>170145.36</v>
      </c>
      <c r="K110" s="953">
        <v>170145.36</v>
      </c>
      <c r="L110" s="953">
        <v>170145.36</v>
      </c>
      <c r="M110" s="953">
        <v>170145.36</v>
      </c>
      <c r="N110" s="953">
        <v>170145.36</v>
      </c>
      <c r="O110" s="953">
        <v>170145.36</v>
      </c>
    </row>
    <row r="111" spans="1:15">
      <c r="A111" s="119"/>
      <c r="B111" s="331" t="s">
        <v>766</v>
      </c>
      <c r="C111">
        <v>181122.48</v>
      </c>
      <c r="D111" s="953">
        <v>181122.48</v>
      </c>
      <c r="E111" s="953">
        <v>181122.48</v>
      </c>
      <c r="F111" s="953">
        <v>181122.48</v>
      </c>
      <c r="G111" s="953">
        <v>181122.48</v>
      </c>
      <c r="H111" s="953">
        <v>181122.48</v>
      </c>
      <c r="I111" s="953">
        <v>181122.48</v>
      </c>
      <c r="J111" s="953">
        <v>181122.48</v>
      </c>
      <c r="K111" s="953">
        <v>181122.48</v>
      </c>
      <c r="L111" s="953">
        <v>181122.48</v>
      </c>
      <c r="M111" s="953">
        <v>181122.48</v>
      </c>
      <c r="N111" s="953">
        <v>181122.48</v>
      </c>
      <c r="O111" s="953">
        <v>181122.48</v>
      </c>
    </row>
    <row r="112" spans="1:15">
      <c r="A112" s="119"/>
      <c r="B112" s="331" t="s">
        <v>767</v>
      </c>
      <c r="C112">
        <v>197588.16</v>
      </c>
      <c r="D112" s="953">
        <v>197588.16</v>
      </c>
      <c r="E112" s="953">
        <v>197588.16</v>
      </c>
      <c r="F112" s="953">
        <v>197588.16</v>
      </c>
      <c r="G112" s="953">
        <v>197588.16</v>
      </c>
      <c r="H112" s="953">
        <v>197588.16</v>
      </c>
      <c r="I112" s="953">
        <v>197588.16</v>
      </c>
      <c r="J112" s="953">
        <v>197588.16</v>
      </c>
      <c r="K112" s="953">
        <v>197588.16</v>
      </c>
      <c r="L112" s="953">
        <v>197588.16</v>
      </c>
      <c r="M112" s="953">
        <v>197588.16</v>
      </c>
      <c r="N112" s="953">
        <v>197588.16</v>
      </c>
      <c r="O112" s="953">
        <v>197588.16</v>
      </c>
    </row>
    <row r="113" spans="1:15">
      <c r="A113" s="119"/>
      <c r="B113" s="331" t="s">
        <v>768</v>
      </c>
      <c r="C113">
        <v>548856</v>
      </c>
      <c r="D113" s="953">
        <v>548856</v>
      </c>
      <c r="E113" s="953">
        <v>548856</v>
      </c>
      <c r="F113" s="953">
        <v>548856</v>
      </c>
      <c r="G113" s="953">
        <v>548856</v>
      </c>
      <c r="H113" s="953">
        <v>548856</v>
      </c>
      <c r="I113" s="953">
        <v>548856</v>
      </c>
      <c r="J113" s="953">
        <v>548856</v>
      </c>
      <c r="K113" s="953">
        <v>548856</v>
      </c>
      <c r="L113" s="953">
        <v>548856</v>
      </c>
      <c r="M113" s="953">
        <v>548856</v>
      </c>
      <c r="N113" s="953">
        <v>548856</v>
      </c>
      <c r="O113" s="953">
        <v>548856</v>
      </c>
    </row>
    <row r="114" spans="1:15">
      <c r="A114" s="119"/>
      <c r="B114" s="331" t="s">
        <v>769</v>
      </c>
      <c r="D114" s="953"/>
      <c r="E114" s="953"/>
      <c r="F114" s="953"/>
      <c r="G114" s="953"/>
      <c r="H114" s="953"/>
      <c r="I114" s="953"/>
      <c r="J114" s="953"/>
      <c r="K114" s="953"/>
      <c r="L114" s="953"/>
      <c r="M114" s="953"/>
      <c r="N114" s="953"/>
      <c r="O114" s="953"/>
    </row>
    <row r="115" spans="1:15">
      <c r="A115" s="119"/>
      <c r="B115" s="331" t="s">
        <v>770</v>
      </c>
      <c r="C115">
        <v>0.31</v>
      </c>
      <c r="D115" s="953">
        <v>0.31</v>
      </c>
      <c r="E115" s="953">
        <v>0.31</v>
      </c>
      <c r="F115" s="953">
        <v>0.31</v>
      </c>
      <c r="G115" s="953">
        <v>0.31</v>
      </c>
      <c r="H115" s="953">
        <v>0.31</v>
      </c>
      <c r="I115" s="953">
        <v>0.31</v>
      </c>
      <c r="J115" s="953">
        <v>0.31</v>
      </c>
      <c r="K115" s="953">
        <v>0.31</v>
      </c>
      <c r="L115" s="953">
        <v>0.31</v>
      </c>
      <c r="M115" s="953">
        <v>0.31</v>
      </c>
      <c r="N115" s="953">
        <v>0.31</v>
      </c>
      <c r="O115" s="953">
        <v>0.31</v>
      </c>
    </row>
    <row r="116" spans="1:15">
      <c r="A116" s="119"/>
      <c r="B116" s="331" t="s">
        <v>771</v>
      </c>
      <c r="C116">
        <v>0.315</v>
      </c>
      <c r="D116" s="953">
        <v>0.315</v>
      </c>
      <c r="E116" s="953">
        <v>0.315</v>
      </c>
      <c r="F116" s="953">
        <v>0.315</v>
      </c>
      <c r="G116" s="953">
        <v>0.315</v>
      </c>
      <c r="H116" s="953">
        <v>0.315</v>
      </c>
      <c r="I116" s="953">
        <v>0.315</v>
      </c>
      <c r="J116" s="953">
        <v>0.315</v>
      </c>
      <c r="K116" s="953">
        <v>0.315</v>
      </c>
      <c r="L116" s="953">
        <v>0.315</v>
      </c>
      <c r="M116" s="953">
        <v>0.315</v>
      </c>
      <c r="N116" s="953">
        <v>0.315</v>
      </c>
      <c r="O116" s="953">
        <v>0.315</v>
      </c>
    </row>
    <row r="117" spans="1:15">
      <c r="A117" s="119"/>
      <c r="B117" s="331" t="s">
        <v>772</v>
      </c>
      <c r="C117">
        <v>0.32</v>
      </c>
      <c r="D117" s="953">
        <v>0.32</v>
      </c>
      <c r="E117" s="953">
        <v>0.32</v>
      </c>
      <c r="F117" s="953">
        <v>0.32</v>
      </c>
      <c r="G117" s="953">
        <v>0.32</v>
      </c>
      <c r="H117" s="953">
        <v>0.32</v>
      </c>
      <c r="I117" s="953">
        <v>0.32</v>
      </c>
      <c r="J117" s="953">
        <v>0.32</v>
      </c>
      <c r="K117" s="953">
        <v>0.32</v>
      </c>
      <c r="L117" s="953">
        <v>0.32</v>
      </c>
      <c r="M117" s="953">
        <v>0.32</v>
      </c>
      <c r="N117" s="953">
        <v>0.32</v>
      </c>
      <c r="O117" s="953">
        <v>0.32</v>
      </c>
    </row>
    <row r="118" spans="1:15">
      <c r="A118" s="119"/>
      <c r="B118" s="331" t="s">
        <v>773</v>
      </c>
      <c r="C118">
        <v>0.31524999999999997</v>
      </c>
      <c r="D118" s="953">
        <v>0.31524999999999997</v>
      </c>
      <c r="E118" s="953">
        <v>0.31524999999999997</v>
      </c>
      <c r="F118" s="953">
        <v>0.31524999999999997</v>
      </c>
      <c r="G118" s="953">
        <v>0.31524999999999997</v>
      </c>
      <c r="H118" s="953">
        <v>0.31524999999999997</v>
      </c>
      <c r="I118" s="953">
        <v>0.31524999999999997</v>
      </c>
      <c r="J118" s="953">
        <v>0.31524999999999997</v>
      </c>
      <c r="K118" s="953">
        <v>0.31524999999999997</v>
      </c>
      <c r="L118" s="953">
        <v>0.31524999999999997</v>
      </c>
      <c r="M118" s="953">
        <v>0.31524999999999997</v>
      </c>
      <c r="N118" s="953">
        <v>0.31524999999999997</v>
      </c>
      <c r="O118" s="953">
        <v>0.31524999999999997</v>
      </c>
    </row>
    <row r="119" spans="1:15">
      <c r="A119" s="119"/>
      <c r="B119" s="331" t="s">
        <v>774</v>
      </c>
      <c r="D119" s="953"/>
      <c r="E119" s="953"/>
      <c r="F119" s="953"/>
      <c r="G119" s="953"/>
      <c r="H119" s="953"/>
      <c r="I119" s="953"/>
      <c r="J119" s="953"/>
      <c r="K119" s="953"/>
      <c r="L119" s="953"/>
      <c r="M119" s="953"/>
      <c r="N119" s="953"/>
      <c r="O119" s="953"/>
    </row>
    <row r="120" spans="1:15">
      <c r="A120" s="119"/>
      <c r="B120" s="331" t="s">
        <v>775</v>
      </c>
      <c r="C120">
        <v>52745.061599999994</v>
      </c>
      <c r="D120" s="953">
        <v>52745.061599999994</v>
      </c>
      <c r="E120" s="953">
        <v>52745.061599999994</v>
      </c>
      <c r="F120" s="953">
        <v>52745.061599999994</v>
      </c>
      <c r="G120" s="953">
        <v>52745.061599999994</v>
      </c>
      <c r="H120" s="953">
        <v>52745.061599999994</v>
      </c>
      <c r="I120" s="953">
        <v>52745.061599999994</v>
      </c>
      <c r="J120" s="953">
        <v>52745.061599999994</v>
      </c>
      <c r="K120" s="953">
        <v>52745.061599999994</v>
      </c>
      <c r="L120" s="953">
        <v>52745.061599999994</v>
      </c>
      <c r="M120" s="953">
        <v>52745.061599999994</v>
      </c>
      <c r="N120" s="953">
        <v>52745.061599999994</v>
      </c>
      <c r="O120" s="953">
        <v>52745.061599999994</v>
      </c>
    </row>
    <row r="121" spans="1:15">
      <c r="A121" s="119"/>
      <c r="B121" s="331" t="s">
        <v>776</v>
      </c>
      <c r="C121">
        <v>57053.581200000001</v>
      </c>
      <c r="D121" s="953">
        <v>57053.581200000001</v>
      </c>
      <c r="E121" s="953">
        <v>57053.581200000001</v>
      </c>
      <c r="F121" s="953">
        <v>57053.581200000001</v>
      </c>
      <c r="G121" s="953">
        <v>57053.581200000001</v>
      </c>
      <c r="H121" s="953">
        <v>57053.581200000001</v>
      </c>
      <c r="I121" s="953">
        <v>57053.581200000001</v>
      </c>
      <c r="J121" s="953">
        <v>57053.581200000001</v>
      </c>
      <c r="K121" s="953">
        <v>57053.581200000001</v>
      </c>
      <c r="L121" s="953">
        <v>57053.581200000001</v>
      </c>
      <c r="M121" s="953">
        <v>57053.581200000001</v>
      </c>
      <c r="N121" s="953">
        <v>57053.581200000001</v>
      </c>
      <c r="O121" s="953">
        <v>57053.581200000001</v>
      </c>
    </row>
    <row r="122" spans="1:15">
      <c r="A122" s="119"/>
      <c r="B122" s="331" t="s">
        <v>777</v>
      </c>
      <c r="C122">
        <v>63228.211200000005</v>
      </c>
      <c r="D122" s="953">
        <v>63228.211200000005</v>
      </c>
      <c r="E122" s="953">
        <v>63228.211200000005</v>
      </c>
      <c r="F122" s="953">
        <v>63228.211200000005</v>
      </c>
      <c r="G122" s="953">
        <v>63228.211200000005</v>
      </c>
      <c r="H122" s="953">
        <v>63228.211200000005</v>
      </c>
      <c r="I122" s="953">
        <v>63228.211200000005</v>
      </c>
      <c r="J122" s="953">
        <v>63228.211200000005</v>
      </c>
      <c r="K122" s="953">
        <v>63228.211200000005</v>
      </c>
      <c r="L122" s="953">
        <v>63228.211200000005</v>
      </c>
      <c r="M122" s="953">
        <v>63228.211200000005</v>
      </c>
      <c r="N122" s="953">
        <v>63228.211200000005</v>
      </c>
      <c r="O122" s="953">
        <v>63228.211200000005</v>
      </c>
    </row>
    <row r="123" spans="1:15">
      <c r="A123" s="119"/>
      <c r="B123" s="331" t="s">
        <v>778</v>
      </c>
      <c r="C123">
        <v>173026.85399999999</v>
      </c>
      <c r="D123" s="953">
        <v>173026.85399999999</v>
      </c>
      <c r="E123" s="953">
        <v>173026.85399999999</v>
      </c>
      <c r="F123" s="953">
        <v>173026.85399999999</v>
      </c>
      <c r="G123" s="953">
        <v>173026.85399999999</v>
      </c>
      <c r="H123" s="953">
        <v>173026.85399999999</v>
      </c>
      <c r="I123" s="953">
        <v>173026.85399999999</v>
      </c>
      <c r="J123" s="953">
        <v>173026.85399999999</v>
      </c>
      <c r="K123" s="953">
        <v>173026.85399999999</v>
      </c>
      <c r="L123" s="953">
        <v>173026.85399999999</v>
      </c>
      <c r="M123" s="953">
        <v>173026.85399999999</v>
      </c>
      <c r="N123" s="953">
        <v>173026.85399999999</v>
      </c>
      <c r="O123" s="953">
        <v>173026.85399999999</v>
      </c>
    </row>
    <row r="124" spans="1:15">
      <c r="A124" s="119"/>
      <c r="B124" s="331" t="s">
        <v>779</v>
      </c>
      <c r="D124" s="953"/>
      <c r="E124" s="953"/>
      <c r="F124" s="953"/>
      <c r="G124" s="953"/>
      <c r="H124" s="953"/>
      <c r="I124" s="953"/>
      <c r="J124" s="953"/>
      <c r="K124" s="953"/>
      <c r="L124" s="953"/>
      <c r="M124" s="953"/>
      <c r="N124" s="953"/>
      <c r="O124" s="953"/>
    </row>
    <row r="125" spans="1:15">
      <c r="A125" s="119"/>
      <c r="B125" s="331" t="s">
        <v>780</v>
      </c>
      <c r="C125">
        <v>0.63425999999999993</v>
      </c>
      <c r="D125" s="953">
        <v>0.63425999999999993</v>
      </c>
      <c r="E125" s="953">
        <v>0.63425999999999993</v>
      </c>
      <c r="F125" s="953">
        <v>0.63425999999999993</v>
      </c>
      <c r="G125" s="953">
        <v>0.63425999999999993</v>
      </c>
      <c r="H125" s="953">
        <v>0.63425999999999993</v>
      </c>
      <c r="I125" s="953">
        <v>0.63425999999999993</v>
      </c>
      <c r="J125" s="953">
        <v>0.63425999999999993</v>
      </c>
      <c r="K125" s="953">
        <v>0.63425999999999993</v>
      </c>
      <c r="L125" s="953">
        <v>0.63425999999999993</v>
      </c>
      <c r="M125" s="953">
        <v>0.63425999999999993</v>
      </c>
      <c r="N125" s="953">
        <v>0.63425999999999993</v>
      </c>
      <c r="O125" s="953">
        <v>0.63425999999999993</v>
      </c>
    </row>
    <row r="126" spans="1:15">
      <c r="A126" s="119"/>
      <c r="B126" s="331" t="s">
        <v>781</v>
      </c>
      <c r="C126">
        <v>0.65488500000000005</v>
      </c>
      <c r="D126" s="953">
        <v>0.65488500000000005</v>
      </c>
      <c r="E126" s="953">
        <v>0.65488500000000005</v>
      </c>
      <c r="F126" s="953">
        <v>0.65488500000000005</v>
      </c>
      <c r="G126" s="953">
        <v>0.65488500000000005</v>
      </c>
      <c r="H126" s="953">
        <v>0.65488500000000005</v>
      </c>
      <c r="I126" s="953">
        <v>0.65488500000000005</v>
      </c>
      <c r="J126" s="953">
        <v>0.65488500000000005</v>
      </c>
      <c r="K126" s="953">
        <v>0.65488500000000005</v>
      </c>
      <c r="L126" s="953">
        <v>0.65488500000000005</v>
      </c>
      <c r="M126" s="953">
        <v>0.65488500000000005</v>
      </c>
      <c r="N126" s="953">
        <v>0.65488500000000005</v>
      </c>
      <c r="O126" s="953">
        <v>0.65488500000000005</v>
      </c>
    </row>
    <row r="127" spans="1:15">
      <c r="A127" s="119"/>
      <c r="B127" s="331" t="s">
        <v>782</v>
      </c>
      <c r="C127">
        <v>0.69420521739130436</v>
      </c>
      <c r="D127" s="953">
        <v>0.69420521739130436</v>
      </c>
      <c r="E127" s="953">
        <v>0.69420521739130436</v>
      </c>
      <c r="F127" s="953">
        <v>0.69420521739130436</v>
      </c>
      <c r="G127" s="953">
        <v>0.69420521739130436</v>
      </c>
      <c r="H127" s="953">
        <v>0.69420521739130436</v>
      </c>
      <c r="I127" s="953">
        <v>0.69420521739130436</v>
      </c>
      <c r="J127" s="953">
        <v>0.69420521739130436</v>
      </c>
      <c r="K127" s="953">
        <v>0.69420521739130436</v>
      </c>
      <c r="L127" s="953">
        <v>0.69420521739130436</v>
      </c>
      <c r="M127" s="953">
        <v>0.69420521739130436</v>
      </c>
      <c r="N127" s="953">
        <v>0.69420521739130436</v>
      </c>
      <c r="O127" s="953">
        <v>0.69420521739130436</v>
      </c>
    </row>
    <row r="128" spans="1:15">
      <c r="A128" s="119"/>
      <c r="B128" s="331" t="s">
        <v>783</v>
      </c>
      <c r="D128" s="953"/>
      <c r="E128" s="953"/>
      <c r="F128" s="953"/>
      <c r="G128" s="953"/>
      <c r="H128" s="953"/>
      <c r="I128" s="953"/>
      <c r="J128" s="953"/>
      <c r="K128" s="953"/>
      <c r="L128" s="953"/>
      <c r="M128" s="953"/>
      <c r="N128" s="953"/>
      <c r="O128" s="953"/>
    </row>
    <row r="129" spans="1:15">
      <c r="A129" s="119"/>
      <c r="B129" s="331" t="s">
        <v>784</v>
      </c>
      <c r="D129" s="953"/>
      <c r="E129" s="953"/>
      <c r="F129" s="953"/>
      <c r="G129" s="953"/>
      <c r="H129" s="953"/>
      <c r="I129" s="953"/>
      <c r="J129" s="953"/>
      <c r="K129" s="953"/>
      <c r="L129" s="953"/>
      <c r="M129" s="953"/>
      <c r="N129" s="953"/>
      <c r="O129" s="953"/>
    </row>
    <row r="130" spans="1:15">
      <c r="A130" s="119"/>
      <c r="B130" s="331" t="s">
        <v>785</v>
      </c>
      <c r="C130">
        <v>0.69</v>
      </c>
      <c r="D130" s="953">
        <v>0.69</v>
      </c>
      <c r="E130" s="953">
        <v>0.69</v>
      </c>
      <c r="F130" s="953">
        <v>0.69</v>
      </c>
      <c r="G130" s="953">
        <v>0.69</v>
      </c>
      <c r="H130" s="953">
        <v>0.69</v>
      </c>
      <c r="I130" s="953">
        <v>0.69</v>
      </c>
      <c r="J130" s="953">
        <v>0.69</v>
      </c>
      <c r="K130" s="953">
        <v>0.69</v>
      </c>
      <c r="L130" s="953">
        <v>0.69</v>
      </c>
      <c r="M130" s="953">
        <v>0.69</v>
      </c>
      <c r="N130" s="953">
        <v>0.69</v>
      </c>
      <c r="O130" s="953">
        <v>0.69</v>
      </c>
    </row>
    <row r="131" spans="1:15">
      <c r="A131" s="119"/>
      <c r="B131" s="331" t="s">
        <v>786</v>
      </c>
      <c r="C131">
        <v>0.68500000000000005</v>
      </c>
      <c r="D131" s="953">
        <v>0.68500000000000005</v>
      </c>
      <c r="E131" s="953">
        <v>0.68500000000000005</v>
      </c>
      <c r="F131" s="953">
        <v>0.68500000000000005</v>
      </c>
      <c r="G131" s="953">
        <v>0.68500000000000005</v>
      </c>
      <c r="H131" s="953">
        <v>0.68500000000000005</v>
      </c>
      <c r="I131" s="953">
        <v>0.68500000000000005</v>
      </c>
      <c r="J131" s="953">
        <v>0.68500000000000005</v>
      </c>
      <c r="K131" s="953">
        <v>0.68500000000000005</v>
      </c>
      <c r="L131" s="953">
        <v>0.68500000000000005</v>
      </c>
      <c r="M131" s="953">
        <v>0.68500000000000005</v>
      </c>
      <c r="N131" s="953">
        <v>0.68500000000000005</v>
      </c>
      <c r="O131" s="953">
        <v>0.68500000000000005</v>
      </c>
    </row>
    <row r="132" spans="1:15">
      <c r="A132" s="119"/>
      <c r="B132" s="331" t="s">
        <v>787</v>
      </c>
      <c r="C132">
        <v>0.67999999999999994</v>
      </c>
      <c r="D132" s="953">
        <v>0.67999999999999994</v>
      </c>
      <c r="E132" s="953">
        <v>0.67999999999999994</v>
      </c>
      <c r="F132" s="953">
        <v>0.67999999999999994</v>
      </c>
      <c r="G132" s="953">
        <v>0.67999999999999994</v>
      </c>
      <c r="H132" s="953">
        <v>0.67999999999999994</v>
      </c>
      <c r="I132" s="953">
        <v>0.67999999999999994</v>
      </c>
      <c r="J132" s="953">
        <v>0.67999999999999994</v>
      </c>
      <c r="K132" s="953">
        <v>0.67999999999999994</v>
      </c>
      <c r="L132" s="953">
        <v>0.67999999999999994</v>
      </c>
      <c r="M132" s="953">
        <v>0.67999999999999994</v>
      </c>
      <c r="N132" s="953">
        <v>0.67999999999999994</v>
      </c>
      <c r="O132" s="953">
        <v>0.67999999999999994</v>
      </c>
    </row>
    <row r="133" spans="1:15">
      <c r="A133" s="119"/>
      <c r="B133" s="331" t="s">
        <v>788</v>
      </c>
      <c r="C133">
        <v>0.68474999999999986</v>
      </c>
      <c r="D133" s="953">
        <v>0.68474999999999986</v>
      </c>
      <c r="E133" s="953">
        <v>0.68474999999999986</v>
      </c>
      <c r="F133" s="953">
        <v>0.68474999999999986</v>
      </c>
      <c r="G133" s="953">
        <v>0.68474999999999986</v>
      </c>
      <c r="H133" s="953">
        <v>0.68474999999999986</v>
      </c>
      <c r="I133" s="953">
        <v>0.68474999999999986</v>
      </c>
      <c r="J133" s="953">
        <v>0.68474999999999986</v>
      </c>
      <c r="K133" s="953">
        <v>0.68474999999999986</v>
      </c>
      <c r="L133" s="953">
        <v>0.68474999999999986</v>
      </c>
      <c r="M133" s="953">
        <v>0.68474999999999986</v>
      </c>
      <c r="N133" s="953">
        <v>0.68474999999999986</v>
      </c>
      <c r="O133" s="953">
        <v>0.68474999999999986</v>
      </c>
    </row>
    <row r="134" spans="1:15">
      <c r="A134" s="119"/>
      <c r="B134" s="331" t="s">
        <v>789</v>
      </c>
      <c r="D134" s="953"/>
      <c r="E134" s="953"/>
      <c r="F134" s="953"/>
      <c r="G134" s="953"/>
      <c r="H134" s="953"/>
      <c r="I134" s="953"/>
      <c r="J134" s="953"/>
      <c r="K134" s="953"/>
      <c r="L134" s="953"/>
      <c r="M134" s="953"/>
      <c r="N134" s="953"/>
      <c r="O134" s="953"/>
    </row>
    <row r="135" spans="1:15">
      <c r="A135" s="119"/>
      <c r="B135" s="331" t="s">
        <v>790</v>
      </c>
      <c r="C135">
        <v>117400.29839999999</v>
      </c>
      <c r="D135" s="953">
        <v>117400.29839999999</v>
      </c>
      <c r="E135" s="953">
        <v>117400.29839999999</v>
      </c>
      <c r="F135" s="953">
        <v>117400.29839999999</v>
      </c>
      <c r="G135" s="953">
        <v>117400.29839999999</v>
      </c>
      <c r="H135" s="953">
        <v>117400.29839999999</v>
      </c>
      <c r="I135" s="953">
        <v>117400.29839999999</v>
      </c>
      <c r="J135" s="953">
        <v>117400.29839999999</v>
      </c>
      <c r="K135" s="953">
        <v>117400.29839999999</v>
      </c>
      <c r="L135" s="953">
        <v>117400.29839999999</v>
      </c>
      <c r="M135" s="953">
        <v>117400.29839999999</v>
      </c>
      <c r="N135" s="953">
        <v>117400.29839999999</v>
      </c>
      <c r="O135" s="953">
        <v>117400.29839999999</v>
      </c>
    </row>
    <row r="136" spans="1:15">
      <c r="A136" s="119"/>
      <c r="B136" s="331" t="s">
        <v>791</v>
      </c>
      <c r="C136">
        <v>124068.89880000001</v>
      </c>
      <c r="D136" s="953">
        <v>124068.89880000001</v>
      </c>
      <c r="E136" s="953">
        <v>124068.89880000001</v>
      </c>
      <c r="F136" s="953">
        <v>124068.89880000001</v>
      </c>
      <c r="G136" s="953">
        <v>124068.89880000001</v>
      </c>
      <c r="H136" s="953">
        <v>124068.89880000001</v>
      </c>
      <c r="I136" s="953">
        <v>124068.89880000001</v>
      </c>
      <c r="J136" s="953">
        <v>124068.89880000001</v>
      </c>
      <c r="K136" s="953">
        <v>124068.89880000001</v>
      </c>
      <c r="L136" s="953">
        <v>124068.89880000001</v>
      </c>
      <c r="M136" s="953">
        <v>124068.89880000001</v>
      </c>
      <c r="N136" s="953">
        <v>124068.89880000001</v>
      </c>
      <c r="O136" s="953">
        <v>124068.89880000001</v>
      </c>
    </row>
    <row r="137" spans="1:15">
      <c r="A137" s="119"/>
      <c r="B137" s="331" t="s">
        <v>792</v>
      </c>
      <c r="C137">
        <v>134359.94879999998</v>
      </c>
      <c r="D137" s="953">
        <v>134359.94879999998</v>
      </c>
      <c r="E137" s="953">
        <v>134359.94879999998</v>
      </c>
      <c r="F137" s="953">
        <v>134359.94879999998</v>
      </c>
      <c r="G137" s="953">
        <v>134359.94879999998</v>
      </c>
      <c r="H137" s="953">
        <v>134359.94879999998</v>
      </c>
      <c r="I137" s="953">
        <v>134359.94879999998</v>
      </c>
      <c r="J137" s="953">
        <v>134359.94879999998</v>
      </c>
      <c r="K137" s="953">
        <v>134359.94879999998</v>
      </c>
      <c r="L137" s="953">
        <v>134359.94879999998</v>
      </c>
      <c r="M137" s="953">
        <v>134359.94879999998</v>
      </c>
      <c r="N137" s="953">
        <v>134359.94879999998</v>
      </c>
      <c r="O137" s="953">
        <v>134359.94879999998</v>
      </c>
    </row>
    <row r="138" spans="1:15">
      <c r="A138" s="119"/>
      <c r="B138" s="331" t="s">
        <v>793</v>
      </c>
      <c r="C138">
        <v>375829.14599999995</v>
      </c>
      <c r="D138" s="953">
        <v>375829.14599999995</v>
      </c>
      <c r="E138" s="953">
        <v>375829.14599999995</v>
      </c>
      <c r="F138" s="953">
        <v>375829.14599999995</v>
      </c>
      <c r="G138" s="953">
        <v>375829.14599999995</v>
      </c>
      <c r="H138" s="953">
        <v>375829.14599999995</v>
      </c>
      <c r="I138" s="953">
        <v>375829.14599999995</v>
      </c>
      <c r="J138" s="953">
        <v>375829.14599999995</v>
      </c>
      <c r="K138" s="953">
        <v>375829.14599999995</v>
      </c>
      <c r="L138" s="953">
        <v>375829.14599999995</v>
      </c>
      <c r="M138" s="953">
        <v>375829.14599999995</v>
      </c>
      <c r="N138" s="953">
        <v>375829.14599999995</v>
      </c>
      <c r="O138" s="953">
        <v>375829.14599999995</v>
      </c>
    </row>
    <row r="139" spans="1:15">
      <c r="A139" s="119"/>
      <c r="B139" s="331" t="s">
        <v>794</v>
      </c>
      <c r="C139">
        <v>476160</v>
      </c>
      <c r="D139" s="953">
        <v>476160</v>
      </c>
      <c r="E139" s="953">
        <v>476160</v>
      </c>
      <c r="F139" s="953">
        <v>476160</v>
      </c>
      <c r="G139" s="953">
        <v>476160</v>
      </c>
      <c r="H139" s="953">
        <v>476160</v>
      </c>
      <c r="I139" s="953">
        <v>476160</v>
      </c>
      <c r="J139" s="953">
        <v>476160</v>
      </c>
      <c r="K139" s="953">
        <v>476160</v>
      </c>
      <c r="L139" s="953">
        <v>476160</v>
      </c>
      <c r="M139" s="953">
        <v>476160</v>
      </c>
      <c r="N139" s="953">
        <v>476160</v>
      </c>
      <c r="O139" s="953">
        <v>476160</v>
      </c>
    </row>
    <row r="140" spans="1:15">
      <c r="A140" s="119"/>
      <c r="B140" s="331" t="s">
        <v>795</v>
      </c>
      <c r="C140">
        <v>476160</v>
      </c>
      <c r="D140" s="953">
        <v>476160</v>
      </c>
      <c r="E140" s="953">
        <v>476160</v>
      </c>
      <c r="F140" s="953">
        <v>476160</v>
      </c>
      <c r="G140" s="953">
        <v>476160</v>
      </c>
      <c r="H140" s="953">
        <v>476160</v>
      </c>
      <c r="I140" s="953">
        <v>476160</v>
      </c>
      <c r="J140" s="953">
        <v>476160</v>
      </c>
      <c r="K140" s="953">
        <v>476160</v>
      </c>
      <c r="L140" s="953">
        <v>476160</v>
      </c>
      <c r="M140" s="953">
        <v>476160</v>
      </c>
      <c r="N140" s="953">
        <v>476160</v>
      </c>
      <c r="O140" s="953">
        <v>476160</v>
      </c>
    </row>
    <row r="141" spans="1:15">
      <c r="A141" s="119"/>
      <c r="B141" s="331" t="s">
        <v>796</v>
      </c>
      <c r="C141">
        <v>476160</v>
      </c>
      <c r="D141" s="953">
        <v>476160</v>
      </c>
      <c r="E141" s="953">
        <v>476160</v>
      </c>
      <c r="F141" s="953">
        <v>476160</v>
      </c>
      <c r="G141" s="953">
        <v>476160</v>
      </c>
      <c r="H141" s="953">
        <v>476160</v>
      </c>
      <c r="I141" s="953">
        <v>476160</v>
      </c>
      <c r="J141" s="953">
        <v>476160</v>
      </c>
      <c r="K141" s="953">
        <v>476160</v>
      </c>
      <c r="L141" s="953">
        <v>476160</v>
      </c>
      <c r="M141" s="953">
        <v>476160</v>
      </c>
      <c r="N141" s="953">
        <v>476160</v>
      </c>
      <c r="O141" s="953">
        <v>476160</v>
      </c>
    </row>
    <row r="142" spans="1:15">
      <c r="A142" s="119"/>
      <c r="B142" s="331" t="s">
        <v>797</v>
      </c>
      <c r="C142">
        <v>476160</v>
      </c>
      <c r="D142" s="953">
        <v>476160</v>
      </c>
      <c r="E142" s="953">
        <v>476160</v>
      </c>
      <c r="F142" s="953">
        <v>476160</v>
      </c>
      <c r="G142" s="953">
        <v>476160</v>
      </c>
      <c r="H142" s="953">
        <v>476160</v>
      </c>
      <c r="I142" s="953">
        <v>476160</v>
      </c>
      <c r="J142" s="953">
        <v>476160</v>
      </c>
      <c r="K142" s="953">
        <v>476160</v>
      </c>
      <c r="L142" s="953">
        <v>476160</v>
      </c>
      <c r="M142" s="953">
        <v>476160</v>
      </c>
      <c r="N142" s="953">
        <v>476160</v>
      </c>
      <c r="O142" s="953">
        <v>476160</v>
      </c>
    </row>
    <row r="143" spans="1:15">
      <c r="A143" s="119"/>
      <c r="B143" s="331" t="s">
        <v>798</v>
      </c>
      <c r="D143" s="953"/>
      <c r="E143" s="953"/>
      <c r="F143" s="953"/>
      <c r="G143" s="953"/>
      <c r="H143" s="953"/>
      <c r="I143" s="953"/>
      <c r="J143" s="953"/>
      <c r="K143" s="953"/>
      <c r="L143" s="953"/>
      <c r="M143" s="953"/>
      <c r="N143" s="953"/>
      <c r="O143" s="953"/>
    </row>
    <row r="144" spans="1:15">
      <c r="A144" s="119"/>
      <c r="B144" s="331"/>
    </row>
    <row r="145" spans="1:15">
      <c r="A145" s="926">
        <v>2</v>
      </c>
      <c r="B145" s="331" t="s">
        <v>679</v>
      </c>
      <c r="C145" s="147">
        <v>150000</v>
      </c>
      <c r="D145" s="954">
        <v>150000</v>
      </c>
      <c r="E145" s="954">
        <v>150000</v>
      </c>
      <c r="F145" s="954">
        <v>150000</v>
      </c>
      <c r="G145" s="954">
        <v>150000</v>
      </c>
      <c r="H145" s="954">
        <v>150000</v>
      </c>
      <c r="I145" s="953">
        <v>150000</v>
      </c>
      <c r="J145" s="953">
        <v>150000</v>
      </c>
      <c r="K145" s="953">
        <v>150000</v>
      </c>
      <c r="L145" s="954">
        <v>150000</v>
      </c>
      <c r="M145" s="954">
        <v>150000</v>
      </c>
      <c r="N145" s="954">
        <v>150000</v>
      </c>
      <c r="O145" s="954">
        <v>150000</v>
      </c>
    </row>
    <row r="147" spans="1:15">
      <c r="A147" s="119">
        <v>2.1</v>
      </c>
      <c r="B147" s="331" t="s">
        <v>359</v>
      </c>
      <c r="D147" s="953"/>
      <c r="E147" s="953"/>
      <c r="F147" s="953"/>
      <c r="G147" s="953"/>
      <c r="H147" s="953"/>
      <c r="I147" s="953"/>
      <c r="J147" s="953"/>
      <c r="K147" s="953"/>
      <c r="L147" s="953"/>
      <c r="M147" s="953"/>
      <c r="N147" s="953"/>
      <c r="O147" s="953"/>
    </row>
    <row r="148" spans="1:15">
      <c r="A148" s="119"/>
      <c r="B148" s="331" t="s">
        <v>799</v>
      </c>
      <c r="C148" s="147">
        <v>25000</v>
      </c>
      <c r="D148" s="954">
        <v>25000</v>
      </c>
      <c r="E148" s="954">
        <v>25000</v>
      </c>
      <c r="F148" s="954">
        <v>25000</v>
      </c>
      <c r="G148" s="1005">
        <v>20000</v>
      </c>
      <c r="H148" s="1005">
        <v>20000</v>
      </c>
      <c r="I148" s="1006">
        <v>20000</v>
      </c>
      <c r="J148" s="1006">
        <v>20000</v>
      </c>
      <c r="K148" s="1006">
        <v>20000</v>
      </c>
      <c r="L148" s="1397">
        <v>15000</v>
      </c>
      <c r="M148" s="1397">
        <v>15000</v>
      </c>
      <c r="N148" s="1397">
        <v>15000</v>
      </c>
      <c r="O148" s="1397">
        <v>15000</v>
      </c>
    </row>
    <row r="149" spans="1:15">
      <c r="A149" s="119"/>
      <c r="B149" s="331" t="s">
        <v>800</v>
      </c>
      <c r="C149">
        <v>1</v>
      </c>
      <c r="D149" s="953">
        <v>1</v>
      </c>
      <c r="E149" s="953">
        <v>1</v>
      </c>
      <c r="F149" s="953">
        <v>1</v>
      </c>
      <c r="G149" s="953">
        <v>1</v>
      </c>
      <c r="H149" s="953">
        <v>1</v>
      </c>
      <c r="I149" s="953">
        <v>1</v>
      </c>
      <c r="J149" s="953">
        <v>1</v>
      </c>
      <c r="K149" s="953">
        <v>1</v>
      </c>
      <c r="L149" s="953">
        <v>1</v>
      </c>
      <c r="M149" s="953">
        <v>1</v>
      </c>
      <c r="N149" s="953">
        <v>1</v>
      </c>
      <c r="O149" s="953">
        <v>1</v>
      </c>
    </row>
    <row r="150" spans="1:15">
      <c r="A150" s="119"/>
      <c r="B150" s="331" t="s">
        <v>801</v>
      </c>
      <c r="C150">
        <v>1.1100000000000001</v>
      </c>
      <c r="D150" s="953">
        <v>1.1100000000000001</v>
      </c>
      <c r="E150" s="953">
        <v>1.1100000000000001</v>
      </c>
      <c r="F150" s="953">
        <v>1.1100000000000001</v>
      </c>
      <c r="G150" s="953">
        <v>1.1100000000000001</v>
      </c>
      <c r="H150" s="953">
        <v>1.1100000000000001</v>
      </c>
      <c r="I150" s="953">
        <v>1.1100000000000001</v>
      </c>
      <c r="J150" s="953">
        <v>1.1100000000000001</v>
      </c>
      <c r="K150" s="953">
        <v>1.1100000000000001</v>
      </c>
      <c r="L150" s="1398">
        <v>1.03</v>
      </c>
      <c r="M150" s="1398">
        <v>1.03</v>
      </c>
      <c r="N150" s="1398">
        <v>1.03</v>
      </c>
      <c r="O150" s="1398">
        <v>1.03</v>
      </c>
    </row>
    <row r="151" spans="1:15">
      <c r="A151" s="119"/>
      <c r="B151" s="331" t="s">
        <v>802</v>
      </c>
      <c r="C151">
        <v>1.2</v>
      </c>
      <c r="D151" s="953">
        <v>1.2</v>
      </c>
      <c r="E151" s="953">
        <v>1.2</v>
      </c>
      <c r="F151" s="953">
        <v>1.2</v>
      </c>
      <c r="G151" s="953">
        <v>1.2</v>
      </c>
      <c r="H151" s="953">
        <v>1.2</v>
      </c>
      <c r="I151" s="953">
        <v>1.2</v>
      </c>
      <c r="J151" s="953">
        <v>1.2</v>
      </c>
      <c r="K151" s="953">
        <v>1.2</v>
      </c>
      <c r="L151" s="1398">
        <v>1.04</v>
      </c>
      <c r="M151" s="1398">
        <v>1.06</v>
      </c>
      <c r="N151" s="1398">
        <v>1.06</v>
      </c>
      <c r="O151" s="1398">
        <v>1.06</v>
      </c>
    </row>
    <row r="152" spans="1:15">
      <c r="A152" s="119"/>
      <c r="B152" s="331" t="s">
        <v>803</v>
      </c>
      <c r="C152" s="147">
        <v>67500</v>
      </c>
      <c r="D152" s="954">
        <v>67500</v>
      </c>
      <c r="E152" s="954">
        <v>67500</v>
      </c>
      <c r="F152" s="954">
        <v>67500</v>
      </c>
      <c r="G152" s="1005">
        <v>15000</v>
      </c>
      <c r="H152" s="1005">
        <v>15000</v>
      </c>
      <c r="I152" s="1006">
        <v>15000</v>
      </c>
      <c r="J152" s="1006">
        <v>15000</v>
      </c>
      <c r="K152" s="1006">
        <v>15000</v>
      </c>
      <c r="L152" s="1397">
        <v>14000</v>
      </c>
      <c r="M152" s="1397">
        <v>36000</v>
      </c>
      <c r="N152" s="1397">
        <v>36000</v>
      </c>
      <c r="O152" s="1397">
        <v>36000</v>
      </c>
    </row>
    <row r="153" spans="1:15">
      <c r="A153" s="119"/>
      <c r="B153" s="331" t="s">
        <v>804</v>
      </c>
      <c r="C153">
        <v>1.5</v>
      </c>
      <c r="D153" s="953">
        <v>1.5</v>
      </c>
      <c r="E153" s="953">
        <v>1.5</v>
      </c>
      <c r="F153" s="953">
        <v>1.5</v>
      </c>
      <c r="G153" s="953">
        <v>1.5</v>
      </c>
      <c r="H153" s="953">
        <v>1.5</v>
      </c>
      <c r="I153" s="953">
        <v>1.5</v>
      </c>
      <c r="J153" s="953">
        <v>1.5</v>
      </c>
      <c r="K153" s="953">
        <v>1.5</v>
      </c>
      <c r="L153" s="1398">
        <v>1</v>
      </c>
      <c r="M153" s="1398">
        <v>1</v>
      </c>
      <c r="N153" s="1398">
        <v>1</v>
      </c>
      <c r="O153" s="1398">
        <v>1</v>
      </c>
    </row>
    <row r="154" spans="1:15">
      <c r="A154" s="119"/>
      <c r="B154" s="331" t="s">
        <v>805</v>
      </c>
      <c r="C154">
        <v>1.1100000000000001</v>
      </c>
      <c r="D154" s="953">
        <v>1.1100000000000001</v>
      </c>
      <c r="E154" s="953">
        <v>1.1100000000000001</v>
      </c>
      <c r="F154" s="953">
        <v>1.1100000000000001</v>
      </c>
      <c r="G154" s="1006">
        <v>1.05</v>
      </c>
      <c r="H154" s="1006">
        <v>1.05</v>
      </c>
      <c r="I154" s="1006">
        <v>1.05</v>
      </c>
      <c r="J154" s="1006">
        <v>1.05</v>
      </c>
      <c r="K154" s="1006">
        <v>1.05</v>
      </c>
      <c r="L154" s="1398">
        <v>1.03</v>
      </c>
      <c r="M154" s="1398">
        <v>1.1000000000000001</v>
      </c>
      <c r="N154" s="1398">
        <v>1.1000000000000001</v>
      </c>
      <c r="O154" s="1398">
        <v>1.1000000000000001</v>
      </c>
    </row>
    <row r="155" spans="1:15">
      <c r="A155" s="119"/>
      <c r="B155" s="331" t="s">
        <v>806</v>
      </c>
      <c r="C155">
        <v>1.2</v>
      </c>
      <c r="D155" s="953">
        <v>1.2</v>
      </c>
      <c r="E155" s="953">
        <v>1.2</v>
      </c>
      <c r="F155" s="953">
        <v>1.2</v>
      </c>
      <c r="G155" s="1006">
        <v>1.1000000000000001</v>
      </c>
      <c r="H155" s="1006">
        <v>1.1000000000000001</v>
      </c>
      <c r="I155" s="1006">
        <v>1.1000000000000001</v>
      </c>
      <c r="J155" s="1006">
        <v>1.1000000000000001</v>
      </c>
      <c r="K155" s="1006">
        <v>1.1000000000000001</v>
      </c>
      <c r="L155" s="1398">
        <v>1.05</v>
      </c>
      <c r="M155" s="1398">
        <v>1.1100000000000001</v>
      </c>
      <c r="N155" s="1398">
        <v>1.1100000000000001</v>
      </c>
      <c r="O155" s="1398">
        <v>1.1100000000000001</v>
      </c>
    </row>
    <row r="156" spans="1:15">
      <c r="A156" s="119"/>
      <c r="B156" s="331" t="s">
        <v>807</v>
      </c>
      <c r="C156" s="147">
        <v>32500</v>
      </c>
      <c r="D156" s="954">
        <v>32500</v>
      </c>
      <c r="E156" s="954">
        <v>32500</v>
      </c>
      <c r="F156" s="954">
        <v>32500</v>
      </c>
      <c r="G156" s="1005">
        <v>25000</v>
      </c>
      <c r="H156" s="1005">
        <v>25000</v>
      </c>
      <c r="I156" s="1006">
        <v>25000</v>
      </c>
      <c r="J156" s="1006">
        <v>25000</v>
      </c>
      <c r="K156" s="1006">
        <v>25000</v>
      </c>
      <c r="L156" s="1005">
        <v>25000</v>
      </c>
      <c r="M156" s="1397">
        <v>10000</v>
      </c>
      <c r="N156" s="1397">
        <v>10000</v>
      </c>
      <c r="O156" s="1397">
        <v>10000</v>
      </c>
    </row>
    <row r="157" spans="1:15">
      <c r="A157" s="119"/>
      <c r="B157" s="331" t="s">
        <v>808</v>
      </c>
      <c r="C157">
        <v>0.5</v>
      </c>
      <c r="D157" s="953">
        <v>0.5</v>
      </c>
      <c r="E157" s="953">
        <v>0.5</v>
      </c>
      <c r="F157" s="953">
        <v>0.5</v>
      </c>
      <c r="G157" s="953">
        <v>0.5</v>
      </c>
      <c r="H157" s="953">
        <v>0.5</v>
      </c>
      <c r="I157" s="953">
        <v>0.5</v>
      </c>
      <c r="J157" s="953">
        <v>0.5</v>
      </c>
      <c r="K157" s="953">
        <v>0.5</v>
      </c>
      <c r="L157" s="953">
        <v>0.5</v>
      </c>
      <c r="M157" s="953">
        <v>0.5</v>
      </c>
      <c r="N157" s="953">
        <v>0.5</v>
      </c>
      <c r="O157" s="953">
        <v>0.5</v>
      </c>
    </row>
    <row r="158" spans="1:15">
      <c r="A158" s="119"/>
      <c r="B158" s="331" t="s">
        <v>809</v>
      </c>
      <c r="C158">
        <v>1.1100000000000001</v>
      </c>
      <c r="D158" s="953">
        <v>1.1100000000000001</v>
      </c>
      <c r="E158" s="953">
        <v>1.1100000000000001</v>
      </c>
      <c r="F158" s="953">
        <v>1.1100000000000001</v>
      </c>
      <c r="G158" s="1006">
        <v>1.08</v>
      </c>
      <c r="H158" s="1006">
        <v>1.08</v>
      </c>
      <c r="I158" s="1006">
        <v>1.08</v>
      </c>
      <c r="J158" s="1006">
        <v>1.08</v>
      </c>
      <c r="K158" s="1006">
        <v>1.08</v>
      </c>
      <c r="L158" s="1398">
        <v>1.04</v>
      </c>
      <c r="M158" s="1398">
        <v>1.04</v>
      </c>
      <c r="N158" s="1398">
        <v>1.04</v>
      </c>
      <c r="O158" s="1398">
        <v>1.04</v>
      </c>
    </row>
    <row r="159" spans="1:15">
      <c r="A159" s="119"/>
      <c r="B159" s="331" t="s">
        <v>810</v>
      </c>
      <c r="C159">
        <v>1.2</v>
      </c>
      <c r="D159" s="953">
        <v>1.2</v>
      </c>
      <c r="E159" s="953">
        <v>1.2</v>
      </c>
      <c r="F159" s="953">
        <v>1.2</v>
      </c>
      <c r="G159" s="1006">
        <v>1.1499999999999999</v>
      </c>
      <c r="H159" s="1006">
        <v>1.1499999999999999</v>
      </c>
      <c r="I159" s="1006">
        <v>1.1499999999999999</v>
      </c>
      <c r="J159" s="1006">
        <v>1.1499999999999999</v>
      </c>
      <c r="K159" s="1006">
        <v>1.1499999999999999</v>
      </c>
      <c r="L159" s="1398">
        <v>1.06</v>
      </c>
      <c r="M159" s="1398">
        <v>1.06</v>
      </c>
      <c r="N159" s="1398">
        <v>1.06</v>
      </c>
      <c r="O159" s="1398">
        <v>1.06</v>
      </c>
    </row>
    <row r="160" spans="1:15">
      <c r="A160" s="119"/>
      <c r="B160" s="331" t="s">
        <v>811</v>
      </c>
      <c r="C160" s="147">
        <v>5000</v>
      </c>
      <c r="D160" s="954">
        <v>5000</v>
      </c>
      <c r="E160" s="954">
        <v>5000</v>
      </c>
      <c r="F160" s="954">
        <v>5000</v>
      </c>
      <c r="G160" s="1005">
        <v>1500</v>
      </c>
      <c r="H160" s="1005">
        <v>1500</v>
      </c>
      <c r="I160" s="1006">
        <v>1500</v>
      </c>
      <c r="J160" s="1006">
        <v>1500</v>
      </c>
      <c r="K160" s="1006">
        <v>1500</v>
      </c>
      <c r="L160" s="1005">
        <v>1500</v>
      </c>
      <c r="M160" s="1005">
        <v>1500</v>
      </c>
      <c r="N160" s="1005">
        <v>1500</v>
      </c>
      <c r="O160" s="1005">
        <v>1500</v>
      </c>
    </row>
    <row r="161" spans="1:15">
      <c r="A161" s="119"/>
      <c r="B161" s="331" t="s">
        <v>812</v>
      </c>
      <c r="C161">
        <v>1.1100000000000001</v>
      </c>
      <c r="D161" s="953">
        <v>1.1100000000000001</v>
      </c>
      <c r="E161" s="953">
        <v>1.1100000000000001</v>
      </c>
      <c r="F161" s="953">
        <v>1.1100000000000001</v>
      </c>
      <c r="G161" s="953">
        <v>1.1100000000000001</v>
      </c>
      <c r="H161" s="953">
        <v>1.1100000000000001</v>
      </c>
      <c r="I161" s="953">
        <v>1.1100000000000001</v>
      </c>
      <c r="J161" s="953">
        <v>1.1100000000000001</v>
      </c>
      <c r="K161" s="953">
        <v>1.1100000000000001</v>
      </c>
      <c r="L161" s="1398">
        <v>1.07</v>
      </c>
      <c r="M161" s="1398">
        <v>1</v>
      </c>
      <c r="N161" s="1398">
        <v>1</v>
      </c>
      <c r="O161" s="1398">
        <v>1</v>
      </c>
    </row>
    <row r="162" spans="1:15">
      <c r="A162" s="119"/>
      <c r="B162" s="331" t="s">
        <v>813</v>
      </c>
      <c r="C162">
        <v>1.2</v>
      </c>
      <c r="D162" s="953">
        <v>1.2</v>
      </c>
      <c r="E162" s="953">
        <v>1.2</v>
      </c>
      <c r="F162" s="953">
        <v>1.2</v>
      </c>
      <c r="G162" s="953">
        <v>1.2</v>
      </c>
      <c r="H162" s="953">
        <v>1.2</v>
      </c>
      <c r="I162" s="953">
        <v>1.2</v>
      </c>
      <c r="J162" s="953">
        <v>1.2</v>
      </c>
      <c r="K162" s="953">
        <v>1.2</v>
      </c>
      <c r="L162" s="1398">
        <v>1.1100000000000001</v>
      </c>
      <c r="M162" s="1398">
        <v>1</v>
      </c>
      <c r="N162" s="1398">
        <v>1</v>
      </c>
      <c r="O162" s="1398">
        <v>1</v>
      </c>
    </row>
    <row r="163" spans="1:15" s="1360" customFormat="1">
      <c r="A163" s="1395"/>
      <c r="B163" s="1396" t="s">
        <v>1614</v>
      </c>
      <c r="L163" s="1398">
        <v>0.5</v>
      </c>
      <c r="M163" s="1398"/>
      <c r="N163" s="1398"/>
      <c r="O163" s="1398"/>
    </row>
    <row r="164" spans="1:15">
      <c r="A164" s="119"/>
      <c r="B164" s="331"/>
    </row>
    <row r="165" spans="1:15">
      <c r="A165" s="119">
        <v>2.11</v>
      </c>
      <c r="B165" s="331" t="s">
        <v>371</v>
      </c>
      <c r="C165" s="147">
        <v>130000</v>
      </c>
      <c r="D165" s="954">
        <v>130000</v>
      </c>
      <c r="E165" s="954">
        <v>130000</v>
      </c>
      <c r="F165" s="954">
        <v>130000</v>
      </c>
      <c r="G165" s="1005">
        <v>61500</v>
      </c>
      <c r="H165" s="1005">
        <v>61500</v>
      </c>
      <c r="I165" s="1006">
        <v>61500</v>
      </c>
      <c r="J165" s="1006">
        <v>61500</v>
      </c>
      <c r="K165" s="1006">
        <v>61500</v>
      </c>
      <c r="L165" s="1397">
        <v>55500</v>
      </c>
      <c r="M165" s="1397">
        <v>62500</v>
      </c>
      <c r="N165" s="1397">
        <v>62500</v>
      </c>
      <c r="O165" s="1397">
        <v>62500</v>
      </c>
    </row>
    <row r="166" spans="1:15">
      <c r="A166" s="119">
        <v>2.12</v>
      </c>
      <c r="B166" s="331" t="s">
        <v>373</v>
      </c>
      <c r="C166" s="147">
        <v>144300</v>
      </c>
      <c r="D166" s="954">
        <v>144300</v>
      </c>
      <c r="E166" s="954">
        <v>144300</v>
      </c>
      <c r="F166" s="954">
        <v>144300</v>
      </c>
      <c r="G166" s="1005">
        <v>66615</v>
      </c>
      <c r="H166" s="1005">
        <v>66615</v>
      </c>
      <c r="I166" s="1006">
        <v>66615</v>
      </c>
      <c r="J166" s="1006">
        <v>66615</v>
      </c>
      <c r="K166" s="1006">
        <v>66615</v>
      </c>
      <c r="L166" s="1397">
        <v>57475</v>
      </c>
      <c r="M166" s="1397">
        <v>66950</v>
      </c>
      <c r="N166" s="1397">
        <v>66950</v>
      </c>
      <c r="O166" s="1397">
        <v>66950</v>
      </c>
    </row>
    <row r="167" spans="1:15">
      <c r="A167" s="119">
        <v>2.13</v>
      </c>
      <c r="B167" s="331" t="s">
        <v>374</v>
      </c>
      <c r="C167" s="147">
        <v>173160</v>
      </c>
      <c r="D167" s="954">
        <v>173160</v>
      </c>
      <c r="E167" s="954">
        <v>173160</v>
      </c>
      <c r="F167" s="954">
        <v>173160</v>
      </c>
      <c r="G167" s="1005">
        <v>77013</v>
      </c>
      <c r="H167" s="1005">
        <v>77013</v>
      </c>
      <c r="I167" s="1006">
        <v>77013</v>
      </c>
      <c r="J167" s="1006">
        <v>77013</v>
      </c>
      <c r="K167" s="1006">
        <v>77013</v>
      </c>
      <c r="L167" s="1397">
        <v>60550.55</v>
      </c>
      <c r="M167" s="1397">
        <v>72857</v>
      </c>
      <c r="N167" s="1397">
        <v>72857</v>
      </c>
      <c r="O167" s="1397">
        <v>72857</v>
      </c>
    </row>
    <row r="168" spans="1:15">
      <c r="A168" s="119"/>
      <c r="B168" s="331"/>
      <c r="C168" s="147"/>
      <c r="D168" s="147"/>
      <c r="E168" s="147"/>
      <c r="F168" s="147"/>
      <c r="G168" s="147"/>
      <c r="H168" s="147"/>
    </row>
    <row r="169" spans="1:15">
      <c r="A169" s="119">
        <v>2.2000000000000002</v>
      </c>
      <c r="B169" s="348" t="s">
        <v>558</v>
      </c>
      <c r="C169" s="147"/>
      <c r="D169" s="954"/>
      <c r="E169" s="954"/>
      <c r="F169" s="954"/>
      <c r="G169" s="954"/>
      <c r="H169" s="954"/>
      <c r="I169" s="953"/>
      <c r="J169" s="953"/>
      <c r="K169" s="953"/>
      <c r="L169" s="953"/>
      <c r="M169" s="953"/>
      <c r="N169" s="953"/>
      <c r="O169" s="953"/>
    </row>
    <row r="170" spans="1:15">
      <c r="A170" s="119"/>
      <c r="B170" s="348" t="s">
        <v>814</v>
      </c>
      <c r="C170" s="147">
        <v>26000</v>
      </c>
      <c r="D170" s="954">
        <v>26000</v>
      </c>
      <c r="E170" s="954">
        <v>26000</v>
      </c>
      <c r="F170" s="954">
        <v>26000</v>
      </c>
      <c r="G170" s="954">
        <v>26000</v>
      </c>
      <c r="H170" s="954">
        <v>26000</v>
      </c>
      <c r="I170" s="953">
        <v>26000</v>
      </c>
      <c r="J170" s="953">
        <v>26000</v>
      </c>
      <c r="K170" s="953">
        <v>26000</v>
      </c>
      <c r="L170" s="953">
        <v>26000</v>
      </c>
      <c r="M170" s="954">
        <v>26000</v>
      </c>
      <c r="N170" s="954">
        <v>26000</v>
      </c>
      <c r="O170" s="954">
        <v>26000</v>
      </c>
    </row>
    <row r="171" spans="1:15">
      <c r="A171" s="119"/>
      <c r="B171" s="348" t="s">
        <v>815</v>
      </c>
      <c r="C171" s="147">
        <v>30000</v>
      </c>
      <c r="D171" s="954">
        <v>30000</v>
      </c>
      <c r="E171" s="954">
        <v>30000</v>
      </c>
      <c r="F171" s="954">
        <v>30000</v>
      </c>
      <c r="G171" s="954">
        <v>30000</v>
      </c>
      <c r="H171" s="954">
        <v>30000</v>
      </c>
      <c r="I171" s="953">
        <v>30000</v>
      </c>
      <c r="J171" s="953">
        <v>30000</v>
      </c>
      <c r="K171" s="953">
        <v>30000</v>
      </c>
      <c r="L171" s="953">
        <v>30000</v>
      </c>
      <c r="M171" s="954">
        <v>30000</v>
      </c>
      <c r="N171" s="954">
        <v>30000</v>
      </c>
      <c r="O171" s="954">
        <v>30000</v>
      </c>
    </row>
    <row r="172" spans="1:15">
      <c r="A172" s="119"/>
      <c r="B172" s="348" t="s">
        <v>816</v>
      </c>
      <c r="C172" s="147">
        <v>28000</v>
      </c>
      <c r="D172" s="954">
        <v>28000</v>
      </c>
      <c r="E172" s="954">
        <v>28000</v>
      </c>
      <c r="F172" s="954">
        <v>28000</v>
      </c>
      <c r="G172" s="954">
        <v>28000</v>
      </c>
      <c r="H172" s="954">
        <v>28000</v>
      </c>
      <c r="I172" s="953">
        <v>28000</v>
      </c>
      <c r="J172" s="953">
        <v>28000</v>
      </c>
      <c r="K172" s="953">
        <v>28000</v>
      </c>
      <c r="L172" s="953">
        <v>28000</v>
      </c>
      <c r="M172" s="954">
        <v>28000</v>
      </c>
      <c r="N172" s="954">
        <v>28000</v>
      </c>
      <c r="O172" s="954">
        <v>28000</v>
      </c>
    </row>
    <row r="173" spans="1:15">
      <c r="A173" s="119"/>
      <c r="B173" s="348" t="s">
        <v>817</v>
      </c>
      <c r="C173" s="147">
        <v>32000</v>
      </c>
      <c r="D173" s="954">
        <v>32000</v>
      </c>
      <c r="E173" s="954">
        <v>32000</v>
      </c>
      <c r="F173" s="954">
        <v>32000</v>
      </c>
      <c r="G173" s="954">
        <v>32000</v>
      </c>
      <c r="H173" s="954">
        <v>32000</v>
      </c>
      <c r="I173" s="953">
        <v>32000</v>
      </c>
      <c r="J173" s="953">
        <v>32000</v>
      </c>
      <c r="K173" s="953">
        <v>32000</v>
      </c>
      <c r="L173" s="953">
        <v>32000</v>
      </c>
      <c r="M173" s="954">
        <v>32000</v>
      </c>
      <c r="N173" s="954">
        <v>32000</v>
      </c>
      <c r="O173" s="954">
        <v>32000</v>
      </c>
    </row>
    <row r="174" spans="1:15">
      <c r="A174" s="119"/>
      <c r="B174" s="348" t="s">
        <v>818</v>
      </c>
      <c r="C174" s="147">
        <v>23000</v>
      </c>
      <c r="D174" s="954">
        <v>23000</v>
      </c>
      <c r="E174" s="954">
        <v>23000</v>
      </c>
      <c r="F174" s="954">
        <v>23000</v>
      </c>
      <c r="G174" s="954">
        <v>23000</v>
      </c>
      <c r="H174" s="954">
        <v>23000</v>
      </c>
      <c r="I174" s="953">
        <v>23000</v>
      </c>
      <c r="J174" s="953">
        <v>23000</v>
      </c>
      <c r="K174" s="953">
        <v>23000</v>
      </c>
      <c r="L174" s="953">
        <v>23000</v>
      </c>
      <c r="M174" s="954">
        <v>23000</v>
      </c>
      <c r="N174" s="954">
        <v>23000</v>
      </c>
      <c r="O174" s="954">
        <v>23000</v>
      </c>
    </row>
    <row r="175" spans="1:15">
      <c r="A175" s="119"/>
      <c r="B175" s="348" t="s">
        <v>819</v>
      </c>
      <c r="C175" s="147">
        <v>24000</v>
      </c>
      <c r="D175" s="954">
        <v>24000</v>
      </c>
      <c r="E175" s="954">
        <v>24000</v>
      </c>
      <c r="F175" s="954">
        <v>24000</v>
      </c>
      <c r="G175" s="954">
        <v>24000</v>
      </c>
      <c r="H175" s="954">
        <v>24000</v>
      </c>
      <c r="I175" s="953">
        <v>24000</v>
      </c>
      <c r="J175" s="953">
        <v>24000</v>
      </c>
      <c r="K175" s="953">
        <v>24000</v>
      </c>
      <c r="L175" s="953">
        <v>24000</v>
      </c>
      <c r="M175" s="954">
        <v>24000</v>
      </c>
      <c r="N175" s="954">
        <v>24000</v>
      </c>
      <c r="O175" s="954">
        <v>24000</v>
      </c>
    </row>
    <row r="176" spans="1:15">
      <c r="A176" s="119"/>
      <c r="B176" s="348" t="s">
        <v>820</v>
      </c>
      <c r="C176" s="147">
        <v>25000</v>
      </c>
      <c r="D176" s="954">
        <v>25000</v>
      </c>
      <c r="E176" s="954">
        <v>25000</v>
      </c>
      <c r="F176" s="954">
        <v>25000</v>
      </c>
      <c r="G176" s="954">
        <v>25000</v>
      </c>
      <c r="H176" s="954">
        <v>25000</v>
      </c>
      <c r="I176" s="953">
        <v>25000</v>
      </c>
      <c r="J176" s="953">
        <v>25000</v>
      </c>
      <c r="K176" s="953">
        <v>25000</v>
      </c>
      <c r="L176" s="953">
        <v>25000</v>
      </c>
      <c r="M176" s="954">
        <v>25000</v>
      </c>
      <c r="N176" s="954">
        <v>25000</v>
      </c>
      <c r="O176" s="954">
        <v>25000</v>
      </c>
    </row>
    <row r="177" spans="1:15">
      <c r="A177" s="119"/>
      <c r="B177" s="348" t="s">
        <v>821</v>
      </c>
      <c r="C177" s="147">
        <v>27000</v>
      </c>
      <c r="D177" s="954">
        <v>27000</v>
      </c>
      <c r="E177" s="954">
        <v>27000</v>
      </c>
      <c r="F177" s="954">
        <v>27000</v>
      </c>
      <c r="G177" s="954">
        <v>27000</v>
      </c>
      <c r="H177" s="954">
        <v>27000</v>
      </c>
      <c r="I177" s="953">
        <v>27000</v>
      </c>
      <c r="J177" s="953">
        <v>27000</v>
      </c>
      <c r="K177" s="953">
        <v>27000</v>
      </c>
      <c r="L177" s="953">
        <v>27000</v>
      </c>
      <c r="M177" s="954">
        <v>27000</v>
      </c>
      <c r="N177" s="954">
        <v>27000</v>
      </c>
      <c r="O177" s="954">
        <v>27000</v>
      </c>
    </row>
    <row r="178" spans="1:15">
      <c r="A178" s="119"/>
      <c r="B178" s="348" t="s">
        <v>822</v>
      </c>
      <c r="C178" s="147">
        <v>25000</v>
      </c>
      <c r="D178" s="954">
        <v>25000</v>
      </c>
      <c r="E178" s="954">
        <v>25000</v>
      </c>
      <c r="F178" s="954">
        <v>25000</v>
      </c>
      <c r="G178" s="954">
        <v>25000</v>
      </c>
      <c r="H178" s="954">
        <v>25000</v>
      </c>
      <c r="I178" s="953">
        <v>25000</v>
      </c>
      <c r="J178" s="953">
        <v>25000</v>
      </c>
      <c r="K178" s="953">
        <v>25000</v>
      </c>
      <c r="L178" s="953">
        <v>25000</v>
      </c>
      <c r="M178" s="1398"/>
      <c r="N178" s="1398"/>
      <c r="O178" s="1398"/>
    </row>
    <row r="179" spans="1:15">
      <c r="A179" s="119"/>
      <c r="B179" s="348" t="s">
        <v>823</v>
      </c>
      <c r="C179" s="147">
        <v>30000</v>
      </c>
      <c r="D179" s="954">
        <v>30000</v>
      </c>
      <c r="E179" s="954">
        <v>30000</v>
      </c>
      <c r="F179" s="954">
        <v>30000</v>
      </c>
      <c r="G179" s="954">
        <v>30000</v>
      </c>
      <c r="H179" s="954">
        <v>30000</v>
      </c>
      <c r="I179" s="953">
        <v>30000</v>
      </c>
      <c r="J179" s="953">
        <v>30000</v>
      </c>
      <c r="K179" s="953">
        <v>30000</v>
      </c>
      <c r="L179" s="953">
        <v>30000</v>
      </c>
      <c r="M179" s="1398"/>
      <c r="N179" s="1398"/>
      <c r="O179" s="1398"/>
    </row>
    <row r="180" spans="1:15">
      <c r="A180" s="119"/>
      <c r="B180" s="348" t="s">
        <v>824</v>
      </c>
      <c r="C180" s="147">
        <v>29000</v>
      </c>
      <c r="D180" s="954">
        <v>29000</v>
      </c>
      <c r="E180" s="954">
        <v>29000</v>
      </c>
      <c r="F180" s="954">
        <v>29000</v>
      </c>
      <c r="G180" s="954">
        <v>29000</v>
      </c>
      <c r="H180" s="954">
        <v>29000</v>
      </c>
      <c r="I180" s="953">
        <v>29000</v>
      </c>
      <c r="J180" s="953">
        <v>29000</v>
      </c>
      <c r="K180" s="953">
        <v>29000</v>
      </c>
      <c r="L180" s="953">
        <v>29000</v>
      </c>
      <c r="M180" s="1398"/>
      <c r="N180" s="1398"/>
      <c r="O180" s="1398"/>
    </row>
    <row r="181" spans="1:15">
      <c r="A181" s="119"/>
      <c r="B181" s="348" t="s">
        <v>825</v>
      </c>
      <c r="C181" s="147">
        <v>32000</v>
      </c>
      <c r="D181" s="954">
        <v>32000</v>
      </c>
      <c r="E181" s="954">
        <v>32000</v>
      </c>
      <c r="F181" s="954">
        <v>32000</v>
      </c>
      <c r="G181" s="954">
        <v>32000</v>
      </c>
      <c r="H181" s="954">
        <v>32000</v>
      </c>
      <c r="I181" s="953">
        <v>32000</v>
      </c>
      <c r="J181" s="953">
        <v>32000</v>
      </c>
      <c r="K181" s="953">
        <v>32000</v>
      </c>
      <c r="L181" s="953">
        <v>32000</v>
      </c>
      <c r="M181" s="1398"/>
      <c r="N181" s="1398"/>
      <c r="O181" s="1398"/>
    </row>
    <row r="182" spans="1:15">
      <c r="A182" s="119"/>
      <c r="B182" s="348" t="s">
        <v>826</v>
      </c>
      <c r="C182" s="147">
        <v>15000</v>
      </c>
      <c r="D182" s="954">
        <v>15000</v>
      </c>
      <c r="E182" s="954">
        <v>15000</v>
      </c>
      <c r="F182" s="954">
        <v>15000</v>
      </c>
      <c r="G182" s="954">
        <v>15000</v>
      </c>
      <c r="H182" s="954">
        <v>15000</v>
      </c>
      <c r="I182" s="953">
        <v>15000</v>
      </c>
      <c r="J182" s="953">
        <v>15000</v>
      </c>
      <c r="K182" s="953">
        <v>15000</v>
      </c>
      <c r="L182" s="953">
        <v>15000</v>
      </c>
      <c r="M182" s="1398"/>
      <c r="N182" s="1398"/>
      <c r="O182" s="1398"/>
    </row>
    <row r="183" spans="1:15">
      <c r="A183" s="119"/>
      <c r="B183" s="348" t="s">
        <v>827</v>
      </c>
      <c r="C183" s="147">
        <v>20000</v>
      </c>
      <c r="D183" s="954">
        <v>20000</v>
      </c>
      <c r="E183" s="954">
        <v>20000</v>
      </c>
      <c r="F183" s="954">
        <v>20000</v>
      </c>
      <c r="G183" s="954">
        <v>20000</v>
      </c>
      <c r="H183" s="954">
        <v>20000</v>
      </c>
      <c r="I183" s="953">
        <v>20000</v>
      </c>
      <c r="J183" s="953">
        <v>20000</v>
      </c>
      <c r="K183" s="953">
        <v>20000</v>
      </c>
      <c r="L183" s="953">
        <v>20000</v>
      </c>
      <c r="M183" s="1398"/>
      <c r="N183" s="1398"/>
      <c r="O183" s="1398"/>
    </row>
    <row r="184" spans="1:15">
      <c r="A184" s="119"/>
      <c r="B184" s="348" t="s">
        <v>828</v>
      </c>
      <c r="C184" s="147">
        <v>20000</v>
      </c>
      <c r="D184" s="954">
        <v>20000</v>
      </c>
      <c r="E184" s="954">
        <v>20000</v>
      </c>
      <c r="F184" s="954">
        <v>20000</v>
      </c>
      <c r="G184" s="954">
        <v>20000</v>
      </c>
      <c r="H184" s="954">
        <v>20000</v>
      </c>
      <c r="I184" s="953">
        <v>20000</v>
      </c>
      <c r="J184" s="953">
        <v>20000</v>
      </c>
      <c r="K184" s="953">
        <v>20000</v>
      </c>
      <c r="L184" s="953">
        <v>20000</v>
      </c>
      <c r="M184" s="1398"/>
      <c r="N184" s="1398"/>
      <c r="O184" s="1398"/>
    </row>
    <row r="185" spans="1:15">
      <c r="A185" s="119"/>
      <c r="B185" s="348" t="s">
        <v>829</v>
      </c>
      <c r="C185" s="147">
        <v>22000</v>
      </c>
      <c r="D185" s="954">
        <v>22000</v>
      </c>
      <c r="E185" s="954">
        <v>22000</v>
      </c>
      <c r="F185" s="954">
        <v>22000</v>
      </c>
      <c r="G185" s="954">
        <v>22000</v>
      </c>
      <c r="H185" s="954">
        <v>22000</v>
      </c>
      <c r="I185" s="953">
        <v>22000</v>
      </c>
      <c r="J185" s="953">
        <v>22000</v>
      </c>
      <c r="K185" s="953">
        <v>22000</v>
      </c>
      <c r="L185" s="953">
        <v>22000</v>
      </c>
      <c r="M185" s="1398"/>
      <c r="N185" s="1398"/>
      <c r="O185" s="1398"/>
    </row>
    <row r="186" spans="1:15">
      <c r="A186" s="119"/>
      <c r="B186" s="331"/>
    </row>
    <row r="187" spans="1:15">
      <c r="A187" s="119">
        <v>2.2999999999999998</v>
      </c>
      <c r="B187" s="331" t="s">
        <v>360</v>
      </c>
      <c r="D187" s="953"/>
      <c r="E187" s="953"/>
      <c r="F187" s="953"/>
      <c r="G187" s="953"/>
      <c r="H187" s="953"/>
      <c r="I187" s="953"/>
      <c r="J187" s="953"/>
      <c r="K187" s="953"/>
      <c r="L187" s="953"/>
      <c r="M187" s="953"/>
      <c r="N187" s="953"/>
      <c r="O187" s="953"/>
    </row>
    <row r="188" spans="1:15">
      <c r="A188" s="119"/>
      <c r="B188" s="331" t="s">
        <v>830</v>
      </c>
      <c r="C188" s="147">
        <v>8000</v>
      </c>
      <c r="D188" s="954">
        <v>8000</v>
      </c>
      <c r="E188" s="954">
        <v>8000</v>
      </c>
      <c r="F188" s="954">
        <v>8000</v>
      </c>
      <c r="G188" s="1005">
        <v>5000</v>
      </c>
      <c r="H188" s="1005">
        <v>5000</v>
      </c>
      <c r="I188" s="1006">
        <v>5000</v>
      </c>
      <c r="J188" s="1006">
        <v>5000</v>
      </c>
      <c r="K188" s="1006">
        <v>5000</v>
      </c>
      <c r="L188" s="1397">
        <v>2500</v>
      </c>
      <c r="M188" s="1397">
        <v>2500</v>
      </c>
      <c r="N188" s="1397">
        <v>2500</v>
      </c>
      <c r="O188" s="1397">
        <v>2500</v>
      </c>
    </row>
    <row r="189" spans="1:15">
      <c r="A189" s="119"/>
      <c r="B189" s="331" t="s">
        <v>831</v>
      </c>
      <c r="C189">
        <v>1.1100000000000001</v>
      </c>
      <c r="D189" s="953">
        <v>1.1100000000000001</v>
      </c>
      <c r="E189" s="953">
        <v>1.1100000000000001</v>
      </c>
      <c r="F189" s="953">
        <v>1.1100000000000001</v>
      </c>
      <c r="G189" s="953">
        <v>1.1100000000000001</v>
      </c>
      <c r="H189" s="953">
        <v>1.1100000000000001</v>
      </c>
      <c r="I189" s="953">
        <v>1.1100000000000001</v>
      </c>
      <c r="J189" s="953">
        <v>1.1100000000000001</v>
      </c>
      <c r="K189" s="953">
        <v>1.1100000000000001</v>
      </c>
      <c r="L189" s="1398">
        <v>1.05</v>
      </c>
      <c r="M189" s="1398">
        <v>1.05</v>
      </c>
      <c r="N189" s="1398">
        <v>1.05</v>
      </c>
      <c r="O189" s="1398">
        <v>1.05</v>
      </c>
    </row>
    <row r="190" spans="1:15">
      <c r="A190" s="119"/>
      <c r="B190" s="331" t="s">
        <v>832</v>
      </c>
      <c r="C190">
        <v>1.2</v>
      </c>
      <c r="D190" s="953">
        <v>1.2</v>
      </c>
      <c r="E190" s="953">
        <v>1.2</v>
      </c>
      <c r="F190" s="953">
        <v>1.2</v>
      </c>
      <c r="G190" s="953">
        <v>1.2</v>
      </c>
      <c r="H190" s="953">
        <v>1.2</v>
      </c>
      <c r="I190" s="953">
        <v>1.2</v>
      </c>
      <c r="J190" s="953">
        <v>1.2</v>
      </c>
      <c r="K190" s="953">
        <v>1.2</v>
      </c>
      <c r="L190" s="1398">
        <v>1.07</v>
      </c>
      <c r="M190" s="1398">
        <v>1.07</v>
      </c>
      <c r="N190" s="1398">
        <v>1.07</v>
      </c>
      <c r="O190" s="1398">
        <v>1.07</v>
      </c>
    </row>
    <row r="191" spans="1:15">
      <c r="A191" s="119"/>
      <c r="B191" s="331" t="s">
        <v>833</v>
      </c>
      <c r="C191" s="147">
        <v>4000</v>
      </c>
      <c r="D191" s="954">
        <v>4000</v>
      </c>
      <c r="E191" s="954">
        <v>4000</v>
      </c>
      <c r="F191" s="954">
        <v>4000</v>
      </c>
      <c r="G191" s="1005">
        <v>3000</v>
      </c>
      <c r="H191" s="1005">
        <v>3000</v>
      </c>
      <c r="I191" s="1006">
        <v>3000</v>
      </c>
      <c r="J191" s="1006">
        <v>3000</v>
      </c>
      <c r="K191" s="1006">
        <v>3000</v>
      </c>
      <c r="L191" s="1005">
        <v>3000</v>
      </c>
      <c r="M191" s="1005">
        <v>3000</v>
      </c>
      <c r="N191" s="1005">
        <v>3000</v>
      </c>
      <c r="O191" s="1005">
        <v>3000</v>
      </c>
    </row>
    <row r="192" spans="1:15">
      <c r="A192" s="119"/>
      <c r="B192" s="331" t="s">
        <v>834</v>
      </c>
      <c r="C192">
        <v>1.1100000000000001</v>
      </c>
      <c r="D192" s="953">
        <v>1.1100000000000001</v>
      </c>
      <c r="E192" s="953">
        <v>1.1100000000000001</v>
      </c>
      <c r="F192" s="953">
        <v>1.1100000000000001</v>
      </c>
      <c r="G192" s="953">
        <v>1.1100000000000001</v>
      </c>
      <c r="H192" s="953">
        <v>1.1100000000000001</v>
      </c>
      <c r="I192" s="953">
        <v>1.1100000000000001</v>
      </c>
      <c r="J192" s="953">
        <v>1.1100000000000001</v>
      </c>
      <c r="K192" s="953">
        <v>1.1100000000000001</v>
      </c>
      <c r="L192" s="1398">
        <v>1.02</v>
      </c>
      <c r="M192" s="1398">
        <v>1.02</v>
      </c>
      <c r="N192" s="1398">
        <v>1.02</v>
      </c>
      <c r="O192" s="1398">
        <v>1.02</v>
      </c>
    </row>
    <row r="193" spans="1:15">
      <c r="A193" s="119"/>
      <c r="B193" s="331" t="s">
        <v>835</v>
      </c>
      <c r="C193">
        <v>1.2</v>
      </c>
      <c r="D193" s="953">
        <v>1.2</v>
      </c>
      <c r="E193" s="953">
        <v>1.2</v>
      </c>
      <c r="F193" s="953">
        <v>1.2</v>
      </c>
      <c r="G193" s="953">
        <v>1.2</v>
      </c>
      <c r="H193" s="953">
        <v>1.2</v>
      </c>
      <c r="I193" s="953">
        <v>1.2</v>
      </c>
      <c r="J193" s="953">
        <v>1.2</v>
      </c>
      <c r="K193" s="953">
        <v>1.2</v>
      </c>
      <c r="L193" s="1398">
        <v>1.02</v>
      </c>
      <c r="M193" s="1398">
        <v>1.02</v>
      </c>
      <c r="N193" s="1398">
        <v>1.02</v>
      </c>
      <c r="O193" s="1398">
        <v>1.02</v>
      </c>
    </row>
    <row r="194" spans="1:15">
      <c r="A194" s="119"/>
      <c r="B194" s="331" t="s">
        <v>836</v>
      </c>
      <c r="C194" s="147">
        <v>7000</v>
      </c>
      <c r="D194" s="954">
        <v>7000</v>
      </c>
      <c r="E194" s="954">
        <v>7000</v>
      </c>
      <c r="F194" s="954">
        <v>7000</v>
      </c>
      <c r="G194" s="1005">
        <v>3500</v>
      </c>
      <c r="H194" s="1005">
        <v>3500</v>
      </c>
      <c r="I194" s="1006">
        <v>3500</v>
      </c>
      <c r="J194" s="1006">
        <v>3500</v>
      </c>
      <c r="K194" s="1006">
        <v>3500</v>
      </c>
      <c r="L194" s="1397">
        <v>4500</v>
      </c>
      <c r="M194" s="1397">
        <v>4500</v>
      </c>
      <c r="N194" s="1397">
        <v>4500</v>
      </c>
      <c r="O194" s="1397">
        <v>4500</v>
      </c>
    </row>
    <row r="195" spans="1:15">
      <c r="A195" s="119"/>
      <c r="B195" s="331" t="s">
        <v>837</v>
      </c>
      <c r="C195">
        <v>1.1100000000000001</v>
      </c>
      <c r="D195" s="953">
        <v>1.1100000000000001</v>
      </c>
      <c r="E195" s="953">
        <v>1.1100000000000001</v>
      </c>
      <c r="F195" s="953">
        <v>1.1100000000000001</v>
      </c>
      <c r="G195" s="953">
        <v>1.1100000000000001</v>
      </c>
      <c r="H195" s="953">
        <v>1.1100000000000001</v>
      </c>
      <c r="I195" s="953">
        <v>1.1100000000000001</v>
      </c>
      <c r="J195" s="953">
        <v>1.1100000000000001</v>
      </c>
      <c r="K195" s="953">
        <v>1.1100000000000001</v>
      </c>
      <c r="L195" s="1398">
        <v>1.07</v>
      </c>
      <c r="M195" s="1398">
        <v>1.07</v>
      </c>
      <c r="N195" s="1398">
        <v>1.07</v>
      </c>
      <c r="O195" s="1398">
        <v>1.07</v>
      </c>
    </row>
    <row r="196" spans="1:15">
      <c r="A196" s="119"/>
      <c r="B196" s="331" t="s">
        <v>838</v>
      </c>
      <c r="C196">
        <v>1.2</v>
      </c>
      <c r="D196" s="953">
        <v>1.2</v>
      </c>
      <c r="E196" s="953">
        <v>1.2</v>
      </c>
      <c r="F196" s="953">
        <v>1.2</v>
      </c>
      <c r="G196" s="953">
        <v>1.2</v>
      </c>
      <c r="H196" s="953">
        <v>1.2</v>
      </c>
      <c r="I196" s="953">
        <v>1.2</v>
      </c>
      <c r="J196" s="953">
        <v>1.2</v>
      </c>
      <c r="K196" s="953">
        <v>1.2</v>
      </c>
      <c r="L196" s="1398">
        <v>1.07</v>
      </c>
      <c r="M196" s="1398">
        <v>1.07</v>
      </c>
      <c r="N196" s="1398">
        <v>1.07</v>
      </c>
      <c r="O196" s="1398">
        <v>1.07</v>
      </c>
    </row>
    <row r="197" spans="1:15">
      <c r="A197" s="119"/>
      <c r="B197" s="331" t="s">
        <v>839</v>
      </c>
      <c r="C197" s="147">
        <v>7000</v>
      </c>
      <c r="D197" s="954">
        <v>7000</v>
      </c>
      <c r="E197" s="954">
        <v>7000</v>
      </c>
      <c r="F197" s="954">
        <v>7000</v>
      </c>
      <c r="G197" s="1005">
        <v>6000</v>
      </c>
      <c r="H197" s="1005">
        <v>6000</v>
      </c>
      <c r="I197" s="1006">
        <v>6000</v>
      </c>
      <c r="J197" s="1006">
        <v>6000</v>
      </c>
      <c r="K197" s="1006">
        <v>6000</v>
      </c>
      <c r="L197" s="1005">
        <v>6000</v>
      </c>
      <c r="M197" s="1005">
        <v>6000</v>
      </c>
      <c r="N197" s="1005">
        <v>6000</v>
      </c>
      <c r="O197" s="1005">
        <v>6000</v>
      </c>
    </row>
    <row r="198" spans="1:15">
      <c r="A198" s="119"/>
      <c r="B198" s="331" t="s">
        <v>840</v>
      </c>
      <c r="C198">
        <v>1.1100000000000001</v>
      </c>
      <c r="D198" s="953">
        <v>1.1100000000000001</v>
      </c>
      <c r="E198" s="953">
        <v>1.1100000000000001</v>
      </c>
      <c r="F198" s="953">
        <v>1.1100000000000001</v>
      </c>
      <c r="G198" s="953">
        <v>1.1100000000000001</v>
      </c>
      <c r="H198" s="953">
        <v>1.1100000000000001</v>
      </c>
      <c r="I198" s="953">
        <v>1.1100000000000001</v>
      </c>
      <c r="J198" s="953">
        <v>1.1100000000000001</v>
      </c>
      <c r="K198" s="953">
        <v>1.1100000000000001</v>
      </c>
      <c r="L198" s="953">
        <v>1.1100000000000001</v>
      </c>
      <c r="M198" s="953">
        <v>1.1100000000000001</v>
      </c>
      <c r="N198" s="953">
        <v>1.1100000000000001</v>
      </c>
      <c r="O198" s="953">
        <v>1.1100000000000001</v>
      </c>
    </row>
    <row r="199" spans="1:15">
      <c r="A199" s="119"/>
      <c r="B199" s="331" t="s">
        <v>841</v>
      </c>
      <c r="C199">
        <v>1.2</v>
      </c>
      <c r="D199" s="953">
        <v>1.2</v>
      </c>
      <c r="E199" s="953">
        <v>1.2</v>
      </c>
      <c r="F199" s="953">
        <v>1.2</v>
      </c>
      <c r="G199" s="953">
        <v>1.2</v>
      </c>
      <c r="H199" s="953">
        <v>1.2</v>
      </c>
      <c r="I199" s="953">
        <v>1.2</v>
      </c>
      <c r="J199" s="953">
        <v>1.2</v>
      </c>
      <c r="K199" s="953">
        <v>1.2</v>
      </c>
      <c r="L199" s="1398">
        <v>1.1100000000000001</v>
      </c>
      <c r="M199" s="1398">
        <v>1.1100000000000001</v>
      </c>
      <c r="N199" s="1398">
        <v>1.1100000000000001</v>
      </c>
      <c r="O199" s="1398">
        <v>1.1100000000000001</v>
      </c>
    </row>
    <row r="200" spans="1:15">
      <c r="A200" s="119"/>
      <c r="B200" s="331" t="s">
        <v>842</v>
      </c>
      <c r="C200" s="147">
        <v>7500</v>
      </c>
      <c r="D200" s="954">
        <v>7500</v>
      </c>
      <c r="E200" s="954">
        <v>7500</v>
      </c>
      <c r="F200" s="954">
        <v>7500</v>
      </c>
      <c r="G200" s="954">
        <v>7500</v>
      </c>
      <c r="H200" s="954">
        <v>7500</v>
      </c>
      <c r="I200" s="953">
        <v>7500</v>
      </c>
      <c r="J200" s="953">
        <v>7500</v>
      </c>
      <c r="K200" s="953">
        <v>7500</v>
      </c>
      <c r="L200" s="954">
        <v>7500</v>
      </c>
      <c r="M200" s="954">
        <v>7500</v>
      </c>
      <c r="N200" s="954">
        <v>7500</v>
      </c>
      <c r="O200" s="954">
        <v>7500</v>
      </c>
    </row>
    <row r="201" spans="1:15">
      <c r="A201" s="119"/>
      <c r="B201" s="331" t="s">
        <v>843</v>
      </c>
      <c r="C201">
        <v>1.9</v>
      </c>
      <c r="D201" s="953">
        <v>1.9</v>
      </c>
      <c r="E201" s="953">
        <v>1.9</v>
      </c>
      <c r="F201" s="953">
        <v>1.9</v>
      </c>
      <c r="G201" s="953">
        <v>1.9</v>
      </c>
      <c r="H201" s="953">
        <v>1.9</v>
      </c>
      <c r="I201" s="953">
        <v>1.9</v>
      </c>
      <c r="J201" s="953">
        <v>1.9</v>
      </c>
      <c r="K201" s="953">
        <v>1.9</v>
      </c>
      <c r="L201" s="953">
        <v>1.9</v>
      </c>
      <c r="M201" s="953">
        <v>1.9</v>
      </c>
      <c r="N201" s="953">
        <v>1.9</v>
      </c>
      <c r="O201" s="953">
        <v>1.9</v>
      </c>
    </row>
    <row r="202" spans="1:15">
      <c r="A202" s="119"/>
      <c r="B202" s="331" t="s">
        <v>844</v>
      </c>
      <c r="C202">
        <v>0.9</v>
      </c>
      <c r="D202" s="953">
        <v>0.9</v>
      </c>
      <c r="E202" s="953">
        <v>0.9</v>
      </c>
      <c r="F202" s="953">
        <v>0.9</v>
      </c>
      <c r="G202" s="953">
        <v>0.9</v>
      </c>
      <c r="H202" s="953">
        <v>0.9</v>
      </c>
      <c r="I202" s="953">
        <v>0.9</v>
      </c>
      <c r="J202" s="953">
        <v>0.9</v>
      </c>
      <c r="K202" s="953">
        <v>0.9</v>
      </c>
      <c r="L202" s="953">
        <v>0.9</v>
      </c>
      <c r="M202" s="953">
        <v>0.9</v>
      </c>
      <c r="N202" s="953">
        <v>0.9</v>
      </c>
      <c r="O202" s="953">
        <v>0.9</v>
      </c>
    </row>
    <row r="203" spans="1:15">
      <c r="A203" s="119"/>
      <c r="B203" s="331"/>
    </row>
    <row r="204" spans="1:15">
      <c r="A204" s="119">
        <v>2.31</v>
      </c>
      <c r="B204" s="331" t="s">
        <v>372</v>
      </c>
      <c r="C204" s="147">
        <v>33500</v>
      </c>
      <c r="D204" s="954">
        <v>33500</v>
      </c>
      <c r="E204" s="954">
        <v>33500</v>
      </c>
      <c r="F204" s="954">
        <v>33500</v>
      </c>
      <c r="G204" s="1005">
        <v>25000</v>
      </c>
      <c r="H204" s="1005">
        <v>25000</v>
      </c>
      <c r="I204" s="1006">
        <v>25000</v>
      </c>
      <c r="J204" s="1006">
        <v>25000</v>
      </c>
      <c r="K204" s="1006">
        <v>25000</v>
      </c>
      <c r="L204" s="1397">
        <v>23500</v>
      </c>
      <c r="M204" s="1397">
        <v>23500</v>
      </c>
      <c r="N204" s="1397">
        <v>23500</v>
      </c>
      <c r="O204" s="1397">
        <v>23500</v>
      </c>
    </row>
    <row r="205" spans="1:15">
      <c r="A205" s="119">
        <v>2.3199999999999998</v>
      </c>
      <c r="B205" s="331" t="s">
        <v>375</v>
      </c>
      <c r="C205" s="147">
        <v>43110</v>
      </c>
      <c r="D205" s="954">
        <v>43110</v>
      </c>
      <c r="E205" s="954">
        <v>43110</v>
      </c>
      <c r="F205" s="954">
        <v>43110</v>
      </c>
      <c r="G205" s="1005">
        <v>33675</v>
      </c>
      <c r="H205" s="1005">
        <v>33675</v>
      </c>
      <c r="I205" s="1006">
        <v>33675</v>
      </c>
      <c r="J205" s="1006">
        <v>33675</v>
      </c>
      <c r="K205" s="1006">
        <v>33675</v>
      </c>
      <c r="L205" s="1397">
        <v>31410</v>
      </c>
      <c r="M205" s="1397">
        <v>31410</v>
      </c>
      <c r="N205" s="1397">
        <v>31410</v>
      </c>
      <c r="O205" s="1397">
        <v>31410</v>
      </c>
    </row>
    <row r="206" spans="1:15">
      <c r="A206" s="119">
        <v>2.33</v>
      </c>
      <c r="B206" s="331" t="s">
        <v>376</v>
      </c>
      <c r="C206" s="147">
        <v>47457</v>
      </c>
      <c r="D206" s="954">
        <v>47457</v>
      </c>
      <c r="E206" s="954">
        <v>47457</v>
      </c>
      <c r="F206" s="954">
        <v>47457</v>
      </c>
      <c r="G206" s="1005">
        <v>36135</v>
      </c>
      <c r="H206" s="1005">
        <v>36135</v>
      </c>
      <c r="I206" s="1006">
        <v>36135</v>
      </c>
      <c r="J206" s="1006">
        <v>36135</v>
      </c>
      <c r="K206" s="1006">
        <v>36135</v>
      </c>
      <c r="L206" s="1397">
        <v>31299.599999999999</v>
      </c>
      <c r="M206" s="1397">
        <v>31299.599999999999</v>
      </c>
      <c r="N206" s="1397">
        <v>31299.599999999999</v>
      </c>
      <c r="O206" s="1397">
        <v>31299.599999999999</v>
      </c>
    </row>
    <row r="207" spans="1:15">
      <c r="A207" s="119"/>
      <c r="B207" s="331"/>
    </row>
    <row r="208" spans="1:15">
      <c r="A208" s="119">
        <v>2.4</v>
      </c>
      <c r="B208" s="331" t="s">
        <v>366</v>
      </c>
      <c r="D208" s="953"/>
      <c r="E208" s="953"/>
      <c r="F208" s="953"/>
      <c r="G208" s="953"/>
      <c r="H208" s="953"/>
      <c r="I208" s="953"/>
      <c r="J208" s="953"/>
      <c r="K208" s="953"/>
      <c r="L208" s="953"/>
      <c r="M208" s="953"/>
      <c r="N208" s="953"/>
      <c r="O208" s="953"/>
    </row>
    <row r="209" spans="1:15">
      <c r="A209" s="119"/>
      <c r="B209" s="331" t="s">
        <v>845</v>
      </c>
      <c r="C209" s="147">
        <v>35000</v>
      </c>
      <c r="D209" s="955">
        <v>20000</v>
      </c>
      <c r="E209" s="962">
        <v>30000</v>
      </c>
      <c r="F209" s="962">
        <v>30000</v>
      </c>
      <c r="G209" s="962">
        <v>30000</v>
      </c>
      <c r="H209" s="962">
        <v>30000</v>
      </c>
      <c r="I209" s="1125">
        <v>30000</v>
      </c>
      <c r="J209" s="962">
        <v>30000</v>
      </c>
      <c r="K209" s="962">
        <v>30000</v>
      </c>
      <c r="L209" s="962">
        <v>30000</v>
      </c>
      <c r="M209" s="962">
        <v>30000</v>
      </c>
      <c r="N209" s="962">
        <v>30000</v>
      </c>
      <c r="O209" s="962">
        <v>30000</v>
      </c>
    </row>
    <row r="210" spans="1:15">
      <c r="A210" s="119"/>
      <c r="B210" s="331" t="s">
        <v>846</v>
      </c>
      <c r="C210">
        <v>1.1100000000000001</v>
      </c>
      <c r="D210" s="953">
        <v>1.1100000000000001</v>
      </c>
      <c r="E210" s="953">
        <v>1.1100000000000001</v>
      </c>
      <c r="F210" s="953">
        <v>1.1100000000000001</v>
      </c>
      <c r="G210" s="953">
        <v>1.1100000000000001</v>
      </c>
      <c r="H210" s="953">
        <v>1.1100000000000001</v>
      </c>
      <c r="I210" s="953">
        <v>1.1100000000000001</v>
      </c>
      <c r="J210" s="953">
        <v>1.1100000000000001</v>
      </c>
      <c r="K210" s="953">
        <v>1.1100000000000001</v>
      </c>
      <c r="L210" s="953">
        <v>1.1100000000000001</v>
      </c>
      <c r="M210" s="953">
        <v>1.1100000000000001</v>
      </c>
      <c r="N210" s="953">
        <v>1.1100000000000001</v>
      </c>
      <c r="O210" s="953">
        <v>1.1100000000000001</v>
      </c>
    </row>
    <row r="211" spans="1:15">
      <c r="A211" s="119"/>
      <c r="B211" s="331" t="s">
        <v>847</v>
      </c>
      <c r="C211">
        <v>1.2</v>
      </c>
      <c r="D211" s="953">
        <v>1.2</v>
      </c>
      <c r="E211" s="953">
        <v>1.2</v>
      </c>
      <c r="F211" s="953">
        <v>1.2</v>
      </c>
      <c r="G211" s="953">
        <v>1.2</v>
      </c>
      <c r="H211" s="953">
        <v>1.2</v>
      </c>
      <c r="I211" s="953">
        <v>1.2</v>
      </c>
      <c r="J211" s="953">
        <v>1.2</v>
      </c>
      <c r="K211" s="953">
        <v>1.2</v>
      </c>
      <c r="L211" s="953">
        <v>1.2</v>
      </c>
      <c r="M211" s="953">
        <v>1.2</v>
      </c>
      <c r="N211" s="953">
        <v>1.2</v>
      </c>
      <c r="O211" s="953">
        <v>1.2</v>
      </c>
    </row>
    <row r="212" spans="1:15">
      <c r="A212" s="119"/>
      <c r="B212" s="331" t="s">
        <v>848</v>
      </c>
      <c r="C212" s="147">
        <v>3000</v>
      </c>
      <c r="D212" s="956"/>
      <c r="E212" s="956"/>
      <c r="F212" s="956"/>
      <c r="G212" s="956"/>
      <c r="H212" s="956"/>
      <c r="I212" s="956"/>
      <c r="J212" s="956"/>
      <c r="K212" s="956"/>
      <c r="L212" s="956"/>
      <c r="M212" s="956"/>
      <c r="N212" s="956"/>
      <c r="O212" s="956"/>
    </row>
    <row r="213" spans="1:15">
      <c r="A213" s="119"/>
      <c r="B213" s="331" t="s">
        <v>849</v>
      </c>
      <c r="C213">
        <v>1.1100000000000001</v>
      </c>
      <c r="D213" s="956"/>
      <c r="E213" s="956"/>
      <c r="F213" s="956"/>
      <c r="G213" s="956"/>
      <c r="H213" s="956"/>
      <c r="I213" s="956"/>
      <c r="J213" s="956"/>
      <c r="K213" s="956"/>
      <c r="L213" s="956"/>
      <c r="M213" s="956"/>
      <c r="N213" s="956"/>
      <c r="O213" s="956"/>
    </row>
    <row r="214" spans="1:15">
      <c r="A214" s="119"/>
      <c r="B214" s="331" t="s">
        <v>850</v>
      </c>
      <c r="C214">
        <v>1.2</v>
      </c>
      <c r="D214" s="956"/>
      <c r="E214" s="956"/>
      <c r="F214" s="956"/>
      <c r="G214" s="956"/>
      <c r="H214" s="956"/>
      <c r="I214" s="956"/>
      <c r="J214" s="956"/>
      <c r="K214" s="956"/>
      <c r="L214" s="956"/>
      <c r="M214" s="956"/>
      <c r="N214" s="956"/>
      <c r="O214" s="956"/>
    </row>
    <row r="215" spans="1:15">
      <c r="A215" s="119"/>
      <c r="B215" s="331" t="s">
        <v>1467</v>
      </c>
      <c r="D215" s="955">
        <v>2000</v>
      </c>
      <c r="E215" s="962">
        <v>5000</v>
      </c>
      <c r="F215" s="962">
        <v>5000</v>
      </c>
      <c r="G215" s="962">
        <v>5000</v>
      </c>
      <c r="H215" s="962">
        <v>5000</v>
      </c>
      <c r="I215" s="1125">
        <v>5000</v>
      </c>
      <c r="J215" s="962">
        <v>5000</v>
      </c>
      <c r="K215" s="962">
        <v>5000</v>
      </c>
      <c r="L215" s="962">
        <v>5000</v>
      </c>
      <c r="M215" s="962">
        <v>5000</v>
      </c>
      <c r="N215" s="962">
        <v>5000</v>
      </c>
      <c r="O215" s="962">
        <v>5000</v>
      </c>
    </row>
    <row r="216" spans="1:15">
      <c r="A216" s="119"/>
      <c r="B216" s="331" t="s">
        <v>1468</v>
      </c>
      <c r="D216" s="955">
        <v>1.02</v>
      </c>
      <c r="E216" s="955">
        <v>1.02</v>
      </c>
      <c r="F216" s="955">
        <v>1.02</v>
      </c>
      <c r="G216" s="955">
        <v>1.02</v>
      </c>
      <c r="H216" s="955">
        <v>1.02</v>
      </c>
      <c r="I216" s="956">
        <v>1.02</v>
      </c>
      <c r="J216" s="955">
        <v>1.02</v>
      </c>
      <c r="K216" s="955">
        <v>1.02</v>
      </c>
      <c r="L216" s="955">
        <v>1.02</v>
      </c>
      <c r="M216" s="955">
        <v>1.02</v>
      </c>
      <c r="N216" s="955">
        <v>1.02</v>
      </c>
      <c r="O216" s="955">
        <v>1.02</v>
      </c>
    </row>
    <row r="217" spans="1:15">
      <c r="A217" s="119"/>
      <c r="B217" s="331" t="s">
        <v>1469</v>
      </c>
      <c r="D217" s="955">
        <v>1.05</v>
      </c>
      <c r="E217" s="955">
        <v>1.05</v>
      </c>
      <c r="F217" s="955">
        <v>1.05</v>
      </c>
      <c r="G217" s="955">
        <v>1.05</v>
      </c>
      <c r="H217" s="955">
        <v>1.05</v>
      </c>
      <c r="I217" s="956">
        <v>1.05</v>
      </c>
      <c r="J217" s="955">
        <v>1.05</v>
      </c>
      <c r="K217" s="955">
        <v>1.05</v>
      </c>
      <c r="L217" s="955">
        <v>1.05</v>
      </c>
      <c r="M217" s="955">
        <v>1.05</v>
      </c>
      <c r="N217" s="955">
        <v>1.05</v>
      </c>
      <c r="O217" s="955">
        <v>1.05</v>
      </c>
    </row>
    <row r="218" spans="1:15">
      <c r="A218" s="119"/>
      <c r="B218" s="331" t="s">
        <v>1470</v>
      </c>
      <c r="D218" s="955">
        <v>1500</v>
      </c>
      <c r="E218" s="962">
        <v>2500</v>
      </c>
      <c r="F218" s="962">
        <v>2500</v>
      </c>
      <c r="G218" s="962">
        <v>2500</v>
      </c>
      <c r="H218" s="962">
        <v>2500</v>
      </c>
      <c r="I218" s="1125">
        <v>2500</v>
      </c>
      <c r="J218" s="962">
        <v>2500</v>
      </c>
      <c r="K218" s="962">
        <v>2500</v>
      </c>
      <c r="L218" s="962">
        <v>2500</v>
      </c>
      <c r="M218" s="962">
        <v>2500</v>
      </c>
      <c r="N218" s="962">
        <v>2500</v>
      </c>
      <c r="O218" s="962">
        <v>2500</v>
      </c>
    </row>
    <row r="219" spans="1:15">
      <c r="A219" s="119"/>
      <c r="B219" s="331" t="s">
        <v>1471</v>
      </c>
      <c r="D219" s="955">
        <v>1.1000000000000001</v>
      </c>
      <c r="E219" s="955">
        <v>1.1000000000000001</v>
      </c>
      <c r="F219" s="955">
        <v>1.1000000000000001</v>
      </c>
      <c r="G219" s="955">
        <v>1.1000000000000001</v>
      </c>
      <c r="H219" s="955">
        <v>1.1000000000000001</v>
      </c>
      <c r="I219" s="956">
        <v>1.1000000000000001</v>
      </c>
      <c r="J219" s="955">
        <v>1.1000000000000001</v>
      </c>
      <c r="K219" s="955">
        <v>1.1000000000000001</v>
      </c>
      <c r="L219" s="955">
        <v>1.1000000000000001</v>
      </c>
      <c r="M219" s="955">
        <v>1.1000000000000001</v>
      </c>
      <c r="N219" s="955">
        <v>1.1000000000000001</v>
      </c>
      <c r="O219" s="955">
        <v>1.1000000000000001</v>
      </c>
    </row>
    <row r="220" spans="1:15">
      <c r="A220" s="119"/>
      <c r="B220" s="331" t="s">
        <v>1472</v>
      </c>
      <c r="D220" s="955">
        <v>1.2</v>
      </c>
      <c r="E220" s="955">
        <v>1.2</v>
      </c>
      <c r="F220" s="955">
        <v>1.2</v>
      </c>
      <c r="G220" s="955">
        <v>1.2</v>
      </c>
      <c r="H220" s="955">
        <v>1.2</v>
      </c>
      <c r="I220" s="956">
        <v>1.2</v>
      </c>
      <c r="J220" s="955">
        <v>1.2</v>
      </c>
      <c r="K220" s="955">
        <v>1.2</v>
      </c>
      <c r="L220" s="955">
        <v>1.2</v>
      </c>
      <c r="M220" s="955">
        <v>1.2</v>
      </c>
      <c r="N220" s="955">
        <v>1.2</v>
      </c>
      <c r="O220" s="955">
        <v>1.2</v>
      </c>
    </row>
    <row r="221" spans="1:15">
      <c r="A221" s="119"/>
      <c r="B221" s="331" t="s">
        <v>1476</v>
      </c>
      <c r="D221" s="147"/>
      <c r="E221" s="962">
        <v>6000</v>
      </c>
      <c r="F221" s="962">
        <v>6000</v>
      </c>
      <c r="G221" s="962">
        <v>6000</v>
      </c>
      <c r="H221" s="962">
        <v>6000</v>
      </c>
      <c r="I221" s="1125">
        <v>6000</v>
      </c>
      <c r="J221" s="962">
        <v>6000</v>
      </c>
      <c r="K221" s="962">
        <v>6000</v>
      </c>
      <c r="L221" s="962">
        <v>6000</v>
      </c>
      <c r="M221" s="962">
        <v>6000</v>
      </c>
      <c r="N221" s="962">
        <v>6000</v>
      </c>
      <c r="O221" s="962">
        <v>6000</v>
      </c>
    </row>
    <row r="222" spans="1:15">
      <c r="A222" s="119"/>
      <c r="B222" s="331" t="s">
        <v>1477</v>
      </c>
      <c r="D222" s="147"/>
      <c r="E222" s="962">
        <v>0.2</v>
      </c>
      <c r="F222" s="962">
        <v>0.2</v>
      </c>
      <c r="G222" s="962">
        <v>0.2</v>
      </c>
      <c r="H222" s="962">
        <v>0.2</v>
      </c>
      <c r="I222" s="1125">
        <v>0.2</v>
      </c>
      <c r="J222" s="962">
        <v>0.2</v>
      </c>
      <c r="K222" s="962">
        <v>0.2</v>
      </c>
      <c r="L222" s="962">
        <v>0.2</v>
      </c>
      <c r="M222" s="962">
        <v>0.2</v>
      </c>
      <c r="N222" s="962">
        <v>0.2</v>
      </c>
      <c r="O222" s="962">
        <v>0.2</v>
      </c>
    </row>
    <row r="223" spans="1:15">
      <c r="A223" s="119"/>
      <c r="B223" s="331" t="s">
        <v>1478</v>
      </c>
      <c r="D223" s="147"/>
      <c r="E223" s="962">
        <v>0.2</v>
      </c>
      <c r="F223" s="962">
        <v>0.2</v>
      </c>
      <c r="G223" s="962">
        <v>0.2</v>
      </c>
      <c r="H223" s="962">
        <v>0.2</v>
      </c>
      <c r="I223" s="1125">
        <v>0.2</v>
      </c>
      <c r="J223" s="962">
        <v>0.2</v>
      </c>
      <c r="K223" s="962">
        <v>0.2</v>
      </c>
      <c r="L223" s="962">
        <v>0.2</v>
      </c>
      <c r="M223" s="962">
        <v>0.2</v>
      </c>
      <c r="N223" s="962">
        <v>0.2</v>
      </c>
      <c r="O223" s="962">
        <v>0.2</v>
      </c>
    </row>
    <row r="224" spans="1:15">
      <c r="A224" s="119"/>
      <c r="B224" s="331" t="s">
        <v>1479</v>
      </c>
      <c r="D224" s="147"/>
      <c r="E224" s="962">
        <v>3000</v>
      </c>
      <c r="F224" s="962">
        <v>3000</v>
      </c>
      <c r="G224" s="962">
        <v>3000</v>
      </c>
      <c r="H224" s="962">
        <v>3000</v>
      </c>
      <c r="I224" s="1125">
        <v>3000</v>
      </c>
      <c r="J224" s="962">
        <v>3000</v>
      </c>
      <c r="K224" s="962">
        <v>3000</v>
      </c>
      <c r="L224" s="962">
        <v>3000</v>
      </c>
      <c r="M224" s="962">
        <v>3000</v>
      </c>
      <c r="N224" s="962">
        <v>3000</v>
      </c>
      <c r="O224" s="962">
        <v>3000</v>
      </c>
    </row>
    <row r="225" spans="1:15">
      <c r="A225" s="119"/>
      <c r="B225" s="331" t="s">
        <v>1480</v>
      </c>
      <c r="D225" s="147"/>
      <c r="E225" s="962">
        <v>1.1000000000000001</v>
      </c>
      <c r="F225" s="962">
        <v>1.1000000000000001</v>
      </c>
      <c r="G225" s="962">
        <v>1.1000000000000001</v>
      </c>
      <c r="H225" s="962">
        <v>1.1000000000000001</v>
      </c>
      <c r="I225" s="1125">
        <v>1.1000000000000001</v>
      </c>
      <c r="J225" s="962">
        <v>1.1000000000000001</v>
      </c>
      <c r="K225" s="962">
        <v>1.1000000000000001</v>
      </c>
      <c r="L225" s="962">
        <v>1.1000000000000001</v>
      </c>
      <c r="M225" s="962">
        <v>1.1000000000000001</v>
      </c>
      <c r="N225" s="962">
        <v>1.1000000000000001</v>
      </c>
      <c r="O225" s="962">
        <v>1.1000000000000001</v>
      </c>
    </row>
    <row r="226" spans="1:15">
      <c r="A226" s="119"/>
      <c r="B226" s="331" t="s">
        <v>1481</v>
      </c>
      <c r="D226" s="147"/>
      <c r="E226" s="962">
        <v>1.1000000000000001</v>
      </c>
      <c r="F226" s="962">
        <v>1.1000000000000001</v>
      </c>
      <c r="G226" s="962">
        <v>1.1000000000000001</v>
      </c>
      <c r="H226" s="962">
        <v>1.1000000000000001</v>
      </c>
      <c r="I226" s="1125">
        <v>1.1000000000000001</v>
      </c>
      <c r="J226" s="962">
        <v>1.1000000000000001</v>
      </c>
      <c r="K226" s="962">
        <v>1.1000000000000001</v>
      </c>
      <c r="L226" s="962">
        <v>1.1000000000000001</v>
      </c>
      <c r="M226" s="962">
        <v>1.1000000000000001</v>
      </c>
      <c r="N226" s="962">
        <v>1.1000000000000001</v>
      </c>
      <c r="O226" s="962">
        <v>1.1000000000000001</v>
      </c>
    </row>
    <row r="227" spans="1:15">
      <c r="A227" s="119"/>
      <c r="B227" s="331" t="s">
        <v>1482</v>
      </c>
      <c r="D227" s="147"/>
      <c r="E227" s="962">
        <v>5000</v>
      </c>
      <c r="F227" s="962">
        <v>5000</v>
      </c>
      <c r="G227" s="962">
        <v>5000</v>
      </c>
      <c r="H227" s="962">
        <v>5000</v>
      </c>
      <c r="I227" s="1125">
        <v>5000</v>
      </c>
      <c r="J227" s="962">
        <v>5000</v>
      </c>
      <c r="K227" s="962">
        <v>5000</v>
      </c>
      <c r="L227" s="962">
        <v>5000</v>
      </c>
      <c r="M227" s="962">
        <v>5000</v>
      </c>
      <c r="N227" s="962">
        <v>5000</v>
      </c>
      <c r="O227" s="962">
        <v>5000</v>
      </c>
    </row>
    <row r="228" spans="1:15">
      <c r="A228" s="119"/>
      <c r="B228" s="331" t="s">
        <v>1483</v>
      </c>
      <c r="D228" s="147"/>
      <c r="E228" s="962">
        <v>1.1100000000000001</v>
      </c>
      <c r="F228" s="962">
        <v>1.1100000000000001</v>
      </c>
      <c r="G228" s="962">
        <v>1.1100000000000001</v>
      </c>
      <c r="H228" s="962">
        <v>1.1100000000000001</v>
      </c>
      <c r="I228" s="1125">
        <v>1.1100000000000001</v>
      </c>
      <c r="J228" s="962">
        <v>1.1100000000000001</v>
      </c>
      <c r="K228" s="962">
        <v>1.1100000000000001</v>
      </c>
      <c r="L228" s="962">
        <v>1.1100000000000001</v>
      </c>
      <c r="M228" s="962">
        <v>1.1100000000000001</v>
      </c>
      <c r="N228" s="962">
        <v>1.1100000000000001</v>
      </c>
      <c r="O228" s="962">
        <v>1.1100000000000001</v>
      </c>
    </row>
    <row r="229" spans="1:15">
      <c r="A229" s="119"/>
      <c r="B229" s="331" t="s">
        <v>1484</v>
      </c>
      <c r="D229" s="147"/>
      <c r="E229" s="962">
        <v>1.2</v>
      </c>
      <c r="F229" s="962">
        <v>1.2</v>
      </c>
      <c r="G229" s="962">
        <v>1.2</v>
      </c>
      <c r="H229" s="962">
        <v>1.2</v>
      </c>
      <c r="I229" s="1125">
        <v>1.2</v>
      </c>
      <c r="J229" s="962">
        <v>1.2</v>
      </c>
      <c r="K229" s="962">
        <v>1.2</v>
      </c>
      <c r="L229" s="962">
        <v>1.2</v>
      </c>
      <c r="M229" s="962">
        <v>1.2</v>
      </c>
      <c r="N229" s="962">
        <v>1.2</v>
      </c>
      <c r="O229" s="962">
        <v>1.2</v>
      </c>
    </row>
    <row r="230" spans="1:15">
      <c r="A230" s="119"/>
      <c r="B230" s="331"/>
    </row>
    <row r="231" spans="1:15">
      <c r="A231" s="119">
        <v>2.41</v>
      </c>
      <c r="B231" s="331" t="s">
        <v>377</v>
      </c>
      <c r="C231" s="147">
        <v>38000</v>
      </c>
      <c r="D231" s="955">
        <v>23500</v>
      </c>
      <c r="E231" s="962">
        <v>51500</v>
      </c>
      <c r="F231" s="962">
        <v>51500</v>
      </c>
      <c r="G231" s="962">
        <v>51500</v>
      </c>
      <c r="H231" s="962">
        <v>51500</v>
      </c>
      <c r="I231" s="1125">
        <v>51500</v>
      </c>
      <c r="J231" s="962">
        <v>51500</v>
      </c>
      <c r="K231" s="962">
        <v>51500</v>
      </c>
      <c r="L231" s="962">
        <v>51500</v>
      </c>
      <c r="M231" s="962">
        <v>51500</v>
      </c>
      <c r="N231" s="962">
        <v>51500</v>
      </c>
      <c r="O231" s="962">
        <v>51500</v>
      </c>
    </row>
    <row r="232" spans="1:15">
      <c r="A232" s="119">
        <v>2.42</v>
      </c>
      <c r="B232" s="331" t="s">
        <v>378</v>
      </c>
      <c r="C232" s="147">
        <v>42180</v>
      </c>
      <c r="D232" s="955">
        <v>25890</v>
      </c>
      <c r="E232" s="962">
        <v>51200</v>
      </c>
      <c r="F232" s="962">
        <v>51200</v>
      </c>
      <c r="G232" s="962">
        <v>51200</v>
      </c>
      <c r="H232" s="962">
        <v>51200</v>
      </c>
      <c r="I232" s="1125">
        <v>51200</v>
      </c>
      <c r="J232" s="962">
        <v>51200</v>
      </c>
      <c r="K232" s="962">
        <v>51200</v>
      </c>
      <c r="L232" s="962">
        <v>51200</v>
      </c>
      <c r="M232" s="962">
        <v>51200</v>
      </c>
      <c r="N232" s="962">
        <v>51200</v>
      </c>
      <c r="O232" s="962">
        <v>51200</v>
      </c>
    </row>
    <row r="233" spans="1:15">
      <c r="A233" s="119">
        <v>2.4300000000000002</v>
      </c>
      <c r="B233" s="331" t="s">
        <v>379</v>
      </c>
      <c r="C233" s="147">
        <v>50616</v>
      </c>
      <c r="D233" s="955">
        <v>30762</v>
      </c>
      <c r="E233" s="962">
        <v>59145</v>
      </c>
      <c r="F233" s="962">
        <v>59145</v>
      </c>
      <c r="G233" s="962">
        <v>59145</v>
      </c>
      <c r="H233" s="962">
        <v>59145</v>
      </c>
      <c r="I233" s="1125">
        <v>59145</v>
      </c>
      <c r="J233" s="962">
        <v>59145</v>
      </c>
      <c r="K233" s="962">
        <v>59145</v>
      </c>
      <c r="L233" s="962">
        <v>59145</v>
      </c>
      <c r="M233" s="962">
        <v>59145</v>
      </c>
      <c r="N233" s="962">
        <v>59145</v>
      </c>
      <c r="O233" s="962">
        <v>59145</v>
      </c>
    </row>
    <row r="234" spans="1:15">
      <c r="A234" s="119"/>
      <c r="B234" s="331"/>
    </row>
    <row r="235" spans="1:15">
      <c r="A235" s="119">
        <v>2.5</v>
      </c>
      <c r="B235" s="331" t="s">
        <v>83</v>
      </c>
      <c r="D235" s="953"/>
      <c r="E235" s="953"/>
      <c r="F235" s="953"/>
      <c r="G235" s="953"/>
      <c r="H235" s="953"/>
      <c r="I235" s="953"/>
      <c r="J235" s="953"/>
      <c r="K235" s="953"/>
      <c r="L235" s="953"/>
      <c r="M235" s="953"/>
      <c r="N235" s="953"/>
      <c r="O235" s="953"/>
    </row>
    <row r="236" spans="1:15">
      <c r="A236" s="119"/>
      <c r="B236" s="331" t="s">
        <v>851</v>
      </c>
      <c r="C236" s="147">
        <v>5000</v>
      </c>
      <c r="D236" s="954">
        <v>5000</v>
      </c>
      <c r="E236" s="954">
        <v>5000</v>
      </c>
      <c r="F236" s="954">
        <v>5000</v>
      </c>
      <c r="G236" s="954">
        <v>5000</v>
      </c>
      <c r="H236" s="954">
        <v>5000</v>
      </c>
      <c r="I236" s="953">
        <v>5000</v>
      </c>
      <c r="J236" s="953">
        <v>5000</v>
      </c>
      <c r="K236" s="953">
        <v>5000</v>
      </c>
      <c r="L236" s="954">
        <v>5000</v>
      </c>
      <c r="M236" s="954">
        <v>5000</v>
      </c>
      <c r="N236" s="954">
        <v>5000</v>
      </c>
      <c r="O236" s="954">
        <v>5000</v>
      </c>
    </row>
    <row r="237" spans="1:15">
      <c r="A237" s="119"/>
      <c r="B237" s="331" t="s">
        <v>852</v>
      </c>
      <c r="C237">
        <v>200</v>
      </c>
      <c r="D237" s="953">
        <v>200</v>
      </c>
      <c r="E237" s="953">
        <v>200</v>
      </c>
      <c r="F237" s="953">
        <v>200</v>
      </c>
      <c r="G237" s="1006">
        <v>100</v>
      </c>
      <c r="H237" s="1006">
        <v>100</v>
      </c>
      <c r="I237" s="1006">
        <v>100</v>
      </c>
      <c r="J237" s="1006">
        <v>100</v>
      </c>
      <c r="K237" s="1006">
        <v>100</v>
      </c>
      <c r="L237" s="1006">
        <v>100</v>
      </c>
      <c r="M237" s="1006">
        <v>100</v>
      </c>
      <c r="N237" s="1006">
        <v>100</v>
      </c>
      <c r="O237" s="1006">
        <v>100</v>
      </c>
    </row>
    <row r="238" spans="1:15">
      <c r="A238" s="119"/>
      <c r="B238" s="331" t="s">
        <v>853</v>
      </c>
      <c r="C238">
        <v>1.1100000000000001</v>
      </c>
      <c r="D238" s="953">
        <v>1.1100000000000001</v>
      </c>
      <c r="E238" s="953">
        <v>1.1100000000000001</v>
      </c>
      <c r="F238" s="953">
        <v>1.1100000000000001</v>
      </c>
      <c r="G238" s="1006">
        <v>1.08</v>
      </c>
      <c r="H238" s="1006">
        <v>1.08</v>
      </c>
      <c r="I238" s="1006">
        <v>1.08</v>
      </c>
      <c r="J238" s="1006">
        <v>1.08</v>
      </c>
      <c r="K238" s="1006">
        <v>1.08</v>
      </c>
      <c r="L238" s="1006">
        <v>1.08</v>
      </c>
      <c r="M238" s="1006">
        <v>1.08</v>
      </c>
      <c r="N238" s="1006">
        <v>1.08</v>
      </c>
      <c r="O238" s="1006">
        <v>1.08</v>
      </c>
    </row>
    <row r="239" spans="1:15">
      <c r="A239" s="119"/>
      <c r="B239" s="331" t="s">
        <v>854</v>
      </c>
      <c r="C239">
        <v>1.2</v>
      </c>
      <c r="D239" s="953">
        <v>1.2</v>
      </c>
      <c r="E239" s="953">
        <v>1.2</v>
      </c>
      <c r="F239" s="953">
        <v>1.2</v>
      </c>
      <c r="G239" s="1006">
        <v>1.1599999999999999</v>
      </c>
      <c r="H239" s="1006">
        <v>1.1599999999999999</v>
      </c>
      <c r="I239" s="1006">
        <v>1.1599999999999999</v>
      </c>
      <c r="J239" s="1006">
        <v>1.1599999999999999</v>
      </c>
      <c r="K239" s="1006">
        <v>1.1599999999999999</v>
      </c>
      <c r="L239" s="1006">
        <v>1.1599999999999999</v>
      </c>
      <c r="M239" s="1006">
        <v>1.1599999999999999</v>
      </c>
      <c r="N239" s="1006">
        <v>1.1599999999999999</v>
      </c>
      <c r="O239" s="1006">
        <v>1.1599999999999999</v>
      </c>
    </row>
    <row r="240" spans="1:15">
      <c r="A240" s="119"/>
      <c r="B240" s="331"/>
    </row>
    <row r="241" spans="1:15">
      <c r="A241" s="119">
        <v>2.5099999999999998</v>
      </c>
      <c r="B241" s="331" t="s">
        <v>380</v>
      </c>
      <c r="C241" s="147">
        <v>5000</v>
      </c>
      <c r="D241" s="954">
        <v>5000</v>
      </c>
      <c r="E241" s="954">
        <v>5000</v>
      </c>
      <c r="F241" s="954">
        <v>5000</v>
      </c>
      <c r="G241" s="954">
        <v>5000</v>
      </c>
      <c r="H241" s="954">
        <v>5000</v>
      </c>
      <c r="I241" s="953">
        <v>5000</v>
      </c>
      <c r="J241" s="953">
        <v>5000</v>
      </c>
      <c r="K241" s="953">
        <v>5000</v>
      </c>
      <c r="L241" s="954">
        <v>5000</v>
      </c>
      <c r="M241" s="954">
        <v>5000</v>
      </c>
      <c r="N241" s="954">
        <v>5000</v>
      </c>
      <c r="O241" s="954">
        <v>5000</v>
      </c>
    </row>
    <row r="242" spans="1:15">
      <c r="A242" s="119">
        <v>2.52</v>
      </c>
      <c r="B242" s="331" t="s">
        <v>381</v>
      </c>
      <c r="C242" s="147">
        <v>5550</v>
      </c>
      <c r="D242" s="954">
        <v>5550</v>
      </c>
      <c r="E242" s="954">
        <v>5550</v>
      </c>
      <c r="F242" s="954">
        <v>5550</v>
      </c>
      <c r="G242" s="1005">
        <v>5400</v>
      </c>
      <c r="H242" s="1005">
        <v>5400</v>
      </c>
      <c r="I242" s="1006">
        <v>5400</v>
      </c>
      <c r="J242" s="1006">
        <v>5400</v>
      </c>
      <c r="K242" s="1006">
        <v>5400</v>
      </c>
      <c r="L242" s="1005">
        <v>5400</v>
      </c>
      <c r="M242" s="1005">
        <v>5400</v>
      </c>
      <c r="N242" s="1005">
        <v>5400</v>
      </c>
      <c r="O242" s="1005">
        <v>5400</v>
      </c>
    </row>
    <row r="243" spans="1:15">
      <c r="A243" s="119">
        <v>2.5299999999999998</v>
      </c>
      <c r="B243" s="331" t="s">
        <v>382</v>
      </c>
      <c r="C243" s="147">
        <v>6660</v>
      </c>
      <c r="D243" s="954">
        <v>6660</v>
      </c>
      <c r="E243" s="954">
        <v>6660</v>
      </c>
      <c r="F243" s="954">
        <v>6660</v>
      </c>
      <c r="G243" s="1005">
        <v>6264</v>
      </c>
      <c r="H243" s="1005">
        <v>6264</v>
      </c>
      <c r="I243" s="1006">
        <v>6264</v>
      </c>
      <c r="J243" s="1006">
        <v>6264</v>
      </c>
      <c r="K243" s="1006">
        <v>6264</v>
      </c>
      <c r="L243" s="1005">
        <v>6264</v>
      </c>
      <c r="M243" s="1005">
        <v>6264</v>
      </c>
      <c r="N243" s="1005">
        <v>6264</v>
      </c>
      <c r="O243" s="1005">
        <v>6264</v>
      </c>
    </row>
    <row r="244" spans="1:15">
      <c r="A244" s="119"/>
      <c r="B244" s="331"/>
    </row>
    <row r="245" spans="1:15">
      <c r="A245" s="119">
        <v>2.6</v>
      </c>
      <c r="B245" s="331" t="s">
        <v>335</v>
      </c>
      <c r="D245" s="953"/>
      <c r="E245" s="953"/>
      <c r="F245" s="953"/>
      <c r="G245" s="953"/>
      <c r="H245" s="953"/>
      <c r="I245" s="953"/>
      <c r="J245" s="953"/>
      <c r="K245" s="953"/>
      <c r="L245" s="953"/>
      <c r="M245" s="953"/>
      <c r="N245" s="953"/>
      <c r="O245" s="953"/>
    </row>
    <row r="246" spans="1:15">
      <c r="A246" s="119"/>
      <c r="B246" s="331" t="s">
        <v>855</v>
      </c>
      <c r="C246" s="147">
        <v>40000</v>
      </c>
      <c r="D246" s="954">
        <v>40000</v>
      </c>
      <c r="E246" s="954">
        <v>40000</v>
      </c>
      <c r="F246" s="954">
        <v>40000</v>
      </c>
      <c r="G246" s="1005">
        <v>60000</v>
      </c>
      <c r="H246" s="1005">
        <v>60000</v>
      </c>
      <c r="I246" s="1006">
        <v>60000</v>
      </c>
      <c r="J246" s="1006">
        <v>60000</v>
      </c>
      <c r="K246" s="1006">
        <v>60000</v>
      </c>
      <c r="L246" s="1005">
        <v>60000</v>
      </c>
      <c r="M246" s="1005">
        <v>60000</v>
      </c>
      <c r="N246" s="1005">
        <v>60000</v>
      </c>
      <c r="O246" s="1005">
        <v>60000</v>
      </c>
    </row>
    <row r="247" spans="1:15">
      <c r="A247" s="119"/>
      <c r="B247" s="331" t="s">
        <v>856</v>
      </c>
      <c r="C247">
        <v>0.1</v>
      </c>
      <c r="D247" s="953">
        <v>0.1</v>
      </c>
      <c r="E247" s="953">
        <v>0.1</v>
      </c>
      <c r="F247" s="953">
        <v>0.1</v>
      </c>
      <c r="G247" s="1006">
        <v>5.5E-2</v>
      </c>
      <c r="H247" s="1006">
        <v>5.5E-2</v>
      </c>
      <c r="I247" s="1006">
        <v>5.5E-2</v>
      </c>
      <c r="J247" s="1006">
        <v>5.5E-2</v>
      </c>
      <c r="K247" s="1006">
        <v>5.5E-2</v>
      </c>
      <c r="L247" s="1006">
        <v>5.5E-2</v>
      </c>
      <c r="M247" s="1006">
        <v>5.5E-2</v>
      </c>
      <c r="N247" s="1006">
        <v>5.5E-2</v>
      </c>
      <c r="O247" s="1006">
        <v>5.5E-2</v>
      </c>
    </row>
    <row r="248" spans="1:15">
      <c r="A248" s="119"/>
      <c r="B248" s="331" t="s">
        <v>857</v>
      </c>
      <c r="C248">
        <v>36</v>
      </c>
      <c r="D248" s="953">
        <v>36</v>
      </c>
      <c r="E248" s="953">
        <v>36</v>
      </c>
      <c r="F248" s="953">
        <v>36</v>
      </c>
      <c r="G248" s="953">
        <v>36</v>
      </c>
      <c r="H248" s="953">
        <v>36</v>
      </c>
      <c r="I248" s="953">
        <v>36</v>
      </c>
      <c r="J248" s="953">
        <v>36</v>
      </c>
      <c r="K248" s="953">
        <v>36</v>
      </c>
      <c r="L248" s="953">
        <v>36</v>
      </c>
      <c r="M248" s="953">
        <v>36</v>
      </c>
      <c r="N248" s="953">
        <v>36</v>
      </c>
      <c r="O248" s="953">
        <v>36</v>
      </c>
    </row>
    <row r="249" spans="1:15">
      <c r="A249" s="119"/>
      <c r="B249" s="331" t="s">
        <v>858</v>
      </c>
      <c r="C249">
        <v>12</v>
      </c>
      <c r="D249" s="953">
        <v>12</v>
      </c>
      <c r="E249" s="953">
        <v>12</v>
      </c>
      <c r="F249" s="953">
        <v>12</v>
      </c>
      <c r="G249" s="953">
        <v>12</v>
      </c>
      <c r="H249" s="953">
        <v>12</v>
      </c>
      <c r="I249" s="953">
        <v>12</v>
      </c>
      <c r="J249" s="953">
        <v>12</v>
      </c>
      <c r="K249" s="953">
        <v>12</v>
      </c>
      <c r="L249" s="953">
        <v>12</v>
      </c>
      <c r="M249" s="953">
        <v>12</v>
      </c>
      <c r="N249" s="953">
        <v>12</v>
      </c>
      <c r="O249" s="953">
        <v>12</v>
      </c>
    </row>
    <row r="250" spans="1:15">
      <c r="A250" s="119"/>
      <c r="B250" s="331" t="s">
        <v>859</v>
      </c>
      <c r="C250" t="s">
        <v>370</v>
      </c>
      <c r="D250" s="953" t="s">
        <v>370</v>
      </c>
      <c r="E250" s="953" t="s">
        <v>370</v>
      </c>
      <c r="F250" s="953" t="s">
        <v>370</v>
      </c>
      <c r="G250" s="953" t="s">
        <v>370</v>
      </c>
      <c r="H250" s="953" t="s">
        <v>370</v>
      </c>
      <c r="I250" s="953" t="s">
        <v>370</v>
      </c>
      <c r="J250" s="953" t="s">
        <v>370</v>
      </c>
      <c r="K250" s="953" t="s">
        <v>370</v>
      </c>
      <c r="L250" s="953" t="s">
        <v>370</v>
      </c>
      <c r="M250" s="953" t="s">
        <v>370</v>
      </c>
      <c r="N250" s="953" t="s">
        <v>370</v>
      </c>
      <c r="O250" s="953" t="s">
        <v>370</v>
      </c>
    </row>
    <row r="251" spans="1:15">
      <c r="A251" s="119"/>
      <c r="B251" s="331"/>
    </row>
    <row r="252" spans="1:15">
      <c r="A252" s="119">
        <v>2.61</v>
      </c>
      <c r="B252" s="331" t="s">
        <v>383</v>
      </c>
      <c r="C252" s="147">
        <v>15391.3</v>
      </c>
      <c r="D252" s="954">
        <v>15391.3</v>
      </c>
      <c r="E252" s="954">
        <v>15391.3</v>
      </c>
      <c r="F252" s="954">
        <v>15391.3</v>
      </c>
      <c r="G252" s="1005">
        <v>21697.57</v>
      </c>
      <c r="H252" s="1005">
        <v>21697.57</v>
      </c>
      <c r="I252" s="1006">
        <v>21697.57</v>
      </c>
      <c r="J252" s="1006">
        <v>21697.57</v>
      </c>
      <c r="K252" s="1006">
        <v>21697.57</v>
      </c>
      <c r="L252" s="1005">
        <v>21697.57</v>
      </c>
      <c r="M252" s="1005">
        <v>21697.57</v>
      </c>
      <c r="N252" s="1005">
        <v>21697.57</v>
      </c>
      <c r="O252" s="1005">
        <v>21697.57</v>
      </c>
    </row>
    <row r="253" spans="1:15">
      <c r="A253" s="119">
        <v>2.62</v>
      </c>
      <c r="B253" s="331" t="s">
        <v>385</v>
      </c>
      <c r="C253" s="147">
        <v>15391.3</v>
      </c>
      <c r="D253" s="954">
        <v>15391.3</v>
      </c>
      <c r="E253" s="954">
        <v>15391.3</v>
      </c>
      <c r="F253" s="954">
        <v>15391.3</v>
      </c>
      <c r="G253" s="1005">
        <v>21697.57</v>
      </c>
      <c r="H253" s="1005">
        <v>21697.57</v>
      </c>
      <c r="I253" s="1006">
        <v>21697.57</v>
      </c>
      <c r="J253" s="1006">
        <v>21697.57</v>
      </c>
      <c r="K253" s="1006">
        <v>21697.57</v>
      </c>
      <c r="L253" s="1005">
        <v>21697.57</v>
      </c>
      <c r="M253" s="1005">
        <v>21697.57</v>
      </c>
      <c r="N253" s="1005">
        <v>21697.57</v>
      </c>
      <c r="O253" s="1005">
        <v>21697.57</v>
      </c>
    </row>
    <row r="254" spans="1:15">
      <c r="A254" s="119">
        <v>2.63</v>
      </c>
      <c r="B254" s="331" t="s">
        <v>384</v>
      </c>
      <c r="C254" s="147">
        <v>15391.3</v>
      </c>
      <c r="D254" s="954">
        <v>15391.3</v>
      </c>
      <c r="E254" s="954">
        <v>15391.3</v>
      </c>
      <c r="F254" s="954">
        <v>15391.3</v>
      </c>
      <c r="G254" s="1005">
        <v>21697.57</v>
      </c>
      <c r="H254" s="1005">
        <v>21697.57</v>
      </c>
      <c r="I254" s="1006">
        <v>21697.57</v>
      </c>
      <c r="J254" s="1006">
        <v>21697.57</v>
      </c>
      <c r="K254" s="1006">
        <v>21697.57</v>
      </c>
      <c r="L254" s="1005">
        <v>21697.57</v>
      </c>
      <c r="M254" s="1005">
        <v>21697.57</v>
      </c>
      <c r="N254" s="1005">
        <v>21697.57</v>
      </c>
      <c r="O254" s="1005">
        <v>21697.57</v>
      </c>
    </row>
    <row r="255" spans="1:15">
      <c r="A255" s="119">
        <v>2.64</v>
      </c>
      <c r="B255" s="331" t="s">
        <v>681</v>
      </c>
      <c r="C255" s="147">
        <v>40000</v>
      </c>
      <c r="D255" s="954">
        <v>40000</v>
      </c>
      <c r="E255" s="954">
        <v>40000</v>
      </c>
      <c r="F255" s="954">
        <v>40000</v>
      </c>
      <c r="G255" s="1005">
        <v>60000</v>
      </c>
      <c r="H255" s="1005">
        <v>60000</v>
      </c>
      <c r="I255" s="1006">
        <v>60000</v>
      </c>
      <c r="J255" s="1006">
        <v>60000</v>
      </c>
      <c r="K255" s="1006">
        <v>60000</v>
      </c>
      <c r="L255" s="1005">
        <v>60000</v>
      </c>
      <c r="M255" s="1005">
        <v>60000</v>
      </c>
      <c r="N255" s="1005">
        <v>60000</v>
      </c>
      <c r="O255" s="1005">
        <v>60000</v>
      </c>
    </row>
    <row r="256" spans="1:15">
      <c r="A256" s="119"/>
      <c r="B256" s="331"/>
      <c r="C256" s="147"/>
      <c r="D256" s="147"/>
      <c r="E256" s="147"/>
      <c r="F256" s="147"/>
      <c r="G256" s="147"/>
      <c r="H256" s="147"/>
    </row>
    <row r="257" spans="1:15">
      <c r="A257" s="746">
        <v>2.7</v>
      </c>
      <c r="B257" s="348" t="s">
        <v>76</v>
      </c>
      <c r="C257" s="147"/>
      <c r="D257" s="954"/>
      <c r="E257" s="954"/>
      <c r="F257" s="954"/>
      <c r="G257" s="954"/>
      <c r="H257" s="954"/>
      <c r="I257" s="953"/>
      <c r="J257" s="953"/>
      <c r="K257" s="953"/>
      <c r="L257" s="953"/>
      <c r="M257" s="953"/>
      <c r="N257" s="953"/>
      <c r="O257" s="953"/>
    </row>
    <row r="258" spans="1:15" s="349" customFormat="1">
      <c r="A258" s="747">
        <v>2.7010000000000001</v>
      </c>
      <c r="B258" s="350" t="s">
        <v>860</v>
      </c>
      <c r="C258" s="349">
        <v>0.05</v>
      </c>
      <c r="D258" s="957">
        <v>0.05</v>
      </c>
      <c r="E258" s="957">
        <v>0.05</v>
      </c>
      <c r="F258" s="957">
        <v>0.05</v>
      </c>
      <c r="G258" s="957">
        <v>0.05</v>
      </c>
      <c r="H258" s="957">
        <v>0.05</v>
      </c>
      <c r="I258" s="957">
        <v>0.05</v>
      </c>
      <c r="J258" s="957">
        <v>0.05</v>
      </c>
      <c r="K258" s="957">
        <v>0.05</v>
      </c>
      <c r="L258" s="957">
        <v>0.05</v>
      </c>
      <c r="M258" s="957">
        <v>0.05</v>
      </c>
      <c r="N258" s="957">
        <v>0.05</v>
      </c>
      <c r="O258" s="957">
        <v>0.05</v>
      </c>
    </row>
    <row r="259" spans="1:15">
      <c r="A259" s="747">
        <v>2.71</v>
      </c>
      <c r="B259" s="331" t="s">
        <v>461</v>
      </c>
      <c r="C259" s="147">
        <v>2625</v>
      </c>
      <c r="D259" s="954">
        <v>2625</v>
      </c>
      <c r="E259" s="954">
        <v>2625</v>
      </c>
      <c r="F259" s="954">
        <v>2625</v>
      </c>
      <c r="G259" s="954">
        <v>2625</v>
      </c>
      <c r="H259" s="954">
        <v>2625</v>
      </c>
      <c r="I259" s="953">
        <v>2625</v>
      </c>
      <c r="J259" s="953">
        <v>2625</v>
      </c>
      <c r="K259" s="953">
        <v>2625</v>
      </c>
      <c r="L259" s="953">
        <v>2625</v>
      </c>
      <c r="M259" s="953">
        <v>2625</v>
      </c>
      <c r="N259" s="953">
        <v>2625</v>
      </c>
      <c r="O259" s="953">
        <v>2625</v>
      </c>
    </row>
    <row r="260" spans="1:15" s="349" customFormat="1">
      <c r="A260" s="747">
        <v>2.7109999999999999</v>
      </c>
      <c r="B260" s="350" t="s">
        <v>861</v>
      </c>
      <c r="C260" s="349">
        <v>9.5000000000000001E-2</v>
      </c>
      <c r="D260" s="957">
        <v>9.5000000000000001E-2</v>
      </c>
      <c r="E260" s="957">
        <v>9.5000000000000001E-2</v>
      </c>
      <c r="F260" s="957">
        <v>9.5000000000000001E-2</v>
      </c>
      <c r="G260" s="957">
        <v>9.5000000000000001E-2</v>
      </c>
      <c r="H260" s="957">
        <v>9.5000000000000001E-2</v>
      </c>
      <c r="I260" s="957">
        <v>9.5000000000000001E-2</v>
      </c>
      <c r="J260" s="957">
        <v>9.5000000000000001E-2</v>
      </c>
      <c r="K260" s="957">
        <v>9.5000000000000001E-2</v>
      </c>
      <c r="L260" s="957">
        <v>9.5000000000000001E-2</v>
      </c>
      <c r="M260" s="957">
        <v>9.5000000000000001E-2</v>
      </c>
      <c r="N260" s="957">
        <v>9.5000000000000001E-2</v>
      </c>
      <c r="O260" s="957">
        <v>9.5000000000000001E-2</v>
      </c>
    </row>
    <row r="261" spans="1:15">
      <c r="A261" s="747">
        <v>2.72</v>
      </c>
      <c r="B261" s="331" t="s">
        <v>462</v>
      </c>
      <c r="C261" s="147">
        <v>4987.5</v>
      </c>
      <c r="D261" s="954">
        <v>4987.5</v>
      </c>
      <c r="E261" s="954">
        <v>4987.5</v>
      </c>
      <c r="F261" s="954">
        <v>4987.5</v>
      </c>
      <c r="G261" s="954">
        <v>4987.5</v>
      </c>
      <c r="H261" s="954">
        <v>4987.5</v>
      </c>
      <c r="I261" s="953">
        <v>4987.5</v>
      </c>
      <c r="J261" s="953">
        <v>4987.5</v>
      </c>
      <c r="K261" s="953">
        <v>4987.5</v>
      </c>
      <c r="L261" s="953">
        <v>4987.5</v>
      </c>
      <c r="M261" s="953">
        <v>4987.5</v>
      </c>
      <c r="N261" s="953">
        <v>4987.5</v>
      </c>
      <c r="O261" s="953">
        <v>4987.5</v>
      </c>
    </row>
    <row r="262" spans="1:15" s="349" customFormat="1">
      <c r="A262" s="747">
        <v>2.7210000000000001</v>
      </c>
      <c r="B262" s="350" t="s">
        <v>862</v>
      </c>
      <c r="C262" s="349">
        <v>8.5500000000000007E-2</v>
      </c>
      <c r="D262" s="957">
        <v>8.5500000000000007E-2</v>
      </c>
      <c r="E262" s="957">
        <v>8.5500000000000007E-2</v>
      </c>
      <c r="F262" s="957">
        <v>8.5500000000000007E-2</v>
      </c>
      <c r="G262" s="957">
        <v>8.5500000000000007E-2</v>
      </c>
      <c r="H262" s="957">
        <v>8.5500000000000007E-2</v>
      </c>
      <c r="I262" s="957">
        <v>8.5500000000000007E-2</v>
      </c>
      <c r="J262" s="957">
        <v>8.5500000000000007E-2</v>
      </c>
      <c r="K262" s="957">
        <v>8.5500000000000007E-2</v>
      </c>
      <c r="L262" s="957">
        <v>8.5500000000000007E-2</v>
      </c>
      <c r="M262" s="957">
        <v>8.5500000000000007E-2</v>
      </c>
      <c r="N262" s="957">
        <v>8.5500000000000007E-2</v>
      </c>
      <c r="O262" s="957">
        <v>8.5500000000000007E-2</v>
      </c>
    </row>
    <row r="263" spans="1:15">
      <c r="A263" s="747">
        <v>2.73</v>
      </c>
      <c r="B263" s="331" t="s">
        <v>463</v>
      </c>
      <c r="C263" s="147">
        <v>4488.75</v>
      </c>
      <c r="D263" s="954">
        <v>4488.75</v>
      </c>
      <c r="E263" s="954">
        <v>4488.75</v>
      </c>
      <c r="F263" s="954">
        <v>4488.75</v>
      </c>
      <c r="G263" s="954">
        <v>4488.75</v>
      </c>
      <c r="H263" s="954">
        <v>4488.75</v>
      </c>
      <c r="I263" s="953">
        <v>4488.75</v>
      </c>
      <c r="J263" s="953">
        <v>4488.75</v>
      </c>
      <c r="K263" s="953">
        <v>4488.75</v>
      </c>
      <c r="L263" s="953">
        <v>4488.75</v>
      </c>
      <c r="M263" s="953">
        <v>4488.75</v>
      </c>
      <c r="N263" s="953">
        <v>4488.75</v>
      </c>
      <c r="O263" s="953">
        <v>4488.75</v>
      </c>
    </row>
    <row r="264" spans="1:15">
      <c r="A264" s="119"/>
      <c r="B264" s="331"/>
      <c r="C264" s="147"/>
      <c r="D264" s="147"/>
      <c r="E264" s="147"/>
      <c r="F264" s="147"/>
      <c r="G264" s="147"/>
      <c r="H264" s="147"/>
    </row>
    <row r="265" spans="1:15">
      <c r="A265" s="119">
        <v>2.8</v>
      </c>
      <c r="B265" s="331" t="s">
        <v>625</v>
      </c>
      <c r="C265" s="147"/>
      <c r="D265" s="954"/>
      <c r="E265" s="954"/>
      <c r="F265" s="954"/>
      <c r="G265" s="954"/>
      <c r="H265" s="954"/>
      <c r="I265" s="953"/>
      <c r="J265" s="953"/>
      <c r="K265" s="953"/>
      <c r="L265" s="953"/>
      <c r="M265" s="953"/>
      <c r="N265" s="953"/>
      <c r="O265" s="953"/>
    </row>
    <row r="266" spans="1:15">
      <c r="A266" s="119"/>
      <c r="B266" s="331" t="s">
        <v>863</v>
      </c>
      <c r="C266" s="147">
        <v>0.05</v>
      </c>
      <c r="D266" s="954">
        <v>0.05</v>
      </c>
      <c r="E266" s="954">
        <v>0.05</v>
      </c>
      <c r="F266" s="954">
        <v>0.05</v>
      </c>
      <c r="G266" s="954">
        <v>0.05</v>
      </c>
      <c r="H266" s="954">
        <v>0.05</v>
      </c>
      <c r="I266" s="953">
        <v>0.05</v>
      </c>
      <c r="J266" s="953">
        <v>0.05</v>
      </c>
      <c r="K266" s="953">
        <v>0.05</v>
      </c>
      <c r="L266" s="953">
        <v>0.05</v>
      </c>
      <c r="M266" s="953">
        <v>0.05</v>
      </c>
      <c r="N266" s="953">
        <v>0.05</v>
      </c>
      <c r="O266" s="953">
        <v>0.05</v>
      </c>
    </row>
    <row r="267" spans="1:15">
      <c r="A267" s="119"/>
      <c r="B267" s="331" t="s">
        <v>864</v>
      </c>
      <c r="C267" s="147">
        <v>0.01</v>
      </c>
      <c r="D267" s="954">
        <v>0.01</v>
      </c>
      <c r="E267" s="954">
        <v>0.01</v>
      </c>
      <c r="F267" s="954">
        <v>0.01</v>
      </c>
      <c r="G267" s="954">
        <v>0.01</v>
      </c>
      <c r="H267" s="954">
        <v>0.01</v>
      </c>
      <c r="I267" s="953">
        <v>0.01</v>
      </c>
      <c r="J267" s="953">
        <v>0.01</v>
      </c>
      <c r="K267" s="953">
        <v>0.01</v>
      </c>
      <c r="L267" s="953">
        <v>0.01</v>
      </c>
      <c r="M267" s="953">
        <v>0.01</v>
      </c>
      <c r="N267" s="953">
        <v>0.01</v>
      </c>
      <c r="O267" s="953">
        <v>0.01</v>
      </c>
    </row>
    <row r="268" spans="1:15">
      <c r="A268" s="119"/>
      <c r="B268" s="331"/>
    </row>
    <row r="269" spans="1:15">
      <c r="A269" s="119">
        <v>3.1</v>
      </c>
      <c r="B269" s="331" t="s">
        <v>343</v>
      </c>
      <c r="D269" s="953"/>
      <c r="E269" s="953"/>
      <c r="F269" s="953"/>
      <c r="G269" s="953"/>
      <c r="H269" s="953"/>
      <c r="I269" s="953"/>
      <c r="J269" s="953"/>
      <c r="K269" s="953"/>
      <c r="L269" s="953"/>
      <c r="M269" s="953"/>
      <c r="N269" s="953"/>
      <c r="O269" s="953"/>
    </row>
    <row r="270" spans="1:15">
      <c r="A270" s="119">
        <v>3.11</v>
      </c>
      <c r="B270" s="331" t="s">
        <v>865</v>
      </c>
      <c r="C270">
        <v>0.35</v>
      </c>
      <c r="D270" s="953">
        <v>0.35</v>
      </c>
      <c r="E270" s="953">
        <v>0.35</v>
      </c>
      <c r="F270" s="953">
        <v>0.35</v>
      </c>
      <c r="G270" s="1006">
        <v>0.29849999999999999</v>
      </c>
      <c r="H270" s="1006">
        <v>0.29849999999999999</v>
      </c>
      <c r="I270" s="1006">
        <v>0.29849999999999999</v>
      </c>
      <c r="J270" s="1006">
        <v>0.29849999999999999</v>
      </c>
      <c r="K270" s="1006">
        <v>0.29849999999999999</v>
      </c>
      <c r="L270" s="1006">
        <v>0.29849999999999999</v>
      </c>
      <c r="M270" s="1006">
        <v>0.29849999999999999</v>
      </c>
      <c r="N270" s="1006">
        <v>0.29849999999999999</v>
      </c>
      <c r="O270" s="1006">
        <v>0.29849999999999999</v>
      </c>
    </row>
    <row r="272" spans="1:15">
      <c r="A272" s="119">
        <v>3.2</v>
      </c>
      <c r="B272" s="331" t="s">
        <v>361</v>
      </c>
      <c r="D272" s="953"/>
      <c r="E272" s="953"/>
      <c r="F272" s="953"/>
      <c r="G272" s="953"/>
      <c r="H272" s="953"/>
      <c r="I272" s="953"/>
      <c r="J272" s="953"/>
      <c r="K272" s="953"/>
      <c r="L272" s="953"/>
      <c r="M272" s="953"/>
      <c r="N272" s="953"/>
      <c r="O272" s="953"/>
    </row>
    <row r="273" spans="1:15">
      <c r="A273" s="119"/>
      <c r="B273" s="331"/>
    </row>
    <row r="274" spans="1:15">
      <c r="A274" s="119">
        <v>3.21</v>
      </c>
      <c r="B274" s="331" t="s">
        <v>386</v>
      </c>
      <c r="D274" s="953"/>
      <c r="E274" s="953"/>
      <c r="F274" s="953"/>
      <c r="G274" s="953"/>
      <c r="H274" s="953"/>
      <c r="I274" s="953"/>
      <c r="J274" s="953"/>
      <c r="K274" s="953"/>
      <c r="L274" s="953"/>
      <c r="M274" s="953"/>
      <c r="N274" s="953"/>
      <c r="O274" s="953"/>
    </row>
    <row r="275" spans="1:15">
      <c r="A275" s="119"/>
      <c r="B275" s="331"/>
    </row>
    <row r="276" spans="1:15">
      <c r="A276" s="119">
        <v>4.0999999999999996</v>
      </c>
      <c r="B276" s="331" t="s">
        <v>362</v>
      </c>
      <c r="D276" s="953"/>
      <c r="E276" s="953"/>
      <c r="F276" s="953"/>
      <c r="G276" s="953"/>
      <c r="H276" s="953"/>
      <c r="I276" s="953"/>
      <c r="J276" s="953"/>
      <c r="K276" s="953"/>
      <c r="L276" s="953"/>
      <c r="M276" s="953"/>
      <c r="N276" s="953"/>
      <c r="O276" s="953"/>
    </row>
    <row r="277" spans="1:15">
      <c r="A277" s="119"/>
      <c r="B277" s="331" t="s">
        <v>866</v>
      </c>
      <c r="C277" t="s">
        <v>409</v>
      </c>
      <c r="D277" s="953" t="s">
        <v>409</v>
      </c>
      <c r="E277" s="953" t="s">
        <v>409</v>
      </c>
      <c r="F277" s="953" t="s">
        <v>409</v>
      </c>
      <c r="G277" s="953" t="s">
        <v>409</v>
      </c>
      <c r="H277" s="953" t="s">
        <v>409</v>
      </c>
      <c r="I277" s="1126" t="s">
        <v>409</v>
      </c>
      <c r="J277" s="1126" t="s">
        <v>409</v>
      </c>
      <c r="K277" s="1126" t="s">
        <v>409</v>
      </c>
      <c r="L277" s="953" t="s">
        <v>409</v>
      </c>
      <c r="M277" s="953" t="s">
        <v>409</v>
      </c>
      <c r="N277" s="1126" t="s">
        <v>409</v>
      </c>
      <c r="O277" s="953" t="s">
        <v>409</v>
      </c>
    </row>
    <row r="278" spans="1:15">
      <c r="A278" s="119"/>
      <c r="B278" s="331" t="s">
        <v>867</v>
      </c>
      <c r="C278" t="s">
        <v>69</v>
      </c>
      <c r="D278" s="953" t="s">
        <v>69</v>
      </c>
      <c r="E278" s="953" t="s">
        <v>69</v>
      </c>
      <c r="F278" s="953" t="s">
        <v>69</v>
      </c>
      <c r="G278" s="953" t="s">
        <v>69</v>
      </c>
      <c r="H278" s="953" t="s">
        <v>69</v>
      </c>
      <c r="I278" s="1126" t="s">
        <v>69</v>
      </c>
      <c r="J278" s="1126" t="s">
        <v>69</v>
      </c>
      <c r="K278" s="1126" t="s">
        <v>69</v>
      </c>
      <c r="L278" s="953" t="s">
        <v>69</v>
      </c>
      <c r="M278" s="953" t="s">
        <v>69</v>
      </c>
      <c r="N278" s="1126" t="s">
        <v>69</v>
      </c>
      <c r="O278" s="953" t="s">
        <v>69</v>
      </c>
    </row>
    <row r="279" spans="1:15">
      <c r="A279" s="119"/>
      <c r="B279" s="331" t="s">
        <v>868</v>
      </c>
      <c r="C279">
        <v>0.56000000000000005</v>
      </c>
      <c r="D279" s="958">
        <v>0.56000000000000005</v>
      </c>
      <c r="E279" s="958">
        <v>0.56000000000000005</v>
      </c>
      <c r="F279" s="958">
        <v>0.56000000000000005</v>
      </c>
      <c r="G279" s="953">
        <v>0.56000000000000005</v>
      </c>
      <c r="H279" s="953">
        <v>0.56000000000000005</v>
      </c>
      <c r="I279" s="958">
        <v>0.56000000000000005</v>
      </c>
      <c r="J279" s="958">
        <v>0.56000000000000005</v>
      </c>
      <c r="K279" s="958">
        <v>0.56000000000000005</v>
      </c>
      <c r="L279" s="953">
        <v>0.56000000000000005</v>
      </c>
      <c r="M279" s="953">
        <v>0.56000000000000005</v>
      </c>
      <c r="N279" s="958">
        <v>0.56000000000000005</v>
      </c>
      <c r="O279" s="953">
        <v>0.56000000000000005</v>
      </c>
    </row>
    <row r="280" spans="1:15">
      <c r="A280" s="119"/>
      <c r="B280" s="331" t="s">
        <v>869</v>
      </c>
      <c r="C280">
        <v>0.3</v>
      </c>
      <c r="D280" s="958">
        <v>0.3</v>
      </c>
      <c r="E280" s="958">
        <v>0.3</v>
      </c>
      <c r="F280" s="958">
        <v>0.3</v>
      </c>
      <c r="G280" s="953">
        <v>0.3</v>
      </c>
      <c r="H280" s="953">
        <v>0.3</v>
      </c>
      <c r="I280" s="958">
        <v>0.3</v>
      </c>
      <c r="J280" s="958">
        <v>0.3</v>
      </c>
      <c r="K280" s="1368">
        <v>0.28000000000000003</v>
      </c>
      <c r="L280" s="1398">
        <v>0.28000000000000003</v>
      </c>
      <c r="M280" s="1398">
        <v>0.28000000000000003</v>
      </c>
      <c r="N280" s="1368">
        <v>0.28999999999999998</v>
      </c>
      <c r="O280" s="1398">
        <v>0.28999999999999998</v>
      </c>
    </row>
    <row r="281" spans="1:15">
      <c r="A281" s="119"/>
      <c r="B281" s="331" t="s">
        <v>870</v>
      </c>
      <c r="C281">
        <v>0.3</v>
      </c>
      <c r="D281" s="958">
        <v>0.3</v>
      </c>
      <c r="E281" s="958">
        <v>0.3</v>
      </c>
      <c r="F281" s="958">
        <v>0.3</v>
      </c>
      <c r="G281" s="953">
        <v>0.3</v>
      </c>
      <c r="H281" s="953">
        <v>0.3</v>
      </c>
      <c r="I281" s="958">
        <v>0.3</v>
      </c>
      <c r="J281" s="958">
        <v>0.3</v>
      </c>
      <c r="K281" s="1368">
        <v>0.28000000000000003</v>
      </c>
      <c r="L281" s="1398">
        <v>0.28000000000000003</v>
      </c>
      <c r="M281" s="1398">
        <v>0.28000000000000003</v>
      </c>
      <c r="N281" s="1368">
        <v>0.28000000000000003</v>
      </c>
      <c r="O281" s="1398">
        <v>0.28000000000000003</v>
      </c>
    </row>
    <row r="282" spans="1:15">
      <c r="A282" s="119"/>
      <c r="B282" s="331" t="s">
        <v>871</v>
      </c>
      <c r="C282" s="147">
        <v>4</v>
      </c>
      <c r="D282" s="959">
        <v>9</v>
      </c>
      <c r="E282" s="959">
        <v>9</v>
      </c>
      <c r="F282" s="996">
        <v>8</v>
      </c>
      <c r="G282" s="1007">
        <v>8</v>
      </c>
      <c r="H282" s="1007">
        <v>8</v>
      </c>
      <c r="I282" s="1127">
        <v>8</v>
      </c>
      <c r="J282" s="996">
        <v>8</v>
      </c>
      <c r="K282" s="996">
        <v>8</v>
      </c>
      <c r="L282" s="1007">
        <v>8</v>
      </c>
      <c r="M282" s="1007">
        <v>8</v>
      </c>
      <c r="N282" s="996">
        <v>8</v>
      </c>
      <c r="O282" s="1007">
        <v>8</v>
      </c>
    </row>
    <row r="283" spans="1:15">
      <c r="A283" s="119"/>
      <c r="B283" s="331" t="s">
        <v>872</v>
      </c>
      <c r="C283">
        <v>1</v>
      </c>
      <c r="D283" s="953">
        <v>1</v>
      </c>
      <c r="E283" s="953">
        <v>1</v>
      </c>
      <c r="F283" s="953">
        <v>1</v>
      </c>
      <c r="G283" s="953">
        <v>1</v>
      </c>
      <c r="H283" s="953">
        <v>1</v>
      </c>
      <c r="I283" s="1126">
        <v>1</v>
      </c>
      <c r="J283" s="1126">
        <v>1</v>
      </c>
      <c r="K283" s="1369">
        <v>1</v>
      </c>
      <c r="L283" s="953">
        <v>1</v>
      </c>
      <c r="M283" s="953">
        <v>1</v>
      </c>
      <c r="N283" s="1126">
        <v>1</v>
      </c>
      <c r="O283" s="953">
        <v>1</v>
      </c>
    </row>
    <row r="284" spans="1:15">
      <c r="A284" s="119"/>
      <c r="B284" s="331" t="s">
        <v>873</v>
      </c>
      <c r="C284">
        <v>0.8</v>
      </c>
      <c r="D284" s="953">
        <v>0.8</v>
      </c>
      <c r="E284" s="953">
        <v>0.8</v>
      </c>
      <c r="F284" s="953">
        <v>0.8</v>
      </c>
      <c r="G284" s="953">
        <v>0.8</v>
      </c>
      <c r="H284" s="953">
        <v>0.8</v>
      </c>
      <c r="I284" s="1128">
        <v>0.6</v>
      </c>
      <c r="J284" s="1128">
        <v>0.6</v>
      </c>
      <c r="K284" s="1128">
        <v>0.6</v>
      </c>
      <c r="L284" s="1130">
        <v>0.6</v>
      </c>
      <c r="M284" s="1130">
        <v>0.6</v>
      </c>
      <c r="N284" s="1128">
        <v>0.6</v>
      </c>
      <c r="O284" s="1130">
        <v>0.6</v>
      </c>
    </row>
    <row r="285" spans="1:15">
      <c r="A285" s="119"/>
      <c r="B285" s="331" t="s">
        <v>874</v>
      </c>
      <c r="C285">
        <v>1.05</v>
      </c>
      <c r="D285" s="953">
        <v>1.05</v>
      </c>
      <c r="E285" s="953">
        <v>1.05</v>
      </c>
      <c r="F285" s="953">
        <v>1.05</v>
      </c>
      <c r="G285" s="953">
        <v>1.05</v>
      </c>
      <c r="H285" s="953">
        <v>1.05</v>
      </c>
      <c r="I285" s="1126">
        <v>1.05</v>
      </c>
      <c r="J285" s="1126">
        <v>1.05</v>
      </c>
      <c r="K285" s="1126">
        <v>1.05</v>
      </c>
      <c r="L285" s="953">
        <v>1.05</v>
      </c>
      <c r="M285" s="953">
        <v>1.05</v>
      </c>
      <c r="N285" s="1126">
        <v>1.05</v>
      </c>
      <c r="O285" s="953">
        <v>1.05</v>
      </c>
    </row>
    <row r="286" spans="1:15">
      <c r="A286" s="119"/>
      <c r="B286" s="331" t="s">
        <v>875</v>
      </c>
      <c r="C286">
        <v>1.3</v>
      </c>
      <c r="D286" s="953">
        <v>1.3</v>
      </c>
      <c r="E286" s="953">
        <v>1.3</v>
      </c>
      <c r="F286" s="953">
        <v>1.3</v>
      </c>
      <c r="G286" s="953">
        <v>1.3</v>
      </c>
      <c r="H286" s="953">
        <v>1.3</v>
      </c>
      <c r="I286" s="1126">
        <v>1.3</v>
      </c>
      <c r="J286" s="1126">
        <v>1.3</v>
      </c>
      <c r="K286" s="1126">
        <v>1.3</v>
      </c>
      <c r="L286" s="953">
        <v>1.3</v>
      </c>
      <c r="M286" s="953">
        <v>1.3</v>
      </c>
      <c r="N286" s="1126">
        <v>1.3</v>
      </c>
      <c r="O286" s="953">
        <v>1.3</v>
      </c>
    </row>
    <row r="287" spans="1:15">
      <c r="A287" s="119"/>
      <c r="B287" s="331" t="s">
        <v>876</v>
      </c>
      <c r="C287">
        <v>0</v>
      </c>
      <c r="D287" s="953">
        <v>0</v>
      </c>
      <c r="E287" s="953">
        <v>0</v>
      </c>
      <c r="F287" s="953">
        <v>0</v>
      </c>
      <c r="G287" s="953">
        <v>0</v>
      </c>
      <c r="H287" s="953">
        <v>0</v>
      </c>
      <c r="I287" s="1126">
        <v>0</v>
      </c>
      <c r="J287" s="1126">
        <v>0</v>
      </c>
      <c r="K287" s="1126">
        <v>0</v>
      </c>
      <c r="L287" s="953">
        <v>0</v>
      </c>
      <c r="M287" s="953">
        <v>0</v>
      </c>
      <c r="N287" s="1126">
        <v>0</v>
      </c>
      <c r="O287" s="953">
        <v>0</v>
      </c>
    </row>
    <row r="288" spans="1:15">
      <c r="A288" s="119"/>
      <c r="B288" s="331" t="s">
        <v>877</v>
      </c>
      <c r="C288">
        <v>0</v>
      </c>
      <c r="D288" s="953">
        <v>0</v>
      </c>
      <c r="E288" s="953">
        <v>0</v>
      </c>
      <c r="F288" s="953">
        <v>0</v>
      </c>
      <c r="G288" s="953">
        <v>0</v>
      </c>
      <c r="H288" s="953">
        <v>0</v>
      </c>
      <c r="I288" s="1126">
        <v>0</v>
      </c>
      <c r="J288" s="1126">
        <v>0</v>
      </c>
      <c r="K288" s="1126">
        <v>0</v>
      </c>
      <c r="L288" s="953">
        <v>0</v>
      </c>
      <c r="M288" s="953">
        <v>0</v>
      </c>
      <c r="N288" s="1126">
        <v>0</v>
      </c>
      <c r="O288" s="953">
        <v>0</v>
      </c>
    </row>
    <row r="289" spans="1:15">
      <c r="A289" s="119"/>
      <c r="B289" s="331" t="s">
        <v>878</v>
      </c>
      <c r="C289" t="s">
        <v>409</v>
      </c>
      <c r="D289" s="953" t="s">
        <v>409</v>
      </c>
      <c r="E289" s="953" t="s">
        <v>409</v>
      </c>
      <c r="F289" s="953" t="s">
        <v>409</v>
      </c>
      <c r="G289" s="953" t="s">
        <v>409</v>
      </c>
      <c r="H289" s="953" t="s">
        <v>409</v>
      </c>
      <c r="I289" s="1126" t="s">
        <v>409</v>
      </c>
      <c r="J289" s="1126" t="s">
        <v>409</v>
      </c>
      <c r="K289" s="1126" t="s">
        <v>409</v>
      </c>
      <c r="L289" s="953" t="s">
        <v>409</v>
      </c>
      <c r="M289" s="953" t="s">
        <v>409</v>
      </c>
      <c r="N289" s="1126" t="s">
        <v>409</v>
      </c>
      <c r="O289" s="953" t="s">
        <v>409</v>
      </c>
    </row>
    <row r="290" spans="1:15">
      <c r="A290" s="119"/>
      <c r="B290" s="331" t="s">
        <v>879</v>
      </c>
      <c r="C290" t="s">
        <v>68</v>
      </c>
      <c r="D290" s="953" t="s">
        <v>68</v>
      </c>
      <c r="E290" s="953" t="s">
        <v>68</v>
      </c>
      <c r="F290" s="953" t="s">
        <v>68</v>
      </c>
      <c r="G290" s="953" t="s">
        <v>68</v>
      </c>
      <c r="H290" s="953" t="s">
        <v>68</v>
      </c>
      <c r="I290" s="1126" t="s">
        <v>68</v>
      </c>
      <c r="J290" s="1126" t="s">
        <v>68</v>
      </c>
      <c r="K290" s="1126" t="s">
        <v>68</v>
      </c>
      <c r="L290" s="953" t="s">
        <v>68</v>
      </c>
      <c r="M290" s="953" t="s">
        <v>68</v>
      </c>
      <c r="N290" s="1126" t="s">
        <v>68</v>
      </c>
      <c r="O290" s="953" t="s">
        <v>68</v>
      </c>
    </row>
    <row r="291" spans="1:15">
      <c r="A291" s="119"/>
      <c r="B291" s="331" t="s">
        <v>880</v>
      </c>
      <c r="C291">
        <v>0.5</v>
      </c>
      <c r="D291" s="958">
        <v>0.5</v>
      </c>
      <c r="E291" s="958">
        <v>0.5</v>
      </c>
      <c r="F291" s="958">
        <v>0.5</v>
      </c>
      <c r="G291" s="953">
        <v>0.5</v>
      </c>
      <c r="H291" s="953">
        <v>0.5</v>
      </c>
      <c r="I291" s="958">
        <v>0.5</v>
      </c>
      <c r="J291" s="958">
        <v>0.5</v>
      </c>
      <c r="K291" s="958">
        <v>0.5</v>
      </c>
      <c r="L291" s="953">
        <v>0.5</v>
      </c>
      <c r="M291" s="953">
        <v>0.5</v>
      </c>
      <c r="N291" s="958">
        <v>0.5</v>
      </c>
      <c r="O291" s="953">
        <v>0.5</v>
      </c>
    </row>
    <row r="292" spans="1:15">
      <c r="A292" s="119"/>
      <c r="B292" s="331" t="s">
        <v>881</v>
      </c>
      <c r="C292">
        <v>0.3</v>
      </c>
      <c r="D292" s="958">
        <v>0.3</v>
      </c>
      <c r="E292" s="958">
        <v>0.3</v>
      </c>
      <c r="F292" s="958">
        <v>0.3</v>
      </c>
      <c r="G292" s="953">
        <v>0.3</v>
      </c>
      <c r="H292" s="953">
        <v>0.3</v>
      </c>
      <c r="I292" s="958">
        <v>0.3</v>
      </c>
      <c r="J292" s="958">
        <v>0.3</v>
      </c>
      <c r="K292" s="1368">
        <v>0.28000000000000003</v>
      </c>
      <c r="L292" s="1398">
        <v>0.28000000000000003</v>
      </c>
      <c r="M292" s="1398">
        <v>0.28000000000000003</v>
      </c>
      <c r="N292" s="1368">
        <v>0.28999999999999998</v>
      </c>
      <c r="O292" s="1398">
        <v>0.28999999999999998</v>
      </c>
    </row>
    <row r="293" spans="1:15">
      <c r="A293" s="119"/>
      <c r="B293" s="331" t="s">
        <v>882</v>
      </c>
      <c r="C293">
        <v>0.3</v>
      </c>
      <c r="D293" s="958">
        <v>0.3</v>
      </c>
      <c r="E293" s="958">
        <v>0.3</v>
      </c>
      <c r="F293" s="958">
        <v>0.3</v>
      </c>
      <c r="G293" s="953">
        <v>0.3</v>
      </c>
      <c r="H293" s="953">
        <v>0.3</v>
      </c>
      <c r="I293" s="958">
        <v>0.3</v>
      </c>
      <c r="J293" s="958">
        <v>0.3</v>
      </c>
      <c r="K293" s="1368">
        <v>0.28000000000000003</v>
      </c>
      <c r="L293" s="1398">
        <v>0.28000000000000003</v>
      </c>
      <c r="M293" s="1398">
        <v>0.28000000000000003</v>
      </c>
      <c r="N293" s="1368">
        <v>0.28000000000000003</v>
      </c>
      <c r="O293" s="1398">
        <v>0.28000000000000003</v>
      </c>
    </row>
    <row r="294" spans="1:15">
      <c r="A294" s="119"/>
      <c r="B294" s="331" t="s">
        <v>883</v>
      </c>
      <c r="C294" s="147">
        <v>4</v>
      </c>
      <c r="D294" s="959">
        <v>9</v>
      </c>
      <c r="E294" s="959">
        <v>9</v>
      </c>
      <c r="F294" s="996">
        <v>8</v>
      </c>
      <c r="G294" s="1007">
        <v>8</v>
      </c>
      <c r="H294" s="1007">
        <v>8</v>
      </c>
      <c r="I294" s="1127">
        <v>8</v>
      </c>
      <c r="J294" s="996">
        <v>8</v>
      </c>
      <c r="K294" s="996">
        <v>8</v>
      </c>
      <c r="L294" s="1007">
        <v>8</v>
      </c>
      <c r="M294" s="1007">
        <v>8</v>
      </c>
      <c r="N294" s="996">
        <v>8</v>
      </c>
      <c r="O294" s="1007">
        <v>8</v>
      </c>
    </row>
    <row r="295" spans="1:15">
      <c r="A295" s="119"/>
      <c r="B295" s="331" t="s">
        <v>884</v>
      </c>
      <c r="C295">
        <v>1</v>
      </c>
      <c r="D295" s="953">
        <v>1</v>
      </c>
      <c r="E295" s="953">
        <v>1</v>
      </c>
      <c r="F295" s="953">
        <v>1</v>
      </c>
      <c r="G295" s="953">
        <v>1</v>
      </c>
      <c r="H295" s="953">
        <v>1</v>
      </c>
      <c r="I295" s="1126">
        <v>1</v>
      </c>
      <c r="J295" s="1126">
        <v>1</v>
      </c>
      <c r="K295" s="1369">
        <v>1</v>
      </c>
      <c r="L295" s="953">
        <v>1</v>
      </c>
      <c r="M295" s="953">
        <v>1</v>
      </c>
      <c r="N295" s="1126">
        <v>1</v>
      </c>
      <c r="O295" s="953">
        <v>1</v>
      </c>
    </row>
    <row r="296" spans="1:15">
      <c r="A296" s="119"/>
      <c r="B296" s="331" t="s">
        <v>885</v>
      </c>
      <c r="C296">
        <v>0.8</v>
      </c>
      <c r="D296" s="953">
        <v>0.8</v>
      </c>
      <c r="E296" s="953">
        <v>0.8</v>
      </c>
      <c r="F296" s="953">
        <v>0.8</v>
      </c>
      <c r="G296" s="953">
        <v>0.8</v>
      </c>
      <c r="H296" s="953">
        <v>0.8</v>
      </c>
      <c r="I296" s="1128">
        <v>0.6</v>
      </c>
      <c r="J296" s="1128">
        <v>0.6</v>
      </c>
      <c r="K296" s="1128">
        <v>0.6</v>
      </c>
      <c r="L296" s="1130">
        <v>0.6</v>
      </c>
      <c r="M296" s="1130">
        <v>0.6</v>
      </c>
      <c r="N296" s="1128">
        <v>0.6</v>
      </c>
      <c r="O296" s="1130">
        <v>0.6</v>
      </c>
    </row>
    <row r="297" spans="1:15">
      <c r="A297" s="119"/>
      <c r="B297" s="331" t="s">
        <v>886</v>
      </c>
      <c r="C297">
        <v>1.05</v>
      </c>
      <c r="D297" s="953">
        <v>1.05</v>
      </c>
      <c r="E297" s="953">
        <v>1.05</v>
      </c>
      <c r="F297" s="953">
        <v>1.05</v>
      </c>
      <c r="G297" s="953">
        <v>1.05</v>
      </c>
      <c r="H297" s="953">
        <v>1.05</v>
      </c>
      <c r="I297" s="1126">
        <v>1.05</v>
      </c>
      <c r="J297" s="1126">
        <v>1.05</v>
      </c>
      <c r="K297" s="1126">
        <v>1.05</v>
      </c>
      <c r="L297" s="953">
        <v>1.05</v>
      </c>
      <c r="M297" s="953">
        <v>1.05</v>
      </c>
      <c r="N297" s="1126">
        <v>1.05</v>
      </c>
      <c r="O297" s="953">
        <v>1.05</v>
      </c>
    </row>
    <row r="298" spans="1:15">
      <c r="A298" s="119"/>
      <c r="B298" s="331" t="s">
        <v>887</v>
      </c>
      <c r="C298">
        <v>1.3</v>
      </c>
      <c r="D298" s="953">
        <v>1.3</v>
      </c>
      <c r="E298" s="953">
        <v>1.3</v>
      </c>
      <c r="F298" s="953">
        <v>1.3</v>
      </c>
      <c r="G298" s="953">
        <v>1.3</v>
      </c>
      <c r="H298" s="953">
        <v>1.3</v>
      </c>
      <c r="I298" s="1126">
        <v>1.3</v>
      </c>
      <c r="J298" s="1126">
        <v>1.3</v>
      </c>
      <c r="K298" s="1126">
        <v>1.3</v>
      </c>
      <c r="L298" s="953">
        <v>1.3</v>
      </c>
      <c r="M298" s="953">
        <v>1.3</v>
      </c>
      <c r="N298" s="1126">
        <v>1.3</v>
      </c>
      <c r="O298" s="953">
        <v>1.3</v>
      </c>
    </row>
    <row r="299" spans="1:15">
      <c r="A299" s="119"/>
      <c r="B299" s="331" t="s">
        <v>888</v>
      </c>
      <c r="C299">
        <v>0</v>
      </c>
      <c r="D299" s="953">
        <v>0</v>
      </c>
      <c r="E299" s="953">
        <v>0</v>
      </c>
      <c r="F299" s="953">
        <v>0</v>
      </c>
      <c r="G299" s="953">
        <v>0</v>
      </c>
      <c r="H299" s="953">
        <v>0</v>
      </c>
      <c r="I299" s="1126">
        <v>0</v>
      </c>
      <c r="J299" s="1126">
        <v>0</v>
      </c>
      <c r="K299" s="1126">
        <v>0</v>
      </c>
      <c r="L299" s="953">
        <v>0</v>
      </c>
      <c r="M299" s="953">
        <v>0</v>
      </c>
      <c r="N299" s="1126">
        <v>0</v>
      </c>
      <c r="O299" s="953">
        <v>0</v>
      </c>
    </row>
    <row r="300" spans="1:15">
      <c r="A300" s="119"/>
      <c r="B300" s="331" t="s">
        <v>889</v>
      </c>
      <c r="C300">
        <v>0</v>
      </c>
      <c r="D300" s="953">
        <v>0</v>
      </c>
      <c r="E300" s="953">
        <v>0</v>
      </c>
      <c r="F300" s="953">
        <v>0</v>
      </c>
      <c r="G300" s="953">
        <v>0</v>
      </c>
      <c r="H300" s="953">
        <v>0</v>
      </c>
      <c r="I300" s="1126">
        <v>0</v>
      </c>
      <c r="J300" s="1126">
        <v>0</v>
      </c>
      <c r="K300" s="1126">
        <v>0</v>
      </c>
      <c r="L300" s="953">
        <v>0</v>
      </c>
      <c r="M300" s="953">
        <v>0</v>
      </c>
      <c r="N300" s="1126">
        <v>0</v>
      </c>
      <c r="O300" s="953">
        <v>0</v>
      </c>
    </row>
    <row r="301" spans="1:15">
      <c r="A301" s="119"/>
      <c r="B301" s="331" t="s">
        <v>890</v>
      </c>
      <c r="C301" t="s">
        <v>409</v>
      </c>
      <c r="D301" s="953" t="s">
        <v>409</v>
      </c>
      <c r="E301" s="953" t="s">
        <v>409</v>
      </c>
      <c r="F301" s="953" t="s">
        <v>409</v>
      </c>
      <c r="G301" s="953" t="s">
        <v>409</v>
      </c>
      <c r="H301" s="953" t="s">
        <v>409</v>
      </c>
      <c r="I301" s="1126" t="s">
        <v>409</v>
      </c>
      <c r="J301" s="1126" t="s">
        <v>409</v>
      </c>
      <c r="K301" s="1126" t="s">
        <v>409</v>
      </c>
      <c r="L301" s="953" t="s">
        <v>409</v>
      </c>
      <c r="M301" s="953" t="s">
        <v>409</v>
      </c>
      <c r="N301" s="1126" t="s">
        <v>409</v>
      </c>
      <c r="O301" s="953" t="s">
        <v>409</v>
      </c>
    </row>
    <row r="302" spans="1:15">
      <c r="A302" s="119"/>
      <c r="B302" s="331" t="s">
        <v>891</v>
      </c>
      <c r="C302" t="s">
        <v>433</v>
      </c>
      <c r="D302" s="953" t="s">
        <v>433</v>
      </c>
      <c r="E302" s="953" t="s">
        <v>433</v>
      </c>
      <c r="F302" s="953" t="s">
        <v>433</v>
      </c>
      <c r="G302" s="953" t="s">
        <v>433</v>
      </c>
      <c r="H302" s="953" t="s">
        <v>433</v>
      </c>
      <c r="I302" s="1126" t="s">
        <v>433</v>
      </c>
      <c r="J302" s="1126" t="s">
        <v>433</v>
      </c>
      <c r="K302" s="1126" t="s">
        <v>433</v>
      </c>
      <c r="L302" s="953" t="s">
        <v>433</v>
      </c>
      <c r="M302" s="953" t="s">
        <v>433</v>
      </c>
      <c r="N302" s="1126" t="s">
        <v>433</v>
      </c>
      <c r="O302" s="953" t="s">
        <v>433</v>
      </c>
    </row>
    <row r="303" spans="1:15">
      <c r="A303" s="119"/>
      <c r="B303" s="331" t="s">
        <v>892</v>
      </c>
      <c r="C303">
        <v>0.5</v>
      </c>
      <c r="D303" s="958">
        <v>0.5</v>
      </c>
      <c r="E303" s="958">
        <v>0.5</v>
      </c>
      <c r="F303" s="958">
        <v>0.5</v>
      </c>
      <c r="G303" s="953">
        <v>0.5</v>
      </c>
      <c r="H303" s="953">
        <v>0.5</v>
      </c>
      <c r="I303" s="958">
        <v>0.5</v>
      </c>
      <c r="J303" s="958">
        <v>0.5</v>
      </c>
      <c r="K303" s="958">
        <v>0.5</v>
      </c>
      <c r="L303" s="953">
        <v>0.5</v>
      </c>
      <c r="M303" s="953">
        <v>0.5</v>
      </c>
      <c r="N303" s="958">
        <v>0.5</v>
      </c>
      <c r="O303" s="953">
        <v>0.5</v>
      </c>
    </row>
    <row r="304" spans="1:15">
      <c r="A304" s="119"/>
      <c r="B304" s="331" t="s">
        <v>893</v>
      </c>
      <c r="C304">
        <v>0.3</v>
      </c>
      <c r="D304" s="958">
        <v>0.3</v>
      </c>
      <c r="E304" s="958">
        <v>0.3</v>
      </c>
      <c r="F304" s="958">
        <v>0.3</v>
      </c>
      <c r="G304" s="953">
        <v>0.3</v>
      </c>
      <c r="H304" s="953">
        <v>0.3</v>
      </c>
      <c r="I304" s="958">
        <v>0.3</v>
      </c>
      <c r="J304" s="958">
        <v>0.3</v>
      </c>
      <c r="K304" s="1368">
        <v>0.28000000000000003</v>
      </c>
      <c r="L304" s="1398">
        <v>0.28000000000000003</v>
      </c>
      <c r="M304" s="1398">
        <v>0.28000000000000003</v>
      </c>
      <c r="N304" s="1368">
        <v>0.28999999999999998</v>
      </c>
      <c r="O304" s="1398">
        <v>0.28999999999999998</v>
      </c>
    </row>
    <row r="305" spans="1:15">
      <c r="A305" s="119"/>
      <c r="B305" s="331" t="s">
        <v>894</v>
      </c>
      <c r="C305">
        <v>0.3</v>
      </c>
      <c r="D305" s="958">
        <v>0.3</v>
      </c>
      <c r="E305" s="958">
        <v>0.3</v>
      </c>
      <c r="F305" s="958">
        <v>0.3</v>
      </c>
      <c r="G305" s="953">
        <v>0.3</v>
      </c>
      <c r="H305" s="953">
        <v>0.3</v>
      </c>
      <c r="I305" s="958">
        <v>0.3</v>
      </c>
      <c r="J305" s="958">
        <v>0.3</v>
      </c>
      <c r="K305" s="1368">
        <v>0.28000000000000003</v>
      </c>
      <c r="L305" s="1398">
        <v>0.28000000000000003</v>
      </c>
      <c r="M305" s="1398">
        <v>0.28000000000000003</v>
      </c>
      <c r="N305" s="1368">
        <v>0.28000000000000003</v>
      </c>
      <c r="O305" s="1398">
        <v>0.28000000000000003</v>
      </c>
    </row>
    <row r="306" spans="1:15">
      <c r="A306" s="119"/>
      <c r="B306" s="331" t="s">
        <v>895</v>
      </c>
      <c r="C306" s="147">
        <v>3.5</v>
      </c>
      <c r="D306" s="959">
        <v>8</v>
      </c>
      <c r="E306" s="959">
        <v>8</v>
      </c>
      <c r="F306" s="996">
        <v>7.5</v>
      </c>
      <c r="G306" s="1007">
        <v>7.5</v>
      </c>
      <c r="H306" s="1007">
        <v>7.5</v>
      </c>
      <c r="I306" s="1127">
        <v>7.5</v>
      </c>
      <c r="J306" s="996">
        <v>7.5</v>
      </c>
      <c r="K306" s="996">
        <v>7.5</v>
      </c>
      <c r="L306" s="1007">
        <v>7.5</v>
      </c>
      <c r="M306" s="1007">
        <v>7.5</v>
      </c>
      <c r="N306" s="996">
        <v>7.5</v>
      </c>
      <c r="O306" s="1007">
        <v>7.5</v>
      </c>
    </row>
    <row r="307" spans="1:15">
      <c r="A307" s="119"/>
      <c r="B307" s="331" t="s">
        <v>896</v>
      </c>
      <c r="C307">
        <v>1</v>
      </c>
      <c r="D307" s="953">
        <v>1</v>
      </c>
      <c r="E307" s="953">
        <v>1</v>
      </c>
      <c r="F307" s="953">
        <v>1</v>
      </c>
      <c r="G307" s="953">
        <v>1</v>
      </c>
      <c r="H307" s="953">
        <v>1</v>
      </c>
      <c r="I307" s="1126">
        <v>1</v>
      </c>
      <c r="J307" s="1126">
        <v>1</v>
      </c>
      <c r="K307" s="1369">
        <v>1</v>
      </c>
      <c r="L307" s="953">
        <v>1</v>
      </c>
      <c r="M307" s="953">
        <v>1</v>
      </c>
      <c r="N307" s="1126">
        <v>1</v>
      </c>
      <c r="O307" s="953">
        <v>1</v>
      </c>
    </row>
    <row r="308" spans="1:15">
      <c r="A308" s="119"/>
      <c r="B308" s="331" t="s">
        <v>897</v>
      </c>
      <c r="C308">
        <v>0.8</v>
      </c>
      <c r="D308" s="953">
        <v>0.8</v>
      </c>
      <c r="E308" s="953">
        <v>0.8</v>
      </c>
      <c r="F308" s="953">
        <v>0.8</v>
      </c>
      <c r="G308" s="953">
        <v>0.8</v>
      </c>
      <c r="H308" s="953">
        <v>0.8</v>
      </c>
      <c r="I308" s="1128">
        <v>0.55000000000000004</v>
      </c>
      <c r="J308" s="1128">
        <v>0.55000000000000004</v>
      </c>
      <c r="K308" s="1128">
        <v>0.55000000000000004</v>
      </c>
      <c r="L308" s="1130">
        <v>0.55000000000000004</v>
      </c>
      <c r="M308" s="1130">
        <v>0.55000000000000004</v>
      </c>
      <c r="N308" s="1128">
        <v>0.55000000000000004</v>
      </c>
      <c r="O308" s="1130">
        <v>0.55000000000000004</v>
      </c>
    </row>
    <row r="309" spans="1:15">
      <c r="A309" s="119"/>
      <c r="B309" s="331" t="s">
        <v>898</v>
      </c>
      <c r="C309">
        <v>1.05</v>
      </c>
      <c r="D309" s="953">
        <v>1.05</v>
      </c>
      <c r="E309" s="953">
        <v>1.05</v>
      </c>
      <c r="F309" s="953">
        <v>1.05</v>
      </c>
      <c r="G309" s="953">
        <v>1.05</v>
      </c>
      <c r="H309" s="953">
        <v>1.05</v>
      </c>
      <c r="I309" s="1126">
        <v>1.05</v>
      </c>
      <c r="J309" s="1126">
        <v>1.05</v>
      </c>
      <c r="K309" s="1126">
        <v>1.05</v>
      </c>
      <c r="L309" s="953">
        <v>1.05</v>
      </c>
      <c r="M309" s="953">
        <v>1.05</v>
      </c>
      <c r="N309" s="1126">
        <v>1.05</v>
      </c>
      <c r="O309" s="953">
        <v>1.05</v>
      </c>
    </row>
    <row r="310" spans="1:15">
      <c r="A310" s="119"/>
      <c r="B310" s="331" t="s">
        <v>899</v>
      </c>
      <c r="C310">
        <v>1.3</v>
      </c>
      <c r="D310" s="953">
        <v>1.3</v>
      </c>
      <c r="E310" s="953">
        <v>1.3</v>
      </c>
      <c r="F310" s="953">
        <v>1.3</v>
      </c>
      <c r="G310" s="953">
        <v>1.3</v>
      </c>
      <c r="H310" s="953">
        <v>1.3</v>
      </c>
      <c r="I310" s="1126">
        <v>1.3</v>
      </c>
      <c r="J310" s="1126">
        <v>1.3</v>
      </c>
      <c r="K310" s="1126">
        <v>1.3</v>
      </c>
      <c r="L310" s="953">
        <v>1.3</v>
      </c>
      <c r="M310" s="953">
        <v>1.3</v>
      </c>
      <c r="N310" s="1126">
        <v>1.3</v>
      </c>
      <c r="O310" s="953">
        <v>1.3</v>
      </c>
    </row>
    <row r="311" spans="1:15">
      <c r="A311" s="119"/>
      <c r="B311" s="331" t="s">
        <v>900</v>
      </c>
      <c r="C311">
        <v>0</v>
      </c>
      <c r="D311" s="953">
        <v>0</v>
      </c>
      <c r="E311" s="953">
        <v>0</v>
      </c>
      <c r="F311" s="953">
        <v>0</v>
      </c>
      <c r="G311" s="953">
        <v>0</v>
      </c>
      <c r="H311" s="953">
        <v>0</v>
      </c>
      <c r="I311" s="1126">
        <v>0</v>
      </c>
      <c r="J311" s="1126">
        <v>0</v>
      </c>
      <c r="K311" s="1126">
        <v>0</v>
      </c>
      <c r="L311" s="953">
        <v>0</v>
      </c>
      <c r="M311" s="953">
        <v>0</v>
      </c>
      <c r="N311" s="1126">
        <v>0</v>
      </c>
      <c r="O311" s="953">
        <v>0</v>
      </c>
    </row>
    <row r="312" spans="1:15">
      <c r="A312" s="119"/>
      <c r="B312" s="331" t="s">
        <v>901</v>
      </c>
      <c r="C312">
        <v>0</v>
      </c>
      <c r="D312" s="953">
        <v>0</v>
      </c>
      <c r="E312" s="953">
        <v>0</v>
      </c>
      <c r="F312" s="953">
        <v>0</v>
      </c>
      <c r="G312" s="953">
        <v>0</v>
      </c>
      <c r="H312" s="953">
        <v>0</v>
      </c>
      <c r="I312" s="1126">
        <v>0</v>
      </c>
      <c r="J312" s="1126">
        <v>0</v>
      </c>
      <c r="K312" s="1126">
        <v>0</v>
      </c>
      <c r="L312" s="953">
        <v>0</v>
      </c>
      <c r="M312" s="953">
        <v>0</v>
      </c>
      <c r="N312" s="1126">
        <v>0</v>
      </c>
      <c r="O312" s="953">
        <v>0</v>
      </c>
    </row>
    <row r="313" spans="1:15">
      <c r="A313" s="119"/>
      <c r="B313" s="331" t="s">
        <v>902</v>
      </c>
      <c r="C313" t="s">
        <v>409</v>
      </c>
      <c r="D313" s="953" t="s">
        <v>409</v>
      </c>
      <c r="E313" s="953" t="s">
        <v>409</v>
      </c>
      <c r="F313" s="953" t="s">
        <v>409</v>
      </c>
      <c r="G313" s="953" t="s">
        <v>409</v>
      </c>
      <c r="H313" s="953" t="s">
        <v>409</v>
      </c>
      <c r="I313" s="1126" t="s">
        <v>409</v>
      </c>
      <c r="J313" s="1126" t="s">
        <v>409</v>
      </c>
      <c r="K313" s="1126" t="s">
        <v>409</v>
      </c>
      <c r="L313" s="953" t="s">
        <v>409</v>
      </c>
      <c r="M313" s="953" t="s">
        <v>409</v>
      </c>
      <c r="N313" s="1126" t="s">
        <v>409</v>
      </c>
      <c r="O313" s="953" t="s">
        <v>409</v>
      </c>
    </row>
    <row r="314" spans="1:15">
      <c r="A314" s="119"/>
      <c r="B314" s="331" t="s">
        <v>903</v>
      </c>
      <c r="C314" t="s">
        <v>434</v>
      </c>
      <c r="D314" s="953" t="s">
        <v>434</v>
      </c>
      <c r="E314" s="953" t="s">
        <v>434</v>
      </c>
      <c r="F314" s="953" t="s">
        <v>434</v>
      </c>
      <c r="G314" s="953" t="s">
        <v>434</v>
      </c>
      <c r="H314" s="953" t="s">
        <v>434</v>
      </c>
      <c r="I314" s="1126" t="s">
        <v>434</v>
      </c>
      <c r="J314" s="1126" t="s">
        <v>434</v>
      </c>
      <c r="K314" s="1126" t="s">
        <v>434</v>
      </c>
      <c r="L314" s="953" t="s">
        <v>434</v>
      </c>
      <c r="M314" s="953" t="s">
        <v>434</v>
      </c>
      <c r="N314" s="1126" t="s">
        <v>434</v>
      </c>
      <c r="O314" s="953" t="s">
        <v>434</v>
      </c>
    </row>
    <row r="315" spans="1:15">
      <c r="A315" s="119"/>
      <c r="B315" s="331" t="s">
        <v>904</v>
      </c>
      <c r="C315">
        <v>0.5</v>
      </c>
      <c r="D315" s="958">
        <v>0.5</v>
      </c>
      <c r="E315" s="958">
        <v>0.5</v>
      </c>
      <c r="F315" s="958">
        <v>0.5</v>
      </c>
      <c r="G315" s="953">
        <v>0.5</v>
      </c>
      <c r="H315" s="953">
        <v>0.5</v>
      </c>
      <c r="I315" s="958">
        <v>0.5</v>
      </c>
      <c r="J315" s="958">
        <v>0.5</v>
      </c>
      <c r="K315" s="958">
        <v>0.5</v>
      </c>
      <c r="L315" s="953">
        <v>0.5</v>
      </c>
      <c r="M315" s="953">
        <v>0.5</v>
      </c>
      <c r="N315" s="958">
        <v>0.5</v>
      </c>
      <c r="O315" s="953">
        <v>0.5</v>
      </c>
    </row>
    <row r="316" spans="1:15">
      <c r="A316" s="119"/>
      <c r="B316" s="331" t="s">
        <v>905</v>
      </c>
      <c r="C316">
        <v>0.3</v>
      </c>
      <c r="D316" s="958">
        <v>0.3</v>
      </c>
      <c r="E316" s="958">
        <v>0.3</v>
      </c>
      <c r="F316" s="958">
        <v>0.3</v>
      </c>
      <c r="G316" s="953">
        <v>0.3</v>
      </c>
      <c r="H316" s="953">
        <v>0.3</v>
      </c>
      <c r="I316" s="958">
        <v>0.3</v>
      </c>
      <c r="J316" s="958">
        <v>0.3</v>
      </c>
      <c r="K316" s="1368">
        <v>0.28000000000000003</v>
      </c>
      <c r="L316" s="1398">
        <v>0.28000000000000003</v>
      </c>
      <c r="M316" s="1398">
        <v>0.28000000000000003</v>
      </c>
      <c r="N316" s="1368">
        <v>0.28999999999999998</v>
      </c>
      <c r="O316" s="1398">
        <v>0.28999999999999998</v>
      </c>
    </row>
    <row r="317" spans="1:15">
      <c r="A317" s="119"/>
      <c r="B317" s="331" t="s">
        <v>906</v>
      </c>
      <c r="C317">
        <v>0.3</v>
      </c>
      <c r="D317" s="958">
        <v>0.3</v>
      </c>
      <c r="E317" s="958">
        <v>0.3</v>
      </c>
      <c r="F317" s="958">
        <v>0.3</v>
      </c>
      <c r="G317" s="953">
        <v>0.3</v>
      </c>
      <c r="H317" s="953">
        <v>0.3</v>
      </c>
      <c r="I317" s="958">
        <v>0.3</v>
      </c>
      <c r="J317" s="958">
        <v>0.3</v>
      </c>
      <c r="K317" s="1368">
        <v>0.28000000000000003</v>
      </c>
      <c r="L317" s="1398">
        <v>0.28000000000000003</v>
      </c>
      <c r="M317" s="1398">
        <v>0.28000000000000003</v>
      </c>
      <c r="N317" s="1368">
        <v>0.28000000000000003</v>
      </c>
      <c r="O317" s="1398">
        <v>0.28000000000000003</v>
      </c>
    </row>
    <row r="318" spans="1:15">
      <c r="A318" s="119"/>
      <c r="B318" s="331" t="s">
        <v>907</v>
      </c>
      <c r="C318" s="147">
        <v>3.5</v>
      </c>
      <c r="D318" s="959">
        <v>8</v>
      </c>
      <c r="E318" s="959">
        <v>8</v>
      </c>
      <c r="F318" s="996">
        <v>7.5</v>
      </c>
      <c r="G318" s="1007">
        <v>7.5</v>
      </c>
      <c r="H318" s="1007">
        <v>7.5</v>
      </c>
      <c r="I318" s="1127">
        <v>7.5</v>
      </c>
      <c r="J318" s="996">
        <v>7.5</v>
      </c>
      <c r="K318" s="996">
        <v>7.5</v>
      </c>
      <c r="L318" s="1007">
        <v>7.5</v>
      </c>
      <c r="M318" s="1007">
        <v>7.5</v>
      </c>
      <c r="N318" s="996">
        <v>7.5</v>
      </c>
      <c r="O318" s="1007">
        <v>7.5</v>
      </c>
    </row>
    <row r="319" spans="1:15">
      <c r="A319" s="119"/>
      <c r="B319" s="331" t="s">
        <v>908</v>
      </c>
      <c r="C319">
        <v>1</v>
      </c>
      <c r="D319" s="953">
        <v>1</v>
      </c>
      <c r="E319" s="953">
        <v>1</v>
      </c>
      <c r="F319" s="953">
        <v>1</v>
      </c>
      <c r="G319" s="953">
        <v>1</v>
      </c>
      <c r="H319" s="953">
        <v>1</v>
      </c>
      <c r="I319" s="1126">
        <v>1</v>
      </c>
      <c r="J319" s="1126">
        <v>1</v>
      </c>
      <c r="K319" s="1369">
        <v>1</v>
      </c>
      <c r="L319" s="953">
        <v>1</v>
      </c>
      <c r="M319" s="953">
        <v>1</v>
      </c>
      <c r="N319" s="1126">
        <v>1</v>
      </c>
      <c r="O319" s="953">
        <v>1</v>
      </c>
    </row>
    <row r="320" spans="1:15">
      <c r="A320" s="119"/>
      <c r="B320" s="331" t="s">
        <v>909</v>
      </c>
      <c r="C320">
        <v>0.8</v>
      </c>
      <c r="D320" s="953">
        <v>0.8</v>
      </c>
      <c r="E320" s="953">
        <v>0.8</v>
      </c>
      <c r="F320" s="953">
        <v>0.8</v>
      </c>
      <c r="G320" s="953">
        <v>0.8</v>
      </c>
      <c r="H320" s="953">
        <v>0.8</v>
      </c>
      <c r="I320" s="1128">
        <v>0.5</v>
      </c>
      <c r="J320" s="1128">
        <v>0.5</v>
      </c>
      <c r="K320" s="1128">
        <v>0.5</v>
      </c>
      <c r="L320" s="1130">
        <v>0.5</v>
      </c>
      <c r="M320" s="1130">
        <v>0.5</v>
      </c>
      <c r="N320" s="1128">
        <v>0.5</v>
      </c>
      <c r="O320" s="1130">
        <v>0.5</v>
      </c>
    </row>
    <row r="321" spans="1:15">
      <c r="A321" s="119"/>
      <c r="B321" s="331" t="s">
        <v>910</v>
      </c>
      <c r="C321">
        <v>1.05</v>
      </c>
      <c r="D321" s="953">
        <v>1.05</v>
      </c>
      <c r="E321" s="953">
        <v>1.05</v>
      </c>
      <c r="F321" s="953">
        <v>1.05</v>
      </c>
      <c r="G321" s="953">
        <v>1.05</v>
      </c>
      <c r="H321" s="953">
        <v>1.05</v>
      </c>
      <c r="I321" s="1126">
        <v>1.05</v>
      </c>
      <c r="J321" s="1126">
        <v>1.05</v>
      </c>
      <c r="K321" s="1126">
        <v>1.05</v>
      </c>
      <c r="L321" s="953">
        <v>1.05</v>
      </c>
      <c r="M321" s="953">
        <v>1.05</v>
      </c>
      <c r="N321" s="1126">
        <v>1.05</v>
      </c>
      <c r="O321" s="953">
        <v>1.05</v>
      </c>
    </row>
    <row r="322" spans="1:15">
      <c r="A322" s="119"/>
      <c r="B322" s="331" t="s">
        <v>911</v>
      </c>
      <c r="C322">
        <v>1.3</v>
      </c>
      <c r="D322" s="953">
        <v>1.3</v>
      </c>
      <c r="E322" s="953">
        <v>1.3</v>
      </c>
      <c r="F322" s="953">
        <v>1.3</v>
      </c>
      <c r="G322" s="953">
        <v>1.3</v>
      </c>
      <c r="H322" s="953">
        <v>1.3</v>
      </c>
      <c r="I322" s="1126">
        <v>1.3</v>
      </c>
      <c r="J322" s="1126">
        <v>1.3</v>
      </c>
      <c r="K322" s="1126">
        <v>1.3</v>
      </c>
      <c r="L322" s="953">
        <v>1.3</v>
      </c>
      <c r="M322" s="953">
        <v>1.3</v>
      </c>
      <c r="N322" s="1126">
        <v>1.3</v>
      </c>
      <c r="O322" s="953">
        <v>1.3</v>
      </c>
    </row>
    <row r="323" spans="1:15">
      <c r="A323" s="119"/>
      <c r="B323" s="331" t="s">
        <v>912</v>
      </c>
      <c r="C323">
        <v>0</v>
      </c>
      <c r="D323" s="953">
        <v>0</v>
      </c>
      <c r="E323" s="953">
        <v>0</v>
      </c>
      <c r="F323" s="953">
        <v>0</v>
      </c>
      <c r="G323" s="953">
        <v>0</v>
      </c>
      <c r="H323" s="953">
        <v>0</v>
      </c>
      <c r="I323" s="1126">
        <v>0</v>
      </c>
      <c r="J323" s="1126">
        <v>0</v>
      </c>
      <c r="K323" s="1126">
        <v>0</v>
      </c>
      <c r="L323" s="953">
        <v>0</v>
      </c>
      <c r="M323" s="953">
        <v>0</v>
      </c>
      <c r="N323" s="1126">
        <v>0</v>
      </c>
      <c r="O323" s="953">
        <v>0</v>
      </c>
    </row>
    <row r="324" spans="1:15">
      <c r="A324" s="119"/>
      <c r="B324" s="331" t="s">
        <v>913</v>
      </c>
      <c r="C324">
        <v>0</v>
      </c>
      <c r="D324" s="953">
        <v>0</v>
      </c>
      <c r="E324" s="953">
        <v>0</v>
      </c>
      <c r="F324" s="953">
        <v>0</v>
      </c>
      <c r="G324" s="953">
        <v>0</v>
      </c>
      <c r="H324" s="953">
        <v>0</v>
      </c>
      <c r="I324" s="1126">
        <v>0</v>
      </c>
      <c r="J324" s="1126">
        <v>0</v>
      </c>
      <c r="K324" s="1126">
        <v>0</v>
      </c>
      <c r="L324" s="953">
        <v>0</v>
      </c>
      <c r="M324" s="953">
        <v>0</v>
      </c>
      <c r="N324" s="1126">
        <v>0</v>
      </c>
      <c r="O324" s="953">
        <v>0</v>
      </c>
    </row>
    <row r="325" spans="1:15">
      <c r="A325" s="119"/>
      <c r="B325" s="331" t="s">
        <v>914</v>
      </c>
      <c r="C325" t="s">
        <v>409</v>
      </c>
      <c r="D325" s="953" t="s">
        <v>409</v>
      </c>
      <c r="E325" s="953" t="s">
        <v>409</v>
      </c>
      <c r="F325" s="953" t="s">
        <v>409</v>
      </c>
      <c r="G325" s="953" t="s">
        <v>409</v>
      </c>
      <c r="H325" s="953" t="s">
        <v>409</v>
      </c>
      <c r="I325" s="1126" t="s">
        <v>409</v>
      </c>
      <c r="J325" s="1126" t="s">
        <v>409</v>
      </c>
      <c r="K325" s="1126" t="s">
        <v>409</v>
      </c>
      <c r="L325" s="953" t="s">
        <v>409</v>
      </c>
      <c r="M325" s="953" t="s">
        <v>409</v>
      </c>
      <c r="N325" s="1126" t="s">
        <v>409</v>
      </c>
      <c r="O325" s="953" t="s">
        <v>409</v>
      </c>
    </row>
    <row r="326" spans="1:15">
      <c r="A326" s="119"/>
      <c r="B326" s="331" t="s">
        <v>915</v>
      </c>
      <c r="C326" t="s">
        <v>435</v>
      </c>
      <c r="D326" s="953" t="s">
        <v>435</v>
      </c>
      <c r="E326" s="953" t="s">
        <v>435</v>
      </c>
      <c r="F326" s="953" t="s">
        <v>435</v>
      </c>
      <c r="G326" s="953" t="s">
        <v>435</v>
      </c>
      <c r="H326" s="953" t="s">
        <v>435</v>
      </c>
      <c r="I326" s="1126" t="s">
        <v>435</v>
      </c>
      <c r="J326" s="1126" t="s">
        <v>435</v>
      </c>
      <c r="K326" s="1126" t="s">
        <v>435</v>
      </c>
      <c r="L326" s="953" t="s">
        <v>435</v>
      </c>
      <c r="M326" s="953" t="s">
        <v>435</v>
      </c>
      <c r="N326" s="1126" t="s">
        <v>435</v>
      </c>
      <c r="O326" s="953" t="s">
        <v>435</v>
      </c>
    </row>
    <row r="327" spans="1:15">
      <c r="A327" s="119"/>
      <c r="B327" s="331" t="s">
        <v>916</v>
      </c>
      <c r="C327">
        <v>0.5</v>
      </c>
      <c r="D327" s="958">
        <v>0.5</v>
      </c>
      <c r="E327" s="958">
        <v>0.5</v>
      </c>
      <c r="F327" s="958">
        <v>0.5</v>
      </c>
      <c r="G327" s="953">
        <v>0.5</v>
      </c>
      <c r="H327" s="953">
        <v>0.5</v>
      </c>
      <c r="I327" s="958">
        <v>0.5</v>
      </c>
      <c r="J327" s="958">
        <v>0.5</v>
      </c>
      <c r="K327" s="958">
        <v>0.5</v>
      </c>
      <c r="L327" s="953">
        <v>0.5</v>
      </c>
      <c r="M327" s="953">
        <v>0.5</v>
      </c>
      <c r="N327" s="958">
        <v>0.5</v>
      </c>
      <c r="O327" s="953">
        <v>0.5</v>
      </c>
    </row>
    <row r="328" spans="1:15">
      <c r="A328" s="119"/>
      <c r="B328" s="331" t="s">
        <v>917</v>
      </c>
      <c r="C328">
        <v>0.3</v>
      </c>
      <c r="D328" s="958">
        <v>0.3</v>
      </c>
      <c r="E328" s="958">
        <v>0.3</v>
      </c>
      <c r="F328" s="958">
        <v>0.3</v>
      </c>
      <c r="G328" s="953">
        <v>0.3</v>
      </c>
      <c r="H328" s="953">
        <v>0.3</v>
      </c>
      <c r="I328" s="958">
        <v>0.3</v>
      </c>
      <c r="J328" s="958">
        <v>0.3</v>
      </c>
      <c r="K328" s="1368">
        <v>0.28000000000000003</v>
      </c>
      <c r="L328" s="1398">
        <v>0.28000000000000003</v>
      </c>
      <c r="M328" s="1398">
        <v>0.28000000000000003</v>
      </c>
      <c r="N328" s="1368">
        <v>0.28999999999999998</v>
      </c>
      <c r="O328" s="1398">
        <v>0.28999999999999998</v>
      </c>
    </row>
    <row r="329" spans="1:15">
      <c r="A329" s="119"/>
      <c r="B329" s="331" t="s">
        <v>918</v>
      </c>
      <c r="C329">
        <v>0.3</v>
      </c>
      <c r="D329" s="958">
        <v>0.3</v>
      </c>
      <c r="E329" s="958">
        <v>0.3</v>
      </c>
      <c r="F329" s="958">
        <v>0.3</v>
      </c>
      <c r="G329" s="953">
        <v>0.3</v>
      </c>
      <c r="H329" s="953">
        <v>0.3</v>
      </c>
      <c r="I329" s="958">
        <v>0.3</v>
      </c>
      <c r="J329" s="958">
        <v>0.3</v>
      </c>
      <c r="K329" s="1368">
        <v>0.28000000000000003</v>
      </c>
      <c r="L329" s="1398">
        <v>0.28000000000000003</v>
      </c>
      <c r="M329" s="1398">
        <v>0.28000000000000003</v>
      </c>
      <c r="N329" s="1368">
        <v>0.28000000000000003</v>
      </c>
      <c r="O329" s="1398">
        <v>0.28000000000000003</v>
      </c>
    </row>
    <row r="330" spans="1:15">
      <c r="A330" s="119"/>
      <c r="B330" s="331" t="s">
        <v>919</v>
      </c>
      <c r="C330" s="147">
        <v>3.5</v>
      </c>
      <c r="D330" s="959">
        <v>8</v>
      </c>
      <c r="E330" s="959">
        <v>8</v>
      </c>
      <c r="F330" s="996">
        <v>7.5</v>
      </c>
      <c r="G330" s="1007">
        <v>7.5</v>
      </c>
      <c r="H330" s="1007">
        <v>7.5</v>
      </c>
      <c r="I330" s="1127">
        <v>7.5</v>
      </c>
      <c r="J330" s="996">
        <v>7.5</v>
      </c>
      <c r="K330" s="996">
        <v>7.5</v>
      </c>
      <c r="L330" s="1007">
        <v>7.5</v>
      </c>
      <c r="M330" s="1007">
        <v>7.5</v>
      </c>
      <c r="N330" s="996">
        <v>7.5</v>
      </c>
      <c r="O330" s="1007">
        <v>7.5</v>
      </c>
    </row>
    <row r="331" spans="1:15">
      <c r="A331" s="119"/>
      <c r="B331" s="331" t="s">
        <v>920</v>
      </c>
      <c r="C331">
        <v>1</v>
      </c>
      <c r="D331" s="953">
        <v>1</v>
      </c>
      <c r="E331" s="953">
        <v>1</v>
      </c>
      <c r="F331" s="953">
        <v>1</v>
      </c>
      <c r="G331" s="953">
        <v>1</v>
      </c>
      <c r="H331" s="953">
        <v>1</v>
      </c>
      <c r="I331" s="1126">
        <v>1</v>
      </c>
      <c r="J331" s="1126">
        <v>1</v>
      </c>
      <c r="K331" s="1369">
        <v>1</v>
      </c>
      <c r="L331" s="953">
        <v>1</v>
      </c>
      <c r="M331" s="953">
        <v>1</v>
      </c>
      <c r="N331" s="1126">
        <v>1</v>
      </c>
      <c r="O331" s="953">
        <v>1</v>
      </c>
    </row>
    <row r="332" spans="1:15">
      <c r="A332" s="119"/>
      <c r="B332" s="331" t="s">
        <v>921</v>
      </c>
      <c r="C332">
        <v>0.8</v>
      </c>
      <c r="D332" s="953">
        <v>0.8</v>
      </c>
      <c r="E332" s="953">
        <v>0.8</v>
      </c>
      <c r="F332" s="953">
        <v>0.8</v>
      </c>
      <c r="G332" s="953">
        <v>0.8</v>
      </c>
      <c r="H332" s="953">
        <v>0.8</v>
      </c>
      <c r="I332" s="1128">
        <v>0.6</v>
      </c>
      <c r="J332" s="1128">
        <v>0.6</v>
      </c>
      <c r="K332" s="1128">
        <v>0.6</v>
      </c>
      <c r="L332" s="1130">
        <v>0.6</v>
      </c>
      <c r="M332" s="1130">
        <v>0.6</v>
      </c>
      <c r="N332" s="1128">
        <v>0.6</v>
      </c>
      <c r="O332" s="1130">
        <v>0.6</v>
      </c>
    </row>
    <row r="333" spans="1:15">
      <c r="A333" s="119"/>
      <c r="B333" s="331" t="s">
        <v>922</v>
      </c>
      <c r="C333">
        <v>1.05</v>
      </c>
      <c r="D333" s="953">
        <v>1.05</v>
      </c>
      <c r="E333" s="953">
        <v>1.05</v>
      </c>
      <c r="F333" s="953">
        <v>1.05</v>
      </c>
      <c r="G333" s="953">
        <v>1.05</v>
      </c>
      <c r="H333" s="953">
        <v>1.05</v>
      </c>
      <c r="I333" s="1126">
        <v>1.05</v>
      </c>
      <c r="J333" s="1126">
        <v>1.05</v>
      </c>
      <c r="K333" s="1126">
        <v>1.05</v>
      </c>
      <c r="L333" s="953">
        <v>1.05</v>
      </c>
      <c r="M333" s="953">
        <v>1.05</v>
      </c>
      <c r="N333" s="1126">
        <v>1.05</v>
      </c>
      <c r="O333" s="953">
        <v>1.05</v>
      </c>
    </row>
    <row r="334" spans="1:15">
      <c r="A334" s="119"/>
      <c r="B334" s="331" t="s">
        <v>923</v>
      </c>
      <c r="C334">
        <v>1.3</v>
      </c>
      <c r="D334" s="953">
        <v>1.3</v>
      </c>
      <c r="E334" s="953">
        <v>1.3</v>
      </c>
      <c r="F334" s="953">
        <v>1.3</v>
      </c>
      <c r="G334" s="953">
        <v>1.3</v>
      </c>
      <c r="H334" s="953">
        <v>1.3</v>
      </c>
      <c r="I334" s="1126">
        <v>1.3</v>
      </c>
      <c r="J334" s="1126">
        <v>1.3</v>
      </c>
      <c r="K334" s="1126">
        <v>1.3</v>
      </c>
      <c r="L334" s="953">
        <v>1.3</v>
      </c>
      <c r="M334" s="953">
        <v>1.3</v>
      </c>
      <c r="N334" s="1126">
        <v>1.3</v>
      </c>
      <c r="O334" s="953">
        <v>1.3</v>
      </c>
    </row>
    <row r="335" spans="1:15">
      <c r="A335" s="119"/>
      <c r="B335" s="331" t="s">
        <v>924</v>
      </c>
      <c r="C335">
        <v>0</v>
      </c>
      <c r="D335" s="953">
        <v>0</v>
      </c>
      <c r="E335" s="953">
        <v>0</v>
      </c>
      <c r="F335" s="953">
        <v>0</v>
      </c>
      <c r="G335" s="953">
        <v>0</v>
      </c>
      <c r="H335" s="953">
        <v>0</v>
      </c>
      <c r="I335" s="1126">
        <v>0</v>
      </c>
      <c r="J335" s="1126">
        <v>0</v>
      </c>
      <c r="K335" s="1126">
        <v>0</v>
      </c>
      <c r="L335" s="953">
        <v>0</v>
      </c>
      <c r="M335" s="953">
        <v>0</v>
      </c>
      <c r="N335" s="1126">
        <v>0</v>
      </c>
      <c r="O335" s="953">
        <v>0</v>
      </c>
    </row>
    <row r="336" spans="1:15">
      <c r="A336" s="119"/>
      <c r="B336" s="331" t="s">
        <v>925</v>
      </c>
      <c r="C336">
        <v>0</v>
      </c>
      <c r="D336" s="953">
        <v>0</v>
      </c>
      <c r="E336" s="953">
        <v>0</v>
      </c>
      <c r="F336" s="953">
        <v>0</v>
      </c>
      <c r="G336" s="953">
        <v>0</v>
      </c>
      <c r="H336" s="953">
        <v>0</v>
      </c>
      <c r="I336" s="1126">
        <v>0</v>
      </c>
      <c r="J336" s="1126">
        <v>0</v>
      </c>
      <c r="K336" s="1126">
        <v>0</v>
      </c>
      <c r="L336" s="953">
        <v>0</v>
      </c>
      <c r="M336" s="953">
        <v>0</v>
      </c>
      <c r="N336" s="1126">
        <v>0</v>
      </c>
      <c r="O336" s="953">
        <v>0</v>
      </c>
    </row>
    <row r="337" spans="1:15">
      <c r="A337" s="119"/>
      <c r="B337" s="331" t="s">
        <v>926</v>
      </c>
      <c r="C337" t="s">
        <v>409</v>
      </c>
      <c r="D337" s="953" t="s">
        <v>409</v>
      </c>
      <c r="E337" s="953" t="s">
        <v>409</v>
      </c>
      <c r="F337" s="953" t="s">
        <v>409</v>
      </c>
      <c r="G337" s="953" t="s">
        <v>409</v>
      </c>
      <c r="H337" s="953" t="s">
        <v>409</v>
      </c>
      <c r="I337" s="1126" t="s">
        <v>409</v>
      </c>
      <c r="J337" s="1126" t="s">
        <v>409</v>
      </c>
      <c r="K337" s="1126" t="s">
        <v>409</v>
      </c>
      <c r="L337" s="953" t="s">
        <v>409</v>
      </c>
      <c r="M337" s="953" t="s">
        <v>409</v>
      </c>
      <c r="N337" s="1126" t="s">
        <v>409</v>
      </c>
      <c r="O337" s="953" t="s">
        <v>409</v>
      </c>
    </row>
    <row r="338" spans="1:15">
      <c r="A338" s="119"/>
      <c r="B338" s="331" t="s">
        <v>927</v>
      </c>
      <c r="C338" t="s">
        <v>436</v>
      </c>
      <c r="D338" s="953" t="s">
        <v>436</v>
      </c>
      <c r="E338" s="953" t="s">
        <v>436</v>
      </c>
      <c r="F338" s="953" t="s">
        <v>436</v>
      </c>
      <c r="G338" s="953" t="s">
        <v>436</v>
      </c>
      <c r="H338" s="953" t="s">
        <v>436</v>
      </c>
      <c r="I338" s="1126" t="s">
        <v>436</v>
      </c>
      <c r="J338" s="1126" t="s">
        <v>436</v>
      </c>
      <c r="K338" s="1126" t="s">
        <v>436</v>
      </c>
      <c r="L338" s="953" t="s">
        <v>436</v>
      </c>
      <c r="M338" s="953" t="s">
        <v>436</v>
      </c>
      <c r="N338" s="1126" t="s">
        <v>436</v>
      </c>
      <c r="O338" s="953" t="s">
        <v>436</v>
      </c>
    </row>
    <row r="339" spans="1:15">
      <c r="A339" s="119"/>
      <c r="B339" s="331" t="s">
        <v>928</v>
      </c>
      <c r="C339">
        <v>0.5</v>
      </c>
      <c r="D339" s="958">
        <v>0.5</v>
      </c>
      <c r="E339" s="958">
        <v>0.5</v>
      </c>
      <c r="F339" s="958">
        <v>0.5</v>
      </c>
      <c r="G339" s="953">
        <v>0.5</v>
      </c>
      <c r="H339" s="953">
        <v>0.5</v>
      </c>
      <c r="I339" s="958">
        <v>0.5</v>
      </c>
      <c r="J339" s="958">
        <v>0.5</v>
      </c>
      <c r="K339" s="958">
        <v>0.5</v>
      </c>
      <c r="L339" s="953">
        <v>0.5</v>
      </c>
      <c r="M339" s="953">
        <v>0.5</v>
      </c>
      <c r="N339" s="958">
        <v>0.5</v>
      </c>
      <c r="O339" s="953">
        <v>0.5</v>
      </c>
    </row>
    <row r="340" spans="1:15">
      <c r="A340" s="119"/>
      <c r="B340" s="331" t="s">
        <v>929</v>
      </c>
      <c r="C340">
        <v>0.3</v>
      </c>
      <c r="D340" s="958">
        <v>0.3</v>
      </c>
      <c r="E340" s="958">
        <v>0.3</v>
      </c>
      <c r="F340" s="958">
        <v>0.3</v>
      </c>
      <c r="G340" s="953">
        <v>0.3</v>
      </c>
      <c r="H340" s="953">
        <v>0.3</v>
      </c>
      <c r="I340" s="958">
        <v>0.3</v>
      </c>
      <c r="J340" s="958">
        <v>0.3</v>
      </c>
      <c r="K340" s="1368">
        <v>0.28000000000000003</v>
      </c>
      <c r="L340" s="1398">
        <v>0.28000000000000003</v>
      </c>
      <c r="M340" s="1398">
        <v>0.28000000000000003</v>
      </c>
      <c r="N340" s="1368">
        <v>0.28999999999999998</v>
      </c>
      <c r="O340" s="1398">
        <v>0.28999999999999998</v>
      </c>
    </row>
    <row r="341" spans="1:15">
      <c r="A341" s="119"/>
      <c r="B341" s="331" t="s">
        <v>930</v>
      </c>
      <c r="C341">
        <v>0.3</v>
      </c>
      <c r="D341" s="958">
        <v>0.3</v>
      </c>
      <c r="E341" s="958">
        <v>0.3</v>
      </c>
      <c r="F341" s="958">
        <v>0.3</v>
      </c>
      <c r="G341" s="953">
        <v>0.3</v>
      </c>
      <c r="H341" s="953">
        <v>0.3</v>
      </c>
      <c r="I341" s="958">
        <v>0.3</v>
      </c>
      <c r="J341" s="958">
        <v>0.3</v>
      </c>
      <c r="K341" s="1368">
        <v>0.28000000000000003</v>
      </c>
      <c r="L341" s="1398">
        <v>0.28000000000000003</v>
      </c>
      <c r="M341" s="1398">
        <v>0.28000000000000003</v>
      </c>
      <c r="N341" s="1368">
        <v>0.28000000000000003</v>
      </c>
      <c r="O341" s="1398">
        <v>0.28000000000000003</v>
      </c>
    </row>
    <row r="342" spans="1:15">
      <c r="A342" s="119"/>
      <c r="B342" s="331" t="s">
        <v>931</v>
      </c>
      <c r="C342" s="147">
        <v>3.5</v>
      </c>
      <c r="D342" s="959">
        <v>8</v>
      </c>
      <c r="E342" s="959">
        <v>8</v>
      </c>
      <c r="F342" s="996">
        <v>7.5</v>
      </c>
      <c r="G342" s="1007">
        <v>7.5</v>
      </c>
      <c r="H342" s="1007">
        <v>7.5</v>
      </c>
      <c r="I342" s="1127">
        <v>7.5</v>
      </c>
      <c r="J342" s="996">
        <v>7.5</v>
      </c>
      <c r="K342" s="996">
        <v>7.5</v>
      </c>
      <c r="L342" s="1007">
        <v>7.5</v>
      </c>
      <c r="M342" s="1007">
        <v>7.5</v>
      </c>
      <c r="N342" s="996">
        <v>7.5</v>
      </c>
      <c r="O342" s="1007">
        <v>7.5</v>
      </c>
    </row>
    <row r="343" spans="1:15">
      <c r="A343" s="119"/>
      <c r="B343" s="331" t="s">
        <v>932</v>
      </c>
      <c r="C343">
        <v>1</v>
      </c>
      <c r="D343" s="953">
        <v>1</v>
      </c>
      <c r="E343" s="953">
        <v>1</v>
      </c>
      <c r="F343" s="953">
        <v>1</v>
      </c>
      <c r="G343" s="953">
        <v>1</v>
      </c>
      <c r="H343" s="953">
        <v>1</v>
      </c>
      <c r="I343" s="1126">
        <v>1</v>
      </c>
      <c r="J343" s="1126">
        <v>1</v>
      </c>
      <c r="K343" s="1369">
        <v>1</v>
      </c>
      <c r="L343" s="953">
        <v>1</v>
      </c>
      <c r="M343" s="953">
        <v>1</v>
      </c>
      <c r="N343" s="1126">
        <v>1</v>
      </c>
      <c r="O343" s="953">
        <v>1</v>
      </c>
    </row>
    <row r="344" spans="1:15">
      <c r="A344" s="119"/>
      <c r="B344" s="331" t="s">
        <v>933</v>
      </c>
      <c r="C344">
        <v>0.8</v>
      </c>
      <c r="D344" s="953">
        <v>0.8</v>
      </c>
      <c r="E344" s="953">
        <v>0.8</v>
      </c>
      <c r="F344" s="953">
        <v>0.8</v>
      </c>
      <c r="G344" s="953">
        <v>0.8</v>
      </c>
      <c r="H344" s="953">
        <v>0.8</v>
      </c>
      <c r="I344" s="1128">
        <v>0.5</v>
      </c>
      <c r="J344" s="1128">
        <v>0.5</v>
      </c>
      <c r="K344" s="1128">
        <v>0.5</v>
      </c>
      <c r="L344" s="1130">
        <v>0.5</v>
      </c>
      <c r="M344" s="1130">
        <v>0.5</v>
      </c>
      <c r="N344" s="1128">
        <v>0.5</v>
      </c>
      <c r="O344" s="1130">
        <v>0.5</v>
      </c>
    </row>
    <row r="345" spans="1:15">
      <c r="A345" s="119"/>
      <c r="B345" s="331" t="s">
        <v>934</v>
      </c>
      <c r="C345">
        <v>1.05</v>
      </c>
      <c r="D345" s="953">
        <v>1.05</v>
      </c>
      <c r="E345" s="953">
        <v>1.05</v>
      </c>
      <c r="F345" s="953">
        <v>1.05</v>
      </c>
      <c r="G345" s="953">
        <v>1.05</v>
      </c>
      <c r="H345" s="953">
        <v>1.05</v>
      </c>
      <c r="I345" s="1126">
        <v>1.05</v>
      </c>
      <c r="J345" s="1126">
        <v>1.05</v>
      </c>
      <c r="K345" s="1126">
        <v>1.05</v>
      </c>
      <c r="L345" s="953">
        <v>1.05</v>
      </c>
      <c r="M345" s="953">
        <v>1.05</v>
      </c>
      <c r="N345" s="1126">
        <v>1.05</v>
      </c>
      <c r="O345" s="953">
        <v>1.05</v>
      </c>
    </row>
    <row r="346" spans="1:15">
      <c r="A346" s="119"/>
      <c r="B346" s="331" t="s">
        <v>935</v>
      </c>
      <c r="C346">
        <v>1.3</v>
      </c>
      <c r="D346" s="953">
        <v>1.3</v>
      </c>
      <c r="E346" s="953">
        <v>1.3</v>
      </c>
      <c r="F346" s="953">
        <v>1.3</v>
      </c>
      <c r="G346" s="953">
        <v>1.3</v>
      </c>
      <c r="H346" s="953">
        <v>1.3</v>
      </c>
      <c r="I346" s="1126">
        <v>1.3</v>
      </c>
      <c r="J346" s="1126">
        <v>1.3</v>
      </c>
      <c r="K346" s="1126">
        <v>1.3</v>
      </c>
      <c r="L346" s="953">
        <v>1.3</v>
      </c>
      <c r="M346" s="953">
        <v>1.3</v>
      </c>
      <c r="N346" s="1126">
        <v>1.3</v>
      </c>
      <c r="O346" s="953">
        <v>1.3</v>
      </c>
    </row>
    <row r="347" spans="1:15">
      <c r="A347" s="119"/>
      <c r="B347" s="331" t="s">
        <v>936</v>
      </c>
      <c r="C347">
        <v>0</v>
      </c>
      <c r="D347" s="953">
        <v>0</v>
      </c>
      <c r="E347" s="953">
        <v>0</v>
      </c>
      <c r="F347" s="953">
        <v>0</v>
      </c>
      <c r="G347" s="953">
        <v>0</v>
      </c>
      <c r="H347" s="953">
        <v>0</v>
      </c>
      <c r="I347" s="1126">
        <v>0</v>
      </c>
      <c r="J347" s="1126">
        <v>0</v>
      </c>
      <c r="K347" s="1126">
        <v>0</v>
      </c>
      <c r="L347" s="953">
        <v>0</v>
      </c>
      <c r="M347" s="953">
        <v>0</v>
      </c>
      <c r="N347" s="1126">
        <v>0</v>
      </c>
      <c r="O347" s="953">
        <v>0</v>
      </c>
    </row>
    <row r="348" spans="1:15">
      <c r="A348" s="119"/>
      <c r="B348" s="331" t="s">
        <v>937</v>
      </c>
      <c r="C348">
        <v>0</v>
      </c>
      <c r="D348" s="953">
        <v>0</v>
      </c>
      <c r="E348" s="953">
        <v>0</v>
      </c>
      <c r="F348" s="953">
        <v>0</v>
      </c>
      <c r="G348" s="953">
        <v>0</v>
      </c>
      <c r="H348" s="953">
        <v>0</v>
      </c>
      <c r="I348" s="1126">
        <v>0</v>
      </c>
      <c r="J348" s="1126">
        <v>0</v>
      </c>
      <c r="K348" s="1126">
        <v>0</v>
      </c>
      <c r="L348" s="953">
        <v>0</v>
      </c>
      <c r="M348" s="953">
        <v>0</v>
      </c>
      <c r="N348" s="1126">
        <v>0</v>
      </c>
      <c r="O348" s="953">
        <v>0</v>
      </c>
    </row>
    <row r="349" spans="1:15">
      <c r="A349" s="119"/>
      <c r="B349" s="331" t="s">
        <v>938</v>
      </c>
      <c r="C349" t="s">
        <v>410</v>
      </c>
      <c r="D349" s="953" t="s">
        <v>410</v>
      </c>
      <c r="E349" s="953" t="s">
        <v>410</v>
      </c>
      <c r="F349" s="953" t="s">
        <v>410</v>
      </c>
      <c r="G349" s="953" t="s">
        <v>410</v>
      </c>
      <c r="H349" s="953" t="s">
        <v>410</v>
      </c>
      <c r="I349" s="1126" t="s">
        <v>410</v>
      </c>
      <c r="J349" s="1126" t="s">
        <v>410</v>
      </c>
      <c r="K349" s="1126" t="s">
        <v>410</v>
      </c>
      <c r="L349" s="953" t="s">
        <v>410</v>
      </c>
      <c r="M349" s="953" t="s">
        <v>410</v>
      </c>
      <c r="N349" s="1126" t="s">
        <v>410</v>
      </c>
      <c r="O349" s="953" t="s">
        <v>410</v>
      </c>
    </row>
    <row r="350" spans="1:15">
      <c r="A350" s="119"/>
      <c r="B350" s="331" t="s">
        <v>939</v>
      </c>
      <c r="C350" t="s">
        <v>69</v>
      </c>
      <c r="D350" s="953" t="s">
        <v>69</v>
      </c>
      <c r="E350" s="953" t="s">
        <v>69</v>
      </c>
      <c r="F350" s="953" t="s">
        <v>69</v>
      </c>
      <c r="G350" s="953" t="s">
        <v>69</v>
      </c>
      <c r="H350" s="953" t="s">
        <v>69</v>
      </c>
      <c r="I350" s="1126" t="s">
        <v>69</v>
      </c>
      <c r="J350" s="1126" t="s">
        <v>69</v>
      </c>
      <c r="K350" s="1126" t="s">
        <v>69</v>
      </c>
      <c r="L350" s="953" t="s">
        <v>69</v>
      </c>
      <c r="M350" s="953" t="s">
        <v>69</v>
      </c>
      <c r="N350" s="1126" t="s">
        <v>69</v>
      </c>
      <c r="O350" s="953" t="s">
        <v>69</v>
      </c>
    </row>
    <row r="351" spans="1:15">
      <c r="A351" s="119"/>
      <c r="B351" s="331" t="s">
        <v>940</v>
      </c>
      <c r="C351">
        <v>0.56000000000000005</v>
      </c>
      <c r="D351" s="958">
        <v>0.56000000000000005</v>
      </c>
      <c r="E351" s="958">
        <v>0.56000000000000005</v>
      </c>
      <c r="F351" s="958">
        <v>0.56000000000000005</v>
      </c>
      <c r="G351" s="953">
        <v>0.56000000000000005</v>
      </c>
      <c r="H351" s="953">
        <v>0.56000000000000005</v>
      </c>
      <c r="I351" s="958">
        <v>0.56000000000000005</v>
      </c>
      <c r="J351" s="958">
        <v>0.56000000000000005</v>
      </c>
      <c r="K351" s="958">
        <v>0.56000000000000005</v>
      </c>
      <c r="L351" s="953">
        <v>0.56000000000000005</v>
      </c>
      <c r="M351" s="953">
        <v>0.56000000000000005</v>
      </c>
      <c r="N351" s="958">
        <v>0.56000000000000005</v>
      </c>
      <c r="O351" s="953">
        <v>0.56000000000000005</v>
      </c>
    </row>
    <row r="352" spans="1:15">
      <c r="A352" s="119"/>
      <c r="B352" s="331" t="s">
        <v>941</v>
      </c>
      <c r="C352">
        <v>0.24</v>
      </c>
      <c r="D352" s="958">
        <v>0.24</v>
      </c>
      <c r="E352" s="958">
        <v>0.24</v>
      </c>
      <c r="F352" s="958">
        <v>0.24</v>
      </c>
      <c r="G352" s="953">
        <v>0.24</v>
      </c>
      <c r="H352" s="953">
        <v>0.24</v>
      </c>
      <c r="I352" s="958">
        <v>0.24</v>
      </c>
      <c r="J352" s="958">
        <v>0.24</v>
      </c>
      <c r="K352" s="1368">
        <v>0.22</v>
      </c>
      <c r="L352" s="1398">
        <v>0.22</v>
      </c>
      <c r="M352" s="1398">
        <v>0.22</v>
      </c>
      <c r="N352" s="1368">
        <v>0.28999999999999998</v>
      </c>
      <c r="O352" s="1398">
        <v>0.28999999999999998</v>
      </c>
    </row>
    <row r="353" spans="1:15">
      <c r="A353" s="119"/>
      <c r="B353" s="331" t="s">
        <v>942</v>
      </c>
      <c r="C353">
        <v>0.26</v>
      </c>
      <c r="D353" s="958">
        <v>0.26</v>
      </c>
      <c r="E353" s="958">
        <v>0.26</v>
      </c>
      <c r="F353" s="958">
        <v>0.26</v>
      </c>
      <c r="G353" s="953">
        <v>0.26</v>
      </c>
      <c r="H353" s="953">
        <v>0.26</v>
      </c>
      <c r="I353" s="958">
        <v>0.26</v>
      </c>
      <c r="J353" s="958">
        <v>0.26</v>
      </c>
      <c r="K353" s="1368">
        <v>0.24</v>
      </c>
      <c r="L353" s="1398">
        <v>0.24</v>
      </c>
      <c r="M353" s="1398">
        <v>0.24</v>
      </c>
      <c r="N353" s="1368">
        <v>0.24</v>
      </c>
      <c r="O353" s="1398">
        <v>0.24</v>
      </c>
    </row>
    <row r="354" spans="1:15">
      <c r="A354" s="119"/>
      <c r="B354" s="331" t="s">
        <v>943</v>
      </c>
      <c r="C354" s="147">
        <v>1.25</v>
      </c>
      <c r="D354" s="959">
        <v>3.3</v>
      </c>
      <c r="E354" s="959">
        <v>3.3</v>
      </c>
      <c r="F354" s="959">
        <v>3.3</v>
      </c>
      <c r="G354" s="955">
        <v>3.3</v>
      </c>
      <c r="H354" s="955">
        <v>3.3</v>
      </c>
      <c r="I354" s="1129">
        <v>3.3</v>
      </c>
      <c r="J354" s="959">
        <v>3.3</v>
      </c>
      <c r="K354" s="959">
        <v>3.3</v>
      </c>
      <c r="L354" s="955">
        <v>3.3</v>
      </c>
      <c r="M354" s="955">
        <v>3.3</v>
      </c>
      <c r="N354" s="959">
        <v>3.3</v>
      </c>
      <c r="O354" s="955">
        <v>3.3</v>
      </c>
    </row>
    <row r="355" spans="1:15">
      <c r="A355" s="119"/>
      <c r="B355" s="331" t="s">
        <v>944</v>
      </c>
      <c r="C355">
        <v>124</v>
      </c>
      <c r="D355" s="953">
        <v>124</v>
      </c>
      <c r="E355" s="953">
        <v>124</v>
      </c>
      <c r="F355" s="953">
        <v>124</v>
      </c>
      <c r="G355" s="953">
        <v>124</v>
      </c>
      <c r="H355" s="953">
        <v>124</v>
      </c>
      <c r="I355" s="1126">
        <v>124</v>
      </c>
      <c r="J355" s="1126">
        <v>124</v>
      </c>
      <c r="K355" s="1369">
        <v>124</v>
      </c>
      <c r="L355" s="953">
        <v>124</v>
      </c>
      <c r="M355" s="953">
        <v>124</v>
      </c>
      <c r="N355" s="1126">
        <v>124</v>
      </c>
      <c r="O355" s="953">
        <v>124</v>
      </c>
    </row>
    <row r="356" spans="1:15">
      <c r="A356" s="119"/>
      <c r="B356" s="331" t="s">
        <v>945</v>
      </c>
      <c r="C356">
        <v>0.8</v>
      </c>
      <c r="D356" s="953">
        <v>0.8</v>
      </c>
      <c r="E356" s="953">
        <v>0.8</v>
      </c>
      <c r="F356" s="953">
        <v>0.8</v>
      </c>
      <c r="G356" s="953">
        <v>0.8</v>
      </c>
      <c r="H356" s="953">
        <v>0.8</v>
      </c>
      <c r="I356" s="1126">
        <v>0.8</v>
      </c>
      <c r="J356" s="1126">
        <v>0.8</v>
      </c>
      <c r="K356" s="1126">
        <v>0.8</v>
      </c>
      <c r="L356" s="953">
        <v>0.8</v>
      </c>
      <c r="M356" s="953">
        <v>0.8</v>
      </c>
      <c r="N356" s="1126">
        <v>0.8</v>
      </c>
      <c r="O356" s="953">
        <v>0.8</v>
      </c>
    </row>
    <row r="357" spans="1:15">
      <c r="A357" s="119"/>
      <c r="B357" s="331" t="s">
        <v>946</v>
      </c>
      <c r="C357">
        <v>130.80000000000001</v>
      </c>
      <c r="D357" s="953">
        <v>130.80000000000001</v>
      </c>
      <c r="E357" s="953">
        <v>130.80000000000001</v>
      </c>
      <c r="F357" s="953">
        <v>130.80000000000001</v>
      </c>
      <c r="G357" s="953">
        <v>130.80000000000001</v>
      </c>
      <c r="H357" s="953">
        <v>130.80000000000001</v>
      </c>
      <c r="I357" s="1126">
        <v>130.80000000000001</v>
      </c>
      <c r="J357" s="1126">
        <v>130.80000000000001</v>
      </c>
      <c r="K357" s="1126">
        <v>130.80000000000001</v>
      </c>
      <c r="L357" s="953">
        <v>130.80000000000001</v>
      </c>
      <c r="M357" s="953">
        <v>130.80000000000001</v>
      </c>
      <c r="N357" s="1126">
        <v>130.80000000000001</v>
      </c>
      <c r="O357" s="953">
        <v>130.80000000000001</v>
      </c>
    </row>
    <row r="358" spans="1:15">
      <c r="A358" s="119"/>
      <c r="B358" s="331" t="s">
        <v>947</v>
      </c>
      <c r="C358">
        <v>160.5</v>
      </c>
      <c r="D358" s="953">
        <v>160.5</v>
      </c>
      <c r="E358" s="953">
        <v>160.5</v>
      </c>
      <c r="F358" s="953">
        <v>160.5</v>
      </c>
      <c r="G358" s="953">
        <v>160.5</v>
      </c>
      <c r="H358" s="953">
        <v>160.5</v>
      </c>
      <c r="I358" s="1126">
        <v>160.5</v>
      </c>
      <c r="J358" s="1126">
        <v>160.5</v>
      </c>
      <c r="K358" s="1126">
        <v>160.5</v>
      </c>
      <c r="L358" s="953">
        <v>160.5</v>
      </c>
      <c r="M358" s="953">
        <v>160.5</v>
      </c>
      <c r="N358" s="1126">
        <v>160.5</v>
      </c>
      <c r="O358" s="953">
        <v>160.5</v>
      </c>
    </row>
    <row r="359" spans="1:15">
      <c r="A359" s="119"/>
      <c r="B359" s="331" t="s">
        <v>948</v>
      </c>
      <c r="C359" t="s">
        <v>349</v>
      </c>
      <c r="D359" s="953" t="s">
        <v>349</v>
      </c>
      <c r="E359" s="953" t="s">
        <v>349</v>
      </c>
      <c r="F359" s="953" t="s">
        <v>349</v>
      </c>
      <c r="G359" s="953" t="s">
        <v>349</v>
      </c>
      <c r="H359" s="953" t="s">
        <v>349</v>
      </c>
      <c r="I359" s="1126" t="s">
        <v>349</v>
      </c>
      <c r="J359" s="1126" t="s">
        <v>349</v>
      </c>
      <c r="K359" s="1126" t="s">
        <v>349</v>
      </c>
      <c r="L359" s="953" t="s">
        <v>349</v>
      </c>
      <c r="M359" s="953" t="s">
        <v>349</v>
      </c>
      <c r="N359" s="1126" t="s">
        <v>349</v>
      </c>
      <c r="O359" s="953" t="s">
        <v>349</v>
      </c>
    </row>
    <row r="360" spans="1:15">
      <c r="A360" s="119"/>
      <c r="B360" s="331" t="s">
        <v>949</v>
      </c>
      <c r="C360">
        <v>16</v>
      </c>
      <c r="D360" s="953">
        <v>16</v>
      </c>
      <c r="E360" s="953">
        <v>16</v>
      </c>
      <c r="F360" s="953">
        <v>16</v>
      </c>
      <c r="G360" s="953">
        <v>16</v>
      </c>
      <c r="H360" s="953">
        <v>16</v>
      </c>
      <c r="I360" s="1126">
        <v>16</v>
      </c>
      <c r="J360" s="1126">
        <v>16</v>
      </c>
      <c r="K360" s="1126">
        <v>16</v>
      </c>
      <c r="L360" s="953">
        <v>16</v>
      </c>
      <c r="M360" s="953">
        <v>16</v>
      </c>
      <c r="N360" s="1126">
        <v>16</v>
      </c>
      <c r="O360" s="953">
        <v>16</v>
      </c>
    </row>
    <row r="361" spans="1:15">
      <c r="A361" s="119"/>
      <c r="B361" s="331" t="s">
        <v>950</v>
      </c>
      <c r="C361" t="s">
        <v>410</v>
      </c>
      <c r="D361" s="953" t="s">
        <v>410</v>
      </c>
      <c r="E361" s="953" t="s">
        <v>410</v>
      </c>
      <c r="F361" s="953" t="s">
        <v>410</v>
      </c>
      <c r="G361" s="953" t="s">
        <v>410</v>
      </c>
      <c r="H361" s="953" t="s">
        <v>410</v>
      </c>
      <c r="I361" s="1126" t="s">
        <v>410</v>
      </c>
      <c r="J361" s="1126" t="s">
        <v>410</v>
      </c>
      <c r="K361" s="1126" t="s">
        <v>410</v>
      </c>
      <c r="L361" s="953" t="s">
        <v>410</v>
      </c>
      <c r="M361" s="953" t="s">
        <v>410</v>
      </c>
      <c r="N361" s="1126" t="s">
        <v>410</v>
      </c>
      <c r="O361" s="953" t="s">
        <v>410</v>
      </c>
    </row>
    <row r="362" spans="1:15">
      <c r="A362" s="119"/>
      <c r="B362" s="331" t="s">
        <v>951</v>
      </c>
      <c r="C362" t="s">
        <v>68</v>
      </c>
      <c r="D362" s="953" t="s">
        <v>68</v>
      </c>
      <c r="E362" s="953" t="s">
        <v>68</v>
      </c>
      <c r="F362" s="953" t="s">
        <v>68</v>
      </c>
      <c r="G362" s="953" t="s">
        <v>68</v>
      </c>
      <c r="H362" s="953" t="s">
        <v>68</v>
      </c>
      <c r="I362" s="1126" t="s">
        <v>68</v>
      </c>
      <c r="J362" s="1126" t="s">
        <v>68</v>
      </c>
      <c r="K362" s="1126" t="s">
        <v>68</v>
      </c>
      <c r="L362" s="953" t="s">
        <v>68</v>
      </c>
      <c r="M362" s="953" t="s">
        <v>68</v>
      </c>
      <c r="N362" s="1126" t="s">
        <v>68</v>
      </c>
      <c r="O362" s="953" t="s">
        <v>68</v>
      </c>
    </row>
    <row r="363" spans="1:15">
      <c r="A363" s="119"/>
      <c r="B363" s="331" t="s">
        <v>952</v>
      </c>
      <c r="C363">
        <v>0.56000000000000005</v>
      </c>
      <c r="D363" s="958">
        <v>0.56000000000000005</v>
      </c>
      <c r="E363" s="958">
        <v>0.56000000000000005</v>
      </c>
      <c r="F363" s="958">
        <v>0.56000000000000005</v>
      </c>
      <c r="G363" s="953">
        <v>0.56000000000000005</v>
      </c>
      <c r="H363" s="953">
        <v>0.56000000000000005</v>
      </c>
      <c r="I363" s="958">
        <v>0.56000000000000005</v>
      </c>
      <c r="J363" s="958">
        <v>0.56000000000000005</v>
      </c>
      <c r="K363" s="958">
        <v>0.56000000000000005</v>
      </c>
      <c r="L363" s="953">
        <v>0.56000000000000005</v>
      </c>
      <c r="M363" s="953">
        <v>0.56000000000000005</v>
      </c>
      <c r="N363" s="958">
        <v>0.56000000000000005</v>
      </c>
      <c r="O363" s="953">
        <v>0.56000000000000005</v>
      </c>
    </row>
    <row r="364" spans="1:15">
      <c r="A364" s="119"/>
      <c r="B364" s="331" t="s">
        <v>953</v>
      </c>
      <c r="C364">
        <v>0.24</v>
      </c>
      <c r="D364" s="958">
        <v>0.24</v>
      </c>
      <c r="E364" s="958">
        <v>0.24</v>
      </c>
      <c r="F364" s="958">
        <v>0.24</v>
      </c>
      <c r="G364" s="953">
        <v>0.24</v>
      </c>
      <c r="H364" s="953">
        <v>0.24</v>
      </c>
      <c r="I364" s="958">
        <v>0.24</v>
      </c>
      <c r="J364" s="958">
        <v>0.24</v>
      </c>
      <c r="K364" s="1368">
        <v>0.22</v>
      </c>
      <c r="L364" s="1398">
        <v>0.22</v>
      </c>
      <c r="M364" s="1398">
        <v>0.22</v>
      </c>
      <c r="N364" s="1368">
        <v>0.28999999999999998</v>
      </c>
      <c r="O364" s="1398">
        <v>0.28999999999999998</v>
      </c>
    </row>
    <row r="365" spans="1:15">
      <c r="A365" s="119"/>
      <c r="B365" s="331" t="s">
        <v>954</v>
      </c>
      <c r="C365">
        <v>0.26</v>
      </c>
      <c r="D365" s="958">
        <v>0.26</v>
      </c>
      <c r="E365" s="958">
        <v>0.26</v>
      </c>
      <c r="F365" s="958">
        <v>0.26</v>
      </c>
      <c r="G365" s="953">
        <v>0.26</v>
      </c>
      <c r="H365" s="953">
        <v>0.26</v>
      </c>
      <c r="I365" s="958">
        <v>0.26</v>
      </c>
      <c r="J365" s="958">
        <v>0.26</v>
      </c>
      <c r="K365" s="1368">
        <v>0.24</v>
      </c>
      <c r="L365" s="1398">
        <v>0.24</v>
      </c>
      <c r="M365" s="1398">
        <v>0.24</v>
      </c>
      <c r="N365" s="1368">
        <v>0.24</v>
      </c>
      <c r="O365" s="1398">
        <v>0.24</v>
      </c>
    </row>
    <row r="366" spans="1:15">
      <c r="A366" s="119"/>
      <c r="B366" s="331" t="s">
        <v>955</v>
      </c>
      <c r="C366" s="147">
        <v>1.28</v>
      </c>
      <c r="D366" s="959">
        <v>3.3</v>
      </c>
      <c r="E366" s="959">
        <v>3.3</v>
      </c>
      <c r="F366" s="959">
        <v>3.3</v>
      </c>
      <c r="G366" s="955">
        <v>3.3</v>
      </c>
      <c r="H366" s="955">
        <v>3.3</v>
      </c>
      <c r="I366" s="1129">
        <v>3.3</v>
      </c>
      <c r="J366" s="959">
        <v>3.3</v>
      </c>
      <c r="K366" s="959">
        <v>3.3</v>
      </c>
      <c r="L366" s="955">
        <v>3.3</v>
      </c>
      <c r="M366" s="955">
        <v>3.3</v>
      </c>
      <c r="N366" s="959">
        <v>3.3</v>
      </c>
      <c r="O366" s="955">
        <v>3.3</v>
      </c>
    </row>
    <row r="367" spans="1:15">
      <c r="A367" s="119"/>
      <c r="B367" s="331" t="s">
        <v>956</v>
      </c>
      <c r="C367">
        <v>124</v>
      </c>
      <c r="D367" s="953">
        <v>124</v>
      </c>
      <c r="E367" s="953">
        <v>124</v>
      </c>
      <c r="F367" s="953">
        <v>124</v>
      </c>
      <c r="G367" s="953">
        <v>124</v>
      </c>
      <c r="H367" s="953">
        <v>124</v>
      </c>
      <c r="I367" s="1126">
        <v>124</v>
      </c>
      <c r="J367" s="1126">
        <v>124</v>
      </c>
      <c r="K367" s="1369">
        <v>124</v>
      </c>
      <c r="L367" s="953">
        <v>124</v>
      </c>
      <c r="M367" s="953">
        <v>124</v>
      </c>
      <c r="N367" s="1126">
        <v>124</v>
      </c>
      <c r="O367" s="953">
        <v>124</v>
      </c>
    </row>
    <row r="368" spans="1:15">
      <c r="A368" s="119"/>
      <c r="B368" s="331" t="s">
        <v>957</v>
      </c>
      <c r="C368">
        <v>0.8</v>
      </c>
      <c r="D368" s="953">
        <v>0.8</v>
      </c>
      <c r="E368" s="953">
        <v>0.8</v>
      </c>
      <c r="F368" s="953">
        <v>0.8</v>
      </c>
      <c r="G368" s="953">
        <v>0.8</v>
      </c>
      <c r="H368" s="953">
        <v>0.8</v>
      </c>
      <c r="I368" s="1126">
        <v>0.8</v>
      </c>
      <c r="J368" s="1126">
        <v>0.8</v>
      </c>
      <c r="K368" s="1126">
        <v>0.8</v>
      </c>
      <c r="L368" s="953">
        <v>0.8</v>
      </c>
      <c r="M368" s="953">
        <v>0.8</v>
      </c>
      <c r="N368" s="1126">
        <v>0.8</v>
      </c>
      <c r="O368" s="953">
        <v>0.8</v>
      </c>
    </row>
    <row r="369" spans="1:15">
      <c r="A369" s="119"/>
      <c r="B369" s="331" t="s">
        <v>958</v>
      </c>
      <c r="C369">
        <v>130.80000000000001</v>
      </c>
      <c r="D369" s="953">
        <v>130.80000000000001</v>
      </c>
      <c r="E369" s="953">
        <v>130.80000000000001</v>
      </c>
      <c r="F369" s="953">
        <v>130.80000000000001</v>
      </c>
      <c r="G369" s="953">
        <v>130.80000000000001</v>
      </c>
      <c r="H369" s="953">
        <v>130.80000000000001</v>
      </c>
      <c r="I369" s="1126">
        <v>130.80000000000001</v>
      </c>
      <c r="J369" s="1126">
        <v>130.80000000000001</v>
      </c>
      <c r="K369" s="1126">
        <v>130.80000000000001</v>
      </c>
      <c r="L369" s="953">
        <v>130.80000000000001</v>
      </c>
      <c r="M369" s="953">
        <v>130.80000000000001</v>
      </c>
      <c r="N369" s="1126">
        <v>130.80000000000001</v>
      </c>
      <c r="O369" s="953">
        <v>130.80000000000001</v>
      </c>
    </row>
    <row r="370" spans="1:15">
      <c r="A370" s="119"/>
      <c r="B370" s="331" t="s">
        <v>959</v>
      </c>
      <c r="C370">
        <v>160.5</v>
      </c>
      <c r="D370" s="953">
        <v>160.5</v>
      </c>
      <c r="E370" s="953">
        <v>160.5</v>
      </c>
      <c r="F370" s="953">
        <v>160.5</v>
      </c>
      <c r="G370" s="953">
        <v>160.5</v>
      </c>
      <c r="H370" s="953">
        <v>160.5</v>
      </c>
      <c r="I370" s="1126">
        <v>160.5</v>
      </c>
      <c r="J370" s="1126">
        <v>160.5</v>
      </c>
      <c r="K370" s="1126">
        <v>160.5</v>
      </c>
      <c r="L370" s="953">
        <v>160.5</v>
      </c>
      <c r="M370" s="953">
        <v>160.5</v>
      </c>
      <c r="N370" s="1126">
        <v>160.5</v>
      </c>
      <c r="O370" s="953">
        <v>160.5</v>
      </c>
    </row>
    <row r="371" spans="1:15">
      <c r="A371" s="119"/>
      <c r="B371" s="331" t="s">
        <v>960</v>
      </c>
      <c r="C371">
        <v>23.3</v>
      </c>
      <c r="D371" s="953">
        <v>23.3</v>
      </c>
      <c r="E371" s="953">
        <v>23.3</v>
      </c>
      <c r="F371" s="953">
        <v>23.3</v>
      </c>
      <c r="G371" s="953">
        <v>23.3</v>
      </c>
      <c r="H371" s="953">
        <v>23.3</v>
      </c>
      <c r="I371" s="1126">
        <v>23.3</v>
      </c>
      <c r="J371" s="1126">
        <v>23.3</v>
      </c>
      <c r="K371" s="1126">
        <v>23.3</v>
      </c>
      <c r="L371" s="953">
        <v>23.3</v>
      </c>
      <c r="M371" s="953">
        <v>23.3</v>
      </c>
      <c r="N371" s="1126">
        <v>23.3</v>
      </c>
      <c r="O371" s="953">
        <v>23.3</v>
      </c>
    </row>
    <row r="372" spans="1:15">
      <c r="A372" s="119"/>
      <c r="B372" s="331" t="s">
        <v>961</v>
      </c>
      <c r="C372">
        <v>16</v>
      </c>
      <c r="D372" s="953">
        <v>16</v>
      </c>
      <c r="E372" s="953">
        <v>16</v>
      </c>
      <c r="F372" s="953">
        <v>16</v>
      </c>
      <c r="G372" s="953">
        <v>16</v>
      </c>
      <c r="H372" s="953">
        <v>16</v>
      </c>
      <c r="I372" s="1126">
        <v>16</v>
      </c>
      <c r="J372" s="1126">
        <v>16</v>
      </c>
      <c r="K372" s="1126">
        <v>16</v>
      </c>
      <c r="L372" s="953">
        <v>16</v>
      </c>
      <c r="M372" s="953">
        <v>16</v>
      </c>
      <c r="N372" s="1126">
        <v>16</v>
      </c>
      <c r="O372" s="953">
        <v>16</v>
      </c>
    </row>
    <row r="373" spans="1:15">
      <c r="A373" s="119"/>
      <c r="B373" s="331" t="s">
        <v>962</v>
      </c>
      <c r="C373" t="s">
        <v>409</v>
      </c>
      <c r="D373" s="953" t="s">
        <v>409</v>
      </c>
      <c r="E373" s="953" t="s">
        <v>409</v>
      </c>
      <c r="F373" s="953" t="s">
        <v>409</v>
      </c>
      <c r="G373" s="953" t="s">
        <v>409</v>
      </c>
      <c r="H373" s="953" t="s">
        <v>409</v>
      </c>
      <c r="I373" s="1126" t="s">
        <v>409</v>
      </c>
      <c r="J373" s="1126" t="s">
        <v>409</v>
      </c>
      <c r="K373" s="1126" t="s">
        <v>409</v>
      </c>
      <c r="L373" s="953" t="s">
        <v>409</v>
      </c>
      <c r="M373" s="953" t="s">
        <v>409</v>
      </c>
      <c r="N373" s="1126" t="s">
        <v>409</v>
      </c>
      <c r="O373" s="953" t="s">
        <v>409</v>
      </c>
    </row>
    <row r="374" spans="1:15">
      <c r="A374" s="119"/>
      <c r="B374" s="331" t="s">
        <v>963</v>
      </c>
      <c r="C374" t="s">
        <v>446</v>
      </c>
      <c r="D374" s="953" t="s">
        <v>446</v>
      </c>
      <c r="E374" s="953" t="s">
        <v>446</v>
      </c>
      <c r="F374" s="953" t="s">
        <v>446</v>
      </c>
      <c r="G374" s="953" t="s">
        <v>446</v>
      </c>
      <c r="H374" s="953" t="s">
        <v>446</v>
      </c>
      <c r="I374" s="1126" t="s">
        <v>446</v>
      </c>
      <c r="J374" s="1126" t="s">
        <v>446</v>
      </c>
      <c r="K374" s="1126" t="s">
        <v>446</v>
      </c>
      <c r="L374" s="953" t="s">
        <v>446</v>
      </c>
      <c r="M374" s="953" t="s">
        <v>446</v>
      </c>
      <c r="N374" s="1126" t="s">
        <v>446</v>
      </c>
      <c r="O374" s="953" t="s">
        <v>446</v>
      </c>
    </row>
    <row r="375" spans="1:15">
      <c r="A375" s="119"/>
      <c r="B375" s="331" t="s">
        <v>964</v>
      </c>
      <c r="C375">
        <v>0.52249999999999996</v>
      </c>
      <c r="D375" s="960">
        <v>0.52</v>
      </c>
      <c r="E375" s="960">
        <v>0.52</v>
      </c>
      <c r="F375" s="960">
        <v>0.52</v>
      </c>
      <c r="G375" s="956">
        <v>0.52</v>
      </c>
      <c r="H375" s="956">
        <v>0.52</v>
      </c>
      <c r="I375" s="960">
        <v>0.52</v>
      </c>
      <c r="J375" s="960">
        <v>0.52</v>
      </c>
      <c r="K375" s="960">
        <v>0.52</v>
      </c>
      <c r="L375" s="956">
        <v>0.52</v>
      </c>
      <c r="M375" s="956">
        <v>0.52</v>
      </c>
      <c r="N375" s="960">
        <v>0.52</v>
      </c>
      <c r="O375" s="956">
        <v>0.52</v>
      </c>
    </row>
    <row r="376" spans="1:15">
      <c r="A376" s="119"/>
      <c r="B376" s="331" t="s">
        <v>965</v>
      </c>
      <c r="C376">
        <v>0.28500000000000003</v>
      </c>
      <c r="D376" s="960">
        <v>0.28999999999999998</v>
      </c>
      <c r="E376" s="960">
        <v>0.28999999999999998</v>
      </c>
      <c r="F376" s="960">
        <v>0.28999999999999998</v>
      </c>
      <c r="G376" s="956">
        <v>0.28999999999999998</v>
      </c>
      <c r="H376" s="956">
        <v>0.28999999999999998</v>
      </c>
      <c r="I376" s="960">
        <v>0.28999999999999998</v>
      </c>
      <c r="J376" s="960">
        <v>0.28999999999999998</v>
      </c>
      <c r="K376" s="960">
        <v>0.28999999999999998</v>
      </c>
      <c r="L376" s="956">
        <v>0.28999999999999998</v>
      </c>
      <c r="M376" s="956">
        <v>0.28999999999999998</v>
      </c>
      <c r="N376" s="960">
        <v>0.28999999999999998</v>
      </c>
      <c r="O376" s="956">
        <v>0.28999999999999998</v>
      </c>
    </row>
    <row r="377" spans="1:15">
      <c r="A377" s="119"/>
      <c r="B377" s="331" t="s">
        <v>966</v>
      </c>
      <c r="C377">
        <v>0.29000000000000004</v>
      </c>
      <c r="D377" s="958">
        <v>0.29000000000000004</v>
      </c>
      <c r="E377" s="958">
        <v>0.29000000000000004</v>
      </c>
      <c r="F377" s="958">
        <v>0.29000000000000004</v>
      </c>
      <c r="G377" s="953">
        <v>0.29000000000000004</v>
      </c>
      <c r="H377" s="953">
        <v>0.29000000000000004</v>
      </c>
      <c r="I377" s="958">
        <v>0.29000000000000004</v>
      </c>
      <c r="J377" s="958">
        <v>0.29000000000000004</v>
      </c>
      <c r="K377" s="958">
        <v>0.29000000000000004</v>
      </c>
      <c r="L377" s="953">
        <v>0.29000000000000004</v>
      </c>
      <c r="M377" s="953">
        <v>0.29000000000000004</v>
      </c>
      <c r="N377" s="958">
        <v>0.29000000000000004</v>
      </c>
      <c r="O377" s="953">
        <v>0.29000000000000004</v>
      </c>
    </row>
    <row r="378" spans="1:15">
      <c r="A378" s="119"/>
      <c r="B378" s="331" t="s">
        <v>967</v>
      </c>
      <c r="C378" s="147">
        <v>1.25</v>
      </c>
      <c r="D378" s="959">
        <v>6</v>
      </c>
      <c r="E378" s="959">
        <v>6</v>
      </c>
      <c r="F378" s="959">
        <v>6</v>
      </c>
      <c r="G378" s="955">
        <v>6</v>
      </c>
      <c r="H378" s="955">
        <v>6</v>
      </c>
      <c r="I378" s="1129">
        <v>6</v>
      </c>
      <c r="J378" s="959">
        <v>6</v>
      </c>
      <c r="K378" s="959">
        <v>6</v>
      </c>
      <c r="L378" s="955">
        <v>6</v>
      </c>
      <c r="M378" s="955">
        <v>6</v>
      </c>
      <c r="N378" s="959">
        <v>6</v>
      </c>
      <c r="O378" s="955">
        <v>6</v>
      </c>
    </row>
    <row r="379" spans="1:15">
      <c r="A379" s="119"/>
      <c r="B379" s="331" t="s">
        <v>968</v>
      </c>
      <c r="C379">
        <v>1</v>
      </c>
      <c r="D379" s="953">
        <v>1</v>
      </c>
      <c r="E379" s="953">
        <v>1</v>
      </c>
      <c r="F379" s="953">
        <v>1</v>
      </c>
      <c r="G379" s="953">
        <v>1</v>
      </c>
      <c r="H379" s="953">
        <v>1</v>
      </c>
      <c r="I379" s="1126">
        <v>1</v>
      </c>
      <c r="J379" s="1126">
        <v>1</v>
      </c>
      <c r="K379" s="1369">
        <v>1</v>
      </c>
      <c r="L379" s="953">
        <v>1</v>
      </c>
      <c r="M379" s="953">
        <v>1</v>
      </c>
      <c r="N379" s="1126">
        <v>1</v>
      </c>
      <c r="O379" s="953">
        <v>1</v>
      </c>
    </row>
    <row r="380" spans="1:15">
      <c r="A380" s="119"/>
      <c r="B380" s="331" t="s">
        <v>969</v>
      </c>
      <c r="C380">
        <v>1</v>
      </c>
      <c r="D380" s="953">
        <v>1</v>
      </c>
      <c r="E380" s="953">
        <v>1</v>
      </c>
      <c r="F380" s="953">
        <v>1</v>
      </c>
      <c r="G380" s="953">
        <v>1</v>
      </c>
      <c r="H380" s="953">
        <v>1</v>
      </c>
      <c r="I380" s="1126">
        <v>1</v>
      </c>
      <c r="J380" s="1126">
        <v>1</v>
      </c>
      <c r="K380" s="1126">
        <v>1</v>
      </c>
      <c r="L380" s="953">
        <v>1</v>
      </c>
      <c r="M380" s="953">
        <v>1</v>
      </c>
      <c r="N380" s="1126">
        <v>1</v>
      </c>
      <c r="O380" s="953">
        <v>1</v>
      </c>
    </row>
    <row r="381" spans="1:15">
      <c r="A381" s="119"/>
      <c r="B381" s="331" t="s">
        <v>970</v>
      </c>
      <c r="C381">
        <v>1.05</v>
      </c>
      <c r="D381" s="953">
        <v>1.05</v>
      </c>
      <c r="E381" s="953">
        <v>1.05</v>
      </c>
      <c r="F381" s="953">
        <v>1.05</v>
      </c>
      <c r="G381" s="953">
        <v>1.05</v>
      </c>
      <c r="H381" s="953">
        <v>1.05</v>
      </c>
      <c r="I381" s="1126">
        <v>1.05</v>
      </c>
      <c r="J381" s="1126">
        <v>1.05</v>
      </c>
      <c r="K381" s="1126">
        <v>1.05</v>
      </c>
      <c r="L381" s="953">
        <v>1.05</v>
      </c>
      <c r="M381" s="953">
        <v>1.05</v>
      </c>
      <c r="N381" s="1126">
        <v>1.05</v>
      </c>
      <c r="O381" s="953">
        <v>1.05</v>
      </c>
    </row>
    <row r="382" spans="1:15">
      <c r="A382" s="119"/>
      <c r="B382" s="331" t="s">
        <v>971</v>
      </c>
      <c r="C382">
        <v>1.3</v>
      </c>
      <c r="D382" s="953">
        <v>1.3</v>
      </c>
      <c r="E382" s="953">
        <v>1.3</v>
      </c>
      <c r="F382" s="953">
        <v>1.3</v>
      </c>
      <c r="G382" s="953">
        <v>1.3</v>
      </c>
      <c r="H382" s="953">
        <v>1.3</v>
      </c>
      <c r="I382" s="1126">
        <v>1.3</v>
      </c>
      <c r="J382" s="1126">
        <v>1.3</v>
      </c>
      <c r="K382" s="1126">
        <v>1.3</v>
      </c>
      <c r="L382" s="953">
        <v>1.3</v>
      </c>
      <c r="M382" s="953">
        <v>1.3</v>
      </c>
      <c r="N382" s="1126">
        <v>1.3</v>
      </c>
      <c r="O382" s="953">
        <v>1.3</v>
      </c>
    </row>
    <row r="383" spans="1:15">
      <c r="A383" s="119"/>
      <c r="B383" s="331" t="s">
        <v>972</v>
      </c>
      <c r="C383">
        <v>0</v>
      </c>
      <c r="D383" s="953">
        <v>0</v>
      </c>
      <c r="E383" s="953">
        <v>0</v>
      </c>
      <c r="F383" s="953">
        <v>0</v>
      </c>
      <c r="G383" s="953">
        <v>0</v>
      </c>
      <c r="H383" s="953">
        <v>0</v>
      </c>
      <c r="I383" s="1126">
        <v>0</v>
      </c>
      <c r="J383" s="1126">
        <v>0</v>
      </c>
      <c r="K383" s="1126">
        <v>0</v>
      </c>
      <c r="L383" s="953">
        <v>0</v>
      </c>
      <c r="M383" s="953">
        <v>0</v>
      </c>
      <c r="N383" s="1126">
        <v>0</v>
      </c>
      <c r="O383" s="953">
        <v>0</v>
      </c>
    </row>
    <row r="384" spans="1:15">
      <c r="A384" s="119"/>
      <c r="B384" s="331" t="s">
        <v>973</v>
      </c>
      <c r="C384">
        <v>0</v>
      </c>
      <c r="D384" s="953">
        <v>0</v>
      </c>
      <c r="E384" s="953">
        <v>0</v>
      </c>
      <c r="F384" s="953">
        <v>0</v>
      </c>
      <c r="G384" s="953">
        <v>0</v>
      </c>
      <c r="H384" s="953">
        <v>0</v>
      </c>
      <c r="I384" s="1126">
        <v>0</v>
      </c>
      <c r="J384" s="1126">
        <v>0</v>
      </c>
      <c r="K384" s="1126">
        <v>0</v>
      </c>
      <c r="L384" s="953">
        <v>0</v>
      </c>
      <c r="M384" s="953">
        <v>0</v>
      </c>
      <c r="N384" s="1126">
        <v>0</v>
      </c>
      <c r="O384" s="953">
        <v>0</v>
      </c>
    </row>
    <row r="385" spans="1:15">
      <c r="A385" s="119"/>
      <c r="B385" s="331"/>
    </row>
    <row r="386" spans="1:15">
      <c r="A386" s="119">
        <v>5.0999999999999996</v>
      </c>
      <c r="B386" s="331" t="s">
        <v>438</v>
      </c>
      <c r="D386" s="953"/>
      <c r="E386" s="953"/>
      <c r="F386" s="953"/>
      <c r="G386" s="953"/>
      <c r="H386" s="953"/>
      <c r="I386" s="953"/>
      <c r="J386" s="953"/>
      <c r="K386" s="953"/>
      <c r="L386" s="953"/>
      <c r="M386" s="953"/>
      <c r="N386" s="953"/>
      <c r="O386" s="953"/>
    </row>
    <row r="387" spans="1:15">
      <c r="A387" s="119"/>
      <c r="B387" s="331" t="s">
        <v>974</v>
      </c>
      <c r="C387">
        <v>0.23</v>
      </c>
      <c r="D387" s="956">
        <v>0.13</v>
      </c>
      <c r="E387" s="956">
        <v>0.13</v>
      </c>
      <c r="F387" s="956">
        <v>0.13</v>
      </c>
      <c r="G387" s="956">
        <v>0.13</v>
      </c>
      <c r="H387" s="956">
        <v>0.13</v>
      </c>
      <c r="I387" s="956">
        <v>0.13</v>
      </c>
      <c r="J387" s="956">
        <v>0.13</v>
      </c>
      <c r="K387" s="956">
        <v>0.13</v>
      </c>
      <c r="L387" s="956">
        <v>0.13</v>
      </c>
      <c r="M387" s="956">
        <v>0.13</v>
      </c>
      <c r="N387" s="956">
        <v>0.13</v>
      </c>
      <c r="O387" s="956">
        <v>0.13</v>
      </c>
    </row>
    <row r="388" spans="1:15">
      <c r="A388" s="119"/>
      <c r="B388" s="331" t="s">
        <v>974</v>
      </c>
      <c r="C388">
        <v>12131.364167999998</v>
      </c>
      <c r="D388" s="956">
        <v>6856.8580079999992</v>
      </c>
      <c r="E388" s="956">
        <v>6856.8580079999992</v>
      </c>
      <c r="F388" s="956">
        <v>6856.8580079999992</v>
      </c>
      <c r="G388" s="956">
        <v>6856.8580079999992</v>
      </c>
      <c r="H388" s="956">
        <v>6856.8580079999992</v>
      </c>
      <c r="I388" s="956">
        <v>6856.8580079999992</v>
      </c>
      <c r="J388" s="956">
        <v>6856.8580079999992</v>
      </c>
      <c r="K388" s="956">
        <v>6856.8580079999992</v>
      </c>
      <c r="L388" s="956">
        <v>6856.8580079999992</v>
      </c>
      <c r="M388" s="956">
        <v>6856.8580079999992</v>
      </c>
      <c r="N388" s="956">
        <v>6856.8580079999992</v>
      </c>
      <c r="O388" s="956">
        <v>6856.8580079999992</v>
      </c>
    </row>
    <row r="389" spans="1:15">
      <c r="A389" s="119"/>
      <c r="B389" s="331" t="s">
        <v>975</v>
      </c>
      <c r="C389">
        <v>0.24</v>
      </c>
      <c r="D389" s="956">
        <v>0.13</v>
      </c>
      <c r="E389" s="956">
        <v>0.13</v>
      </c>
      <c r="F389" s="956">
        <v>0.13</v>
      </c>
      <c r="G389" s="956">
        <v>0.13</v>
      </c>
      <c r="H389" s="956">
        <v>0.13</v>
      </c>
      <c r="I389" s="956">
        <v>0.13</v>
      </c>
      <c r="J389" s="956">
        <v>0.13</v>
      </c>
      <c r="K389" s="956">
        <v>0.13</v>
      </c>
      <c r="L389" s="956">
        <v>0.13</v>
      </c>
      <c r="M389" s="956">
        <v>0.13</v>
      </c>
      <c r="N389" s="956">
        <v>0.13</v>
      </c>
      <c r="O389" s="956">
        <v>0.13</v>
      </c>
    </row>
    <row r="390" spans="1:15">
      <c r="A390" s="119"/>
      <c r="B390" s="331" t="s">
        <v>975</v>
      </c>
      <c r="C390">
        <v>13692.859488</v>
      </c>
      <c r="D390" s="956">
        <v>7416.9655560000001</v>
      </c>
      <c r="E390" s="956">
        <v>7416.9655560000001</v>
      </c>
      <c r="F390" s="956">
        <v>7416.9655560000001</v>
      </c>
      <c r="G390" s="956">
        <v>7416.9655560000001</v>
      </c>
      <c r="H390" s="956">
        <v>7416.9655560000001</v>
      </c>
      <c r="I390" s="956">
        <v>7416.9655560000001</v>
      </c>
      <c r="J390" s="956">
        <v>7416.9655560000001</v>
      </c>
      <c r="K390" s="956">
        <v>7416.9655560000001</v>
      </c>
      <c r="L390" s="956">
        <v>7416.9655560000001</v>
      </c>
      <c r="M390" s="956">
        <v>7416.9655560000001</v>
      </c>
      <c r="N390" s="956">
        <v>7416.9655560000001</v>
      </c>
      <c r="O390" s="956">
        <v>7416.9655560000001</v>
      </c>
    </row>
    <row r="391" spans="1:15">
      <c r="A391" s="119"/>
      <c r="B391" s="331" t="s">
        <v>976</v>
      </c>
      <c r="C391">
        <v>0.23</v>
      </c>
      <c r="D391" s="956">
        <v>0.13</v>
      </c>
      <c r="E391" s="956">
        <v>0.13</v>
      </c>
      <c r="F391" s="956">
        <v>0.13</v>
      </c>
      <c r="G391" s="956">
        <v>0.13</v>
      </c>
      <c r="H391" s="956">
        <v>0.13</v>
      </c>
      <c r="I391" s="956">
        <v>0.13</v>
      </c>
      <c r="J391" s="956">
        <v>0.13</v>
      </c>
      <c r="K391" s="956">
        <v>0.13</v>
      </c>
      <c r="L391" s="956">
        <v>0.13</v>
      </c>
      <c r="M391" s="956">
        <v>0.13</v>
      </c>
      <c r="N391" s="956">
        <v>0.13</v>
      </c>
      <c r="O391" s="956">
        <v>0.13</v>
      </c>
    </row>
    <row r="392" spans="1:15">
      <c r="A392" s="119"/>
      <c r="B392" s="331" t="s">
        <v>976</v>
      </c>
      <c r="C392">
        <v>14542.488576000002</v>
      </c>
      <c r="D392" s="956">
        <v>8219.667456000001</v>
      </c>
      <c r="E392" s="956">
        <v>8219.667456000001</v>
      </c>
      <c r="F392" s="956">
        <v>8219.667456000001</v>
      </c>
      <c r="G392" s="956">
        <v>8219.667456000001</v>
      </c>
      <c r="H392" s="956">
        <v>8219.667456000001</v>
      </c>
      <c r="I392" s="956">
        <v>8219.667456000001</v>
      </c>
      <c r="J392" s="956">
        <v>8219.667456000001</v>
      </c>
      <c r="K392" s="956">
        <v>8219.667456000001</v>
      </c>
      <c r="L392" s="956">
        <v>8219.667456000001</v>
      </c>
      <c r="M392" s="956">
        <v>8219.667456000001</v>
      </c>
      <c r="N392" s="956">
        <v>8219.667456000001</v>
      </c>
      <c r="O392" s="956">
        <v>8219.667456000001</v>
      </c>
    </row>
    <row r="393" spans="1:15">
      <c r="A393" s="119"/>
      <c r="B393" s="331" t="s">
        <v>977</v>
      </c>
      <c r="C393">
        <v>0.25</v>
      </c>
      <c r="D393" s="956">
        <v>0.13</v>
      </c>
      <c r="E393" s="956">
        <v>0.13</v>
      </c>
      <c r="F393" s="956">
        <v>0.13</v>
      </c>
      <c r="G393" s="956">
        <v>0.13</v>
      </c>
      <c r="H393" s="956">
        <v>0.13</v>
      </c>
      <c r="I393" s="956">
        <v>0.13</v>
      </c>
      <c r="J393" s="956">
        <v>0.13</v>
      </c>
      <c r="K393" s="956">
        <v>0.13</v>
      </c>
      <c r="L393" s="956">
        <v>0.13</v>
      </c>
      <c r="M393" s="956">
        <v>0.13</v>
      </c>
      <c r="N393" s="956">
        <v>0.13</v>
      </c>
      <c r="O393" s="956">
        <v>0.13</v>
      </c>
    </row>
    <row r="394" spans="1:15">
      <c r="A394" s="119"/>
      <c r="B394" s="331" t="s">
        <v>977</v>
      </c>
      <c r="C394">
        <v>13186.265399999998</v>
      </c>
      <c r="D394" s="956">
        <v>6856.8580079999992</v>
      </c>
      <c r="E394" s="956">
        <v>6856.8580079999992</v>
      </c>
      <c r="F394" s="956">
        <v>6856.8580079999992</v>
      </c>
      <c r="G394" s="956">
        <v>6856.8580079999992</v>
      </c>
      <c r="H394" s="956">
        <v>6856.8580079999992</v>
      </c>
      <c r="I394" s="956">
        <v>6856.8580079999992</v>
      </c>
      <c r="J394" s="956">
        <v>6856.8580079999992</v>
      </c>
      <c r="K394" s="956">
        <v>6856.8580079999992</v>
      </c>
      <c r="L394" s="956">
        <v>6856.8580079999992</v>
      </c>
      <c r="M394" s="956">
        <v>6856.8580079999992</v>
      </c>
      <c r="N394" s="956">
        <v>6856.8580079999992</v>
      </c>
      <c r="O394" s="956">
        <v>6856.8580079999992</v>
      </c>
    </row>
    <row r="395" spans="1:15">
      <c r="A395" s="119"/>
      <c r="B395" s="331" t="s">
        <v>978</v>
      </c>
      <c r="C395">
        <v>0.23</v>
      </c>
      <c r="D395" s="956">
        <v>0.13</v>
      </c>
      <c r="E395" s="956">
        <v>0.13</v>
      </c>
      <c r="F395" s="956">
        <v>0.13</v>
      </c>
      <c r="G395" s="956">
        <v>0.13</v>
      </c>
      <c r="H395" s="956">
        <v>0.13</v>
      </c>
      <c r="I395" s="956">
        <v>0.13</v>
      </c>
      <c r="J395" s="956">
        <v>0.13</v>
      </c>
      <c r="K395" s="956">
        <v>0.13</v>
      </c>
      <c r="L395" s="956">
        <v>0.13</v>
      </c>
      <c r="M395" s="956">
        <v>0.13</v>
      </c>
      <c r="N395" s="956">
        <v>0.13</v>
      </c>
      <c r="O395" s="956">
        <v>0.13</v>
      </c>
    </row>
    <row r="396" spans="1:15">
      <c r="A396" s="119"/>
      <c r="B396" s="331" t="s">
        <v>978</v>
      </c>
      <c r="C396">
        <v>13122.323676</v>
      </c>
      <c r="D396" s="956">
        <v>7416.9655560000001</v>
      </c>
      <c r="E396" s="956">
        <v>7416.9655560000001</v>
      </c>
      <c r="F396" s="956">
        <v>7416.9655560000001</v>
      </c>
      <c r="G396" s="956">
        <v>7416.9655560000001</v>
      </c>
      <c r="H396" s="956">
        <v>7416.9655560000001</v>
      </c>
      <c r="I396" s="956">
        <v>7416.9655560000001</v>
      </c>
      <c r="J396" s="956">
        <v>7416.9655560000001</v>
      </c>
      <c r="K396" s="956">
        <v>7416.9655560000001</v>
      </c>
      <c r="L396" s="956">
        <v>7416.9655560000001</v>
      </c>
      <c r="M396" s="956">
        <v>7416.9655560000001</v>
      </c>
      <c r="N396" s="956">
        <v>7416.9655560000001</v>
      </c>
      <c r="O396" s="956">
        <v>7416.9655560000001</v>
      </c>
    </row>
    <row r="397" spans="1:15">
      <c r="A397" s="119"/>
      <c r="B397" s="331" t="s">
        <v>979</v>
      </c>
      <c r="C397">
        <v>0.22</v>
      </c>
      <c r="D397" s="956">
        <v>0.13</v>
      </c>
      <c r="E397" s="956">
        <v>0.13</v>
      </c>
      <c r="F397" s="956">
        <v>0.13</v>
      </c>
      <c r="G397" s="956">
        <v>0.13</v>
      </c>
      <c r="H397" s="956">
        <v>0.13</v>
      </c>
      <c r="I397" s="956">
        <v>0.13</v>
      </c>
      <c r="J397" s="956">
        <v>0.13</v>
      </c>
      <c r="K397" s="956">
        <v>0.13</v>
      </c>
      <c r="L397" s="956">
        <v>0.13</v>
      </c>
      <c r="M397" s="956">
        <v>0.13</v>
      </c>
      <c r="N397" s="956">
        <v>0.13</v>
      </c>
      <c r="O397" s="956">
        <v>0.13</v>
      </c>
    </row>
    <row r="398" spans="1:15">
      <c r="A398" s="119"/>
      <c r="B398" s="331" t="s">
        <v>979</v>
      </c>
      <c r="C398">
        <v>13910.206464000001</v>
      </c>
      <c r="D398" s="956">
        <v>8219.667456000001</v>
      </c>
      <c r="E398" s="956">
        <v>8219.667456000001</v>
      </c>
      <c r="F398" s="956">
        <v>8219.667456000001</v>
      </c>
      <c r="G398" s="956">
        <v>8219.667456000001</v>
      </c>
      <c r="H398" s="956">
        <v>8219.667456000001</v>
      </c>
      <c r="I398" s="956">
        <v>8219.667456000001</v>
      </c>
      <c r="J398" s="956">
        <v>8219.667456000001</v>
      </c>
      <c r="K398" s="956">
        <v>8219.667456000001</v>
      </c>
      <c r="L398" s="956">
        <v>8219.667456000001</v>
      </c>
      <c r="M398" s="956">
        <v>8219.667456000001</v>
      </c>
      <c r="N398" s="956">
        <v>8219.667456000001</v>
      </c>
      <c r="O398" s="956">
        <v>8219.667456000001</v>
      </c>
    </row>
    <row r="399" spans="1:15">
      <c r="A399" s="119"/>
      <c r="B399" s="331" t="s">
        <v>980</v>
      </c>
      <c r="C399">
        <v>0.14000000000000001</v>
      </c>
      <c r="D399" s="956">
        <v>0.17</v>
      </c>
      <c r="E399" s="956">
        <v>0.17</v>
      </c>
      <c r="F399" s="956">
        <v>0.17</v>
      </c>
      <c r="G399" s="956">
        <v>0.17</v>
      </c>
      <c r="H399" s="956">
        <v>0.17</v>
      </c>
      <c r="I399" s="956">
        <v>0.17</v>
      </c>
      <c r="J399" s="956">
        <v>0.17</v>
      </c>
      <c r="K399" s="956">
        <v>0.17</v>
      </c>
      <c r="L399" s="956">
        <v>0.17</v>
      </c>
      <c r="M399" s="956">
        <v>0.17</v>
      </c>
      <c r="N399" s="956">
        <v>0.17</v>
      </c>
      <c r="O399" s="956">
        <v>0.17</v>
      </c>
    </row>
    <row r="400" spans="1:15">
      <c r="A400" s="119"/>
      <c r="B400" s="331" t="s">
        <v>980</v>
      </c>
      <c r="C400">
        <v>7384.3086240000002</v>
      </c>
      <c r="D400" s="956">
        <v>8966.6604719999996</v>
      </c>
      <c r="E400" s="956">
        <v>8966.6604719999996</v>
      </c>
      <c r="F400" s="956">
        <v>8966.6604719999996</v>
      </c>
      <c r="G400" s="956">
        <v>8966.6604719999996</v>
      </c>
      <c r="H400" s="956">
        <v>8966.6604719999996</v>
      </c>
      <c r="I400" s="956">
        <v>8966.6604719999996</v>
      </c>
      <c r="J400" s="956">
        <v>8966.6604719999996</v>
      </c>
      <c r="K400" s="956">
        <v>8966.6604719999996</v>
      </c>
      <c r="L400" s="956">
        <v>8966.6604719999996</v>
      </c>
      <c r="M400" s="956">
        <v>8966.6604719999996</v>
      </c>
      <c r="N400" s="956">
        <v>8966.6604719999996</v>
      </c>
      <c r="O400" s="956">
        <v>8966.6604719999996</v>
      </c>
    </row>
    <row r="401" spans="1:15">
      <c r="A401" s="119"/>
      <c r="B401" s="331" t="s">
        <v>981</v>
      </c>
      <c r="C401">
        <v>0.14000000000000001</v>
      </c>
      <c r="D401" s="956">
        <v>0.17</v>
      </c>
      <c r="E401" s="956">
        <v>0.17</v>
      </c>
      <c r="F401" s="956">
        <v>0.17</v>
      </c>
      <c r="G401" s="956">
        <v>0.17</v>
      </c>
      <c r="H401" s="956">
        <v>0.17</v>
      </c>
      <c r="I401" s="956">
        <v>0.17</v>
      </c>
      <c r="J401" s="956">
        <v>0.17</v>
      </c>
      <c r="K401" s="956">
        <v>0.17</v>
      </c>
      <c r="L401" s="956">
        <v>0.17</v>
      </c>
      <c r="M401" s="956">
        <v>0.17</v>
      </c>
      <c r="N401" s="956">
        <v>0.17</v>
      </c>
      <c r="O401" s="956">
        <v>0.17</v>
      </c>
    </row>
    <row r="402" spans="1:15">
      <c r="A402" s="119"/>
      <c r="B402" s="331" t="s">
        <v>981</v>
      </c>
      <c r="C402">
        <v>7987.5013680000011</v>
      </c>
      <c r="D402" s="956">
        <v>9699.1088040000013</v>
      </c>
      <c r="E402" s="956">
        <v>9699.1088040000013</v>
      </c>
      <c r="F402" s="956">
        <v>9699.1088040000013</v>
      </c>
      <c r="G402" s="956">
        <v>9699.1088040000013</v>
      </c>
      <c r="H402" s="956">
        <v>9699.1088040000013</v>
      </c>
      <c r="I402" s="956">
        <v>9699.1088040000013</v>
      </c>
      <c r="J402" s="956">
        <v>9699.1088040000013</v>
      </c>
      <c r="K402" s="956">
        <v>9699.1088040000013</v>
      </c>
      <c r="L402" s="956">
        <v>9699.1088040000013</v>
      </c>
      <c r="M402" s="956">
        <v>9699.1088040000013</v>
      </c>
      <c r="N402" s="956">
        <v>9699.1088040000013</v>
      </c>
      <c r="O402" s="956">
        <v>9699.1088040000013</v>
      </c>
    </row>
    <row r="403" spans="1:15">
      <c r="A403" s="119"/>
      <c r="B403" s="331" t="s">
        <v>982</v>
      </c>
      <c r="C403">
        <v>0.15</v>
      </c>
      <c r="D403" s="956">
        <v>0.17</v>
      </c>
      <c r="E403" s="956">
        <v>0.17</v>
      </c>
      <c r="F403" s="956">
        <v>0.17</v>
      </c>
      <c r="G403" s="956">
        <v>0.17</v>
      </c>
      <c r="H403" s="956">
        <v>0.17</v>
      </c>
      <c r="I403" s="956">
        <v>0.17</v>
      </c>
      <c r="J403" s="956">
        <v>0.17</v>
      </c>
      <c r="K403" s="956">
        <v>0.17</v>
      </c>
      <c r="L403" s="956">
        <v>0.17</v>
      </c>
      <c r="M403" s="956">
        <v>0.17</v>
      </c>
      <c r="N403" s="956">
        <v>0.17</v>
      </c>
      <c r="O403" s="956">
        <v>0.17</v>
      </c>
    </row>
    <row r="404" spans="1:15">
      <c r="A404" s="119"/>
      <c r="B404" s="331" t="s">
        <v>982</v>
      </c>
      <c r="C404">
        <v>9484.2316800000008</v>
      </c>
      <c r="D404" s="956">
        <v>10748.795904000002</v>
      </c>
      <c r="E404" s="956">
        <v>10748.795904000002</v>
      </c>
      <c r="F404" s="956">
        <v>10748.795904000002</v>
      </c>
      <c r="G404" s="956">
        <v>10748.795904000002</v>
      </c>
      <c r="H404" s="956">
        <v>10748.795904000002</v>
      </c>
      <c r="I404" s="956">
        <v>10748.795904000002</v>
      </c>
      <c r="J404" s="956">
        <v>10748.795904000002</v>
      </c>
      <c r="K404" s="956">
        <v>10748.795904000002</v>
      </c>
      <c r="L404" s="956">
        <v>10748.795904000002</v>
      </c>
      <c r="M404" s="956">
        <v>10748.795904000002</v>
      </c>
      <c r="N404" s="956">
        <v>10748.795904000002</v>
      </c>
      <c r="O404" s="956">
        <v>10748.795904000002</v>
      </c>
    </row>
    <row r="405" spans="1:15">
      <c r="A405" s="119"/>
      <c r="B405" s="331" t="s">
        <v>983</v>
      </c>
      <c r="C405">
        <v>0.12</v>
      </c>
      <c r="D405" s="956">
        <v>0.19</v>
      </c>
      <c r="E405" s="956">
        <v>0.19</v>
      </c>
      <c r="F405" s="956">
        <v>0.19</v>
      </c>
      <c r="G405" s="956">
        <v>0.19</v>
      </c>
      <c r="H405" s="956">
        <v>0.19</v>
      </c>
      <c r="I405" s="956">
        <v>0.19</v>
      </c>
      <c r="J405" s="956">
        <v>0.19</v>
      </c>
      <c r="K405" s="956">
        <v>0.19</v>
      </c>
      <c r="L405" s="956">
        <v>0.19</v>
      </c>
      <c r="M405" s="956">
        <v>0.19</v>
      </c>
      <c r="N405" s="956">
        <v>0.19</v>
      </c>
      <c r="O405" s="956">
        <v>0.19</v>
      </c>
    </row>
    <row r="406" spans="1:15">
      <c r="A406" s="119"/>
      <c r="B406" s="331" t="s">
        <v>983</v>
      </c>
      <c r="C406">
        <v>6329.4073919999992</v>
      </c>
      <c r="D406" s="956">
        <v>10021.561704</v>
      </c>
      <c r="E406" s="956">
        <v>10021.561704</v>
      </c>
      <c r="F406" s="956">
        <v>10021.561704</v>
      </c>
      <c r="G406" s="956">
        <v>10021.561704</v>
      </c>
      <c r="H406" s="956">
        <v>10021.561704</v>
      </c>
      <c r="I406" s="956">
        <v>10021.561704</v>
      </c>
      <c r="J406" s="956">
        <v>10021.561704</v>
      </c>
      <c r="K406" s="956">
        <v>10021.561704</v>
      </c>
      <c r="L406" s="956">
        <v>10021.561704</v>
      </c>
      <c r="M406" s="956">
        <v>10021.561704</v>
      </c>
      <c r="N406" s="956">
        <v>10021.561704</v>
      </c>
      <c r="O406" s="956">
        <v>10021.561704</v>
      </c>
    </row>
    <row r="407" spans="1:15">
      <c r="A407" s="119"/>
      <c r="B407" s="331" t="s">
        <v>984</v>
      </c>
      <c r="C407">
        <v>0.13</v>
      </c>
      <c r="D407" s="956">
        <v>0.19</v>
      </c>
      <c r="E407" s="956">
        <v>0.19</v>
      </c>
      <c r="F407" s="956">
        <v>0.19</v>
      </c>
      <c r="G407" s="956">
        <v>0.19</v>
      </c>
      <c r="H407" s="956">
        <v>0.19</v>
      </c>
      <c r="I407" s="956">
        <v>0.19</v>
      </c>
      <c r="J407" s="956">
        <v>0.19</v>
      </c>
      <c r="K407" s="956">
        <v>0.19</v>
      </c>
      <c r="L407" s="956">
        <v>0.19</v>
      </c>
      <c r="M407" s="956">
        <v>0.19</v>
      </c>
      <c r="N407" s="956">
        <v>0.19</v>
      </c>
      <c r="O407" s="956">
        <v>0.19</v>
      </c>
    </row>
    <row r="408" spans="1:15">
      <c r="A408" s="119"/>
      <c r="B408" s="331" t="s">
        <v>984</v>
      </c>
      <c r="C408">
        <v>7416.9655560000001</v>
      </c>
      <c r="D408" s="956">
        <v>10840.180428</v>
      </c>
      <c r="E408" s="956">
        <v>10840.180428</v>
      </c>
      <c r="F408" s="956">
        <v>10840.180428</v>
      </c>
      <c r="G408" s="956">
        <v>10840.180428</v>
      </c>
      <c r="H408" s="956">
        <v>10840.180428</v>
      </c>
      <c r="I408" s="956">
        <v>10840.180428</v>
      </c>
      <c r="J408" s="956">
        <v>10840.180428</v>
      </c>
      <c r="K408" s="956">
        <v>10840.180428</v>
      </c>
      <c r="L408" s="956">
        <v>10840.180428</v>
      </c>
      <c r="M408" s="956">
        <v>10840.180428</v>
      </c>
      <c r="N408" s="956">
        <v>10840.180428</v>
      </c>
      <c r="O408" s="956">
        <v>10840.180428</v>
      </c>
    </row>
    <row r="409" spans="1:15">
      <c r="A409" s="119"/>
      <c r="B409" s="331" t="s">
        <v>985</v>
      </c>
      <c r="C409">
        <v>0.13</v>
      </c>
      <c r="D409" s="956">
        <v>0.19</v>
      </c>
      <c r="E409" s="956">
        <v>0.19</v>
      </c>
      <c r="F409" s="956">
        <v>0.19</v>
      </c>
      <c r="G409" s="956">
        <v>0.19</v>
      </c>
      <c r="H409" s="956">
        <v>0.19</v>
      </c>
      <c r="I409" s="956">
        <v>0.19</v>
      </c>
      <c r="J409" s="956">
        <v>0.19</v>
      </c>
      <c r="K409" s="956">
        <v>0.19</v>
      </c>
      <c r="L409" s="956">
        <v>0.19</v>
      </c>
      <c r="M409" s="956">
        <v>0.19</v>
      </c>
      <c r="N409" s="956">
        <v>0.19</v>
      </c>
      <c r="O409" s="956">
        <v>0.19</v>
      </c>
    </row>
    <row r="410" spans="1:15">
      <c r="A410" s="119"/>
      <c r="B410" s="331" t="s">
        <v>985</v>
      </c>
      <c r="C410">
        <v>8219.667456000001</v>
      </c>
      <c r="D410" s="956">
        <v>12013.360128</v>
      </c>
      <c r="E410" s="956">
        <v>12013.360128</v>
      </c>
      <c r="F410" s="956">
        <v>12013.360128</v>
      </c>
      <c r="G410" s="956">
        <v>12013.360128</v>
      </c>
      <c r="H410" s="956">
        <v>12013.360128</v>
      </c>
      <c r="I410" s="956">
        <v>12013.360128</v>
      </c>
      <c r="J410" s="956">
        <v>12013.360128</v>
      </c>
      <c r="K410" s="956">
        <v>12013.360128</v>
      </c>
      <c r="L410" s="956">
        <v>12013.360128</v>
      </c>
      <c r="M410" s="956">
        <v>12013.360128</v>
      </c>
      <c r="N410" s="956">
        <v>12013.360128</v>
      </c>
      <c r="O410" s="956">
        <v>12013.360128</v>
      </c>
    </row>
    <row r="411" spans="1:15">
      <c r="A411" s="119"/>
      <c r="B411" s="331" t="s">
        <v>986</v>
      </c>
      <c r="C411">
        <v>0.12</v>
      </c>
      <c r="D411" s="956">
        <v>0.22</v>
      </c>
      <c r="E411" s="956">
        <v>0.22</v>
      </c>
      <c r="F411" s="956">
        <v>0.22</v>
      </c>
      <c r="G411" s="956">
        <v>0.22</v>
      </c>
      <c r="H411" s="956">
        <v>0.22</v>
      </c>
      <c r="I411" s="956">
        <v>0.22</v>
      </c>
      <c r="J411" s="956">
        <v>0.22</v>
      </c>
      <c r="K411" s="956">
        <v>0.22</v>
      </c>
      <c r="L411" s="956">
        <v>0.22</v>
      </c>
      <c r="M411" s="956">
        <v>0.22</v>
      </c>
      <c r="N411" s="956">
        <v>0.22</v>
      </c>
      <c r="O411" s="956">
        <v>0.22</v>
      </c>
    </row>
    <row r="412" spans="1:15">
      <c r="A412" s="119"/>
      <c r="B412" s="331" t="s">
        <v>986</v>
      </c>
      <c r="C412">
        <v>6329.4073919999992</v>
      </c>
      <c r="D412" s="956">
        <v>11603.913551999998</v>
      </c>
      <c r="E412" s="956">
        <v>11603.913551999998</v>
      </c>
      <c r="F412" s="956">
        <v>11603.913551999998</v>
      </c>
      <c r="G412" s="956">
        <v>11603.913551999998</v>
      </c>
      <c r="H412" s="956">
        <v>11603.913551999998</v>
      </c>
      <c r="I412" s="956">
        <v>11603.913551999998</v>
      </c>
      <c r="J412" s="956">
        <v>11603.913551999998</v>
      </c>
      <c r="K412" s="956">
        <v>11603.913551999998</v>
      </c>
      <c r="L412" s="956">
        <v>11603.913551999998</v>
      </c>
      <c r="M412" s="956">
        <v>11603.913551999998</v>
      </c>
      <c r="N412" s="956">
        <v>11603.913551999998</v>
      </c>
      <c r="O412" s="956">
        <v>11603.913551999998</v>
      </c>
    </row>
    <row r="413" spans="1:15">
      <c r="A413" s="119"/>
      <c r="B413" s="331" t="s">
        <v>987</v>
      </c>
      <c r="C413">
        <v>0.13</v>
      </c>
      <c r="D413" s="956">
        <v>0.22</v>
      </c>
      <c r="E413" s="956">
        <v>0.22</v>
      </c>
      <c r="F413" s="956">
        <v>0.22</v>
      </c>
      <c r="G413" s="956">
        <v>0.22</v>
      </c>
      <c r="H413" s="956">
        <v>0.22</v>
      </c>
      <c r="I413" s="956">
        <v>0.22</v>
      </c>
      <c r="J413" s="956">
        <v>0.22</v>
      </c>
      <c r="K413" s="956">
        <v>0.22</v>
      </c>
      <c r="L413" s="956">
        <v>0.22</v>
      </c>
      <c r="M413" s="956">
        <v>0.22</v>
      </c>
      <c r="N413" s="956">
        <v>0.22</v>
      </c>
      <c r="O413" s="956">
        <v>0.22</v>
      </c>
    </row>
    <row r="414" spans="1:15">
      <c r="A414" s="119"/>
      <c r="B414" s="331" t="s">
        <v>987</v>
      </c>
      <c r="C414">
        <v>7416.9655560000001</v>
      </c>
      <c r="D414" s="956">
        <v>12551.787864</v>
      </c>
      <c r="E414" s="956">
        <v>12551.787864</v>
      </c>
      <c r="F414" s="956">
        <v>12551.787864</v>
      </c>
      <c r="G414" s="956">
        <v>12551.787864</v>
      </c>
      <c r="H414" s="956">
        <v>12551.787864</v>
      </c>
      <c r="I414" s="956">
        <v>12551.787864</v>
      </c>
      <c r="J414" s="956">
        <v>12551.787864</v>
      </c>
      <c r="K414" s="956">
        <v>12551.787864</v>
      </c>
      <c r="L414" s="956">
        <v>12551.787864</v>
      </c>
      <c r="M414" s="956">
        <v>12551.787864</v>
      </c>
      <c r="N414" s="956">
        <v>12551.787864</v>
      </c>
      <c r="O414" s="956">
        <v>12551.787864</v>
      </c>
    </row>
    <row r="415" spans="1:15">
      <c r="A415" s="119"/>
      <c r="B415" s="331" t="s">
        <v>988</v>
      </c>
      <c r="C415">
        <v>0.13</v>
      </c>
      <c r="D415" s="956">
        <v>0.22</v>
      </c>
      <c r="E415" s="956">
        <v>0.22</v>
      </c>
      <c r="F415" s="956">
        <v>0.22</v>
      </c>
      <c r="G415" s="956">
        <v>0.22</v>
      </c>
      <c r="H415" s="956">
        <v>0.22</v>
      </c>
      <c r="I415" s="956">
        <v>0.22</v>
      </c>
      <c r="J415" s="956">
        <v>0.22</v>
      </c>
      <c r="K415" s="956">
        <v>0.22</v>
      </c>
      <c r="L415" s="956">
        <v>0.22</v>
      </c>
      <c r="M415" s="956">
        <v>0.22</v>
      </c>
      <c r="N415" s="956">
        <v>0.22</v>
      </c>
      <c r="O415" s="956">
        <v>0.22</v>
      </c>
    </row>
    <row r="416" spans="1:15">
      <c r="A416" s="119"/>
      <c r="B416" s="331" t="s">
        <v>988</v>
      </c>
      <c r="C416">
        <v>8219.667456000001</v>
      </c>
      <c r="D416" s="956">
        <v>13910.206464000001</v>
      </c>
      <c r="E416" s="956">
        <v>13910.206464000001</v>
      </c>
      <c r="F416" s="956">
        <v>13910.206464000001</v>
      </c>
      <c r="G416" s="956">
        <v>13910.206464000001</v>
      </c>
      <c r="H416" s="956">
        <v>13910.206464000001</v>
      </c>
      <c r="I416" s="956">
        <v>13910.206464000001</v>
      </c>
      <c r="J416" s="956">
        <v>13910.206464000001</v>
      </c>
      <c r="K416" s="956">
        <v>13910.206464000001</v>
      </c>
      <c r="L416" s="956">
        <v>13910.206464000001</v>
      </c>
      <c r="M416" s="956">
        <v>13910.206464000001</v>
      </c>
      <c r="N416" s="956">
        <v>13910.206464000001</v>
      </c>
      <c r="O416" s="956">
        <v>13910.206464000001</v>
      </c>
    </row>
    <row r="417" spans="1:15">
      <c r="A417" s="119"/>
      <c r="B417" s="331" t="s">
        <v>989</v>
      </c>
      <c r="C417">
        <v>0.14000000000000001</v>
      </c>
      <c r="D417" s="956">
        <v>0.16</v>
      </c>
      <c r="E417" s="956">
        <v>0.16</v>
      </c>
      <c r="F417" s="956">
        <v>0.16</v>
      </c>
      <c r="G417" s="956">
        <v>0.16</v>
      </c>
      <c r="H417" s="956">
        <v>0.16</v>
      </c>
      <c r="I417" s="956">
        <v>0.16</v>
      </c>
      <c r="J417" s="956">
        <v>0.16</v>
      </c>
      <c r="K417" s="956">
        <v>0.16</v>
      </c>
      <c r="L417" s="956">
        <v>0.16</v>
      </c>
      <c r="M417" s="956">
        <v>0.16</v>
      </c>
      <c r="N417" s="956">
        <v>0.16</v>
      </c>
      <c r="O417" s="956">
        <v>0.16</v>
      </c>
    </row>
    <row r="418" spans="1:15">
      <c r="A418" s="119"/>
      <c r="B418" s="331" t="s">
        <v>989</v>
      </c>
      <c r="C418">
        <v>7384.3086240000002</v>
      </c>
      <c r="D418" s="956">
        <v>8439.2098559999995</v>
      </c>
      <c r="E418" s="956">
        <v>8439.2098559999995</v>
      </c>
      <c r="F418" s="956">
        <v>8439.2098559999995</v>
      </c>
      <c r="G418" s="956">
        <v>8439.2098559999995</v>
      </c>
      <c r="H418" s="956">
        <v>8439.2098559999995</v>
      </c>
      <c r="I418" s="956">
        <v>8439.2098559999995</v>
      </c>
      <c r="J418" s="956">
        <v>8439.2098559999995</v>
      </c>
      <c r="K418" s="956">
        <v>8439.2098559999995</v>
      </c>
      <c r="L418" s="956">
        <v>8439.2098559999995</v>
      </c>
      <c r="M418" s="956">
        <v>8439.2098559999995</v>
      </c>
      <c r="N418" s="956">
        <v>8439.2098559999995</v>
      </c>
      <c r="O418" s="956">
        <v>8439.2098559999995</v>
      </c>
    </row>
    <row r="419" spans="1:15">
      <c r="A419" s="119"/>
      <c r="B419" s="331" t="s">
        <v>990</v>
      </c>
      <c r="C419">
        <v>0.13</v>
      </c>
      <c r="D419" s="956">
        <v>0.16</v>
      </c>
      <c r="E419" s="956">
        <v>0.16</v>
      </c>
      <c r="F419" s="956">
        <v>0.16</v>
      </c>
      <c r="G419" s="956">
        <v>0.16</v>
      </c>
      <c r="H419" s="956">
        <v>0.16</v>
      </c>
      <c r="I419" s="956">
        <v>0.16</v>
      </c>
      <c r="J419" s="956">
        <v>0.16</v>
      </c>
      <c r="K419" s="956">
        <v>0.16</v>
      </c>
      <c r="L419" s="956">
        <v>0.16</v>
      </c>
      <c r="M419" s="956">
        <v>0.16</v>
      </c>
      <c r="N419" s="956">
        <v>0.16</v>
      </c>
      <c r="O419" s="956">
        <v>0.16</v>
      </c>
    </row>
    <row r="420" spans="1:15">
      <c r="A420" s="119"/>
      <c r="B420" s="331" t="s">
        <v>990</v>
      </c>
      <c r="C420">
        <v>7416.9655560000001</v>
      </c>
      <c r="D420" s="956">
        <v>9128.5729919999994</v>
      </c>
      <c r="E420" s="956">
        <v>9128.5729919999994</v>
      </c>
      <c r="F420" s="956">
        <v>9128.5729919999994</v>
      </c>
      <c r="G420" s="956">
        <v>9128.5729919999994</v>
      </c>
      <c r="H420" s="956">
        <v>9128.5729919999994</v>
      </c>
      <c r="I420" s="956">
        <v>9128.5729919999994</v>
      </c>
      <c r="J420" s="956">
        <v>9128.5729919999994</v>
      </c>
      <c r="K420" s="956">
        <v>9128.5729919999994</v>
      </c>
      <c r="L420" s="956">
        <v>9128.5729919999994</v>
      </c>
      <c r="M420" s="956">
        <v>9128.5729919999994</v>
      </c>
      <c r="N420" s="956">
        <v>9128.5729919999994</v>
      </c>
      <c r="O420" s="956">
        <v>9128.5729919999994</v>
      </c>
    </row>
    <row r="421" spans="1:15">
      <c r="A421" s="119"/>
      <c r="B421" s="331" t="s">
        <v>991</v>
      </c>
      <c r="C421">
        <v>0.14000000000000001</v>
      </c>
      <c r="D421" s="956">
        <v>0.16</v>
      </c>
      <c r="E421" s="956">
        <v>0.16</v>
      </c>
      <c r="F421" s="956">
        <v>0.16</v>
      </c>
      <c r="G421" s="956">
        <v>0.16</v>
      </c>
      <c r="H421" s="956">
        <v>0.16</v>
      </c>
      <c r="I421" s="956">
        <v>0.16</v>
      </c>
      <c r="J421" s="956">
        <v>0.16</v>
      </c>
      <c r="K421" s="956">
        <v>0.16</v>
      </c>
      <c r="L421" s="956">
        <v>0.16</v>
      </c>
      <c r="M421" s="956">
        <v>0.16</v>
      </c>
      <c r="N421" s="956">
        <v>0.16</v>
      </c>
      <c r="O421" s="956">
        <v>0.16</v>
      </c>
    </row>
    <row r="422" spans="1:15">
      <c r="A422" s="119"/>
      <c r="B422" s="331" t="s">
        <v>991</v>
      </c>
      <c r="C422">
        <v>8851.9495680000018</v>
      </c>
      <c r="D422" s="956">
        <v>10116.513792000002</v>
      </c>
      <c r="E422" s="956">
        <v>10116.513792000002</v>
      </c>
      <c r="F422" s="956">
        <v>10116.513792000002</v>
      </c>
      <c r="G422" s="956">
        <v>10116.513792000002</v>
      </c>
      <c r="H422" s="956">
        <v>10116.513792000002</v>
      </c>
      <c r="I422" s="956">
        <v>10116.513792000002</v>
      </c>
      <c r="J422" s="956">
        <v>10116.513792000002</v>
      </c>
      <c r="K422" s="956">
        <v>10116.513792000002</v>
      </c>
      <c r="L422" s="956">
        <v>10116.513792000002</v>
      </c>
      <c r="M422" s="956">
        <v>10116.513792000002</v>
      </c>
      <c r="N422" s="956">
        <v>10116.513792000002</v>
      </c>
      <c r="O422" s="956">
        <v>10116.513792000002</v>
      </c>
    </row>
    <row r="423" spans="1:15">
      <c r="A423" s="119"/>
      <c r="B423" s="331" t="s">
        <v>992</v>
      </c>
      <c r="C423">
        <v>0.45</v>
      </c>
      <c r="D423" s="953">
        <v>0.45</v>
      </c>
      <c r="E423" s="953">
        <v>0.45</v>
      </c>
      <c r="F423" s="953">
        <v>0.45</v>
      </c>
      <c r="G423" s="953">
        <v>0.45</v>
      </c>
      <c r="H423" s="953">
        <v>0.45</v>
      </c>
      <c r="I423" s="953">
        <v>0.45</v>
      </c>
      <c r="J423" s="953">
        <v>0.45</v>
      </c>
      <c r="K423" s="953">
        <v>0.45</v>
      </c>
      <c r="L423" s="953">
        <v>0.45</v>
      </c>
      <c r="M423" s="953">
        <v>0.45</v>
      </c>
      <c r="N423" s="953">
        <v>0.45</v>
      </c>
      <c r="O423" s="953">
        <v>0.45</v>
      </c>
    </row>
    <row r="424" spans="1:15">
      <c r="A424" s="119"/>
      <c r="B424" s="331" t="s">
        <v>992</v>
      </c>
      <c r="C424">
        <v>52830.134279999991</v>
      </c>
      <c r="D424" s="953">
        <v>52830.134279999991</v>
      </c>
      <c r="E424" s="953">
        <v>52830.134279999991</v>
      </c>
      <c r="F424" s="953">
        <v>52830.134279999991</v>
      </c>
      <c r="G424" s="953">
        <v>52830.134279999991</v>
      </c>
      <c r="H424" s="953">
        <v>52830.134279999991</v>
      </c>
      <c r="I424" s="953">
        <v>52830.134279999991</v>
      </c>
      <c r="J424" s="953">
        <v>52830.134279999991</v>
      </c>
      <c r="K424" s="953">
        <v>52830.134279999991</v>
      </c>
      <c r="L424" s="953">
        <v>52830.134279999991</v>
      </c>
      <c r="M424" s="953">
        <v>52830.134279999991</v>
      </c>
      <c r="N424" s="953">
        <v>52830.134279999991</v>
      </c>
      <c r="O424" s="953">
        <v>52830.134279999991</v>
      </c>
    </row>
    <row r="425" spans="1:15">
      <c r="A425" s="119"/>
      <c r="B425" s="331" t="s">
        <v>993</v>
      </c>
      <c r="C425">
        <v>0.48</v>
      </c>
      <c r="D425" s="953">
        <v>0.48</v>
      </c>
      <c r="E425" s="953">
        <v>0.48</v>
      </c>
      <c r="F425" s="953">
        <v>0.48</v>
      </c>
      <c r="G425" s="953">
        <v>0.48</v>
      </c>
      <c r="H425" s="953">
        <v>0.48</v>
      </c>
      <c r="I425" s="953">
        <v>0.48</v>
      </c>
      <c r="J425" s="953">
        <v>0.48</v>
      </c>
      <c r="K425" s="953">
        <v>0.48</v>
      </c>
      <c r="L425" s="953">
        <v>0.48</v>
      </c>
      <c r="M425" s="953">
        <v>0.48</v>
      </c>
      <c r="N425" s="953">
        <v>0.48</v>
      </c>
      <c r="O425" s="953">
        <v>0.48</v>
      </c>
    </row>
    <row r="426" spans="1:15">
      <c r="A426" s="119"/>
      <c r="B426" s="331" t="s">
        <v>993</v>
      </c>
      <c r="C426">
        <v>59553.071424000002</v>
      </c>
      <c r="D426" s="953">
        <v>59553.071424000002</v>
      </c>
      <c r="E426" s="953">
        <v>59553.071424000002</v>
      </c>
      <c r="F426" s="953">
        <v>59553.071424000002</v>
      </c>
      <c r="G426" s="953">
        <v>59553.071424000002</v>
      </c>
      <c r="H426" s="953">
        <v>59553.071424000002</v>
      </c>
      <c r="I426" s="953">
        <v>59553.071424000002</v>
      </c>
      <c r="J426" s="953">
        <v>59553.071424000002</v>
      </c>
      <c r="K426" s="953">
        <v>59553.071424000002</v>
      </c>
      <c r="L426" s="953">
        <v>59553.071424000002</v>
      </c>
      <c r="M426" s="953">
        <v>59553.071424000002</v>
      </c>
      <c r="N426" s="953">
        <v>59553.071424000002</v>
      </c>
      <c r="O426" s="953">
        <v>59553.071424000002</v>
      </c>
    </row>
    <row r="427" spans="1:15">
      <c r="A427" s="119"/>
      <c r="B427" s="331" t="s">
        <v>994</v>
      </c>
      <c r="C427">
        <v>0.5</v>
      </c>
      <c r="D427" s="953">
        <v>0.5</v>
      </c>
      <c r="E427" s="953">
        <v>0.5</v>
      </c>
      <c r="F427" s="953">
        <v>0.5</v>
      </c>
      <c r="G427" s="953">
        <v>0.5</v>
      </c>
      <c r="H427" s="953">
        <v>0.5</v>
      </c>
      <c r="I427" s="953">
        <v>0.5</v>
      </c>
      <c r="J427" s="953">
        <v>0.5</v>
      </c>
      <c r="K427" s="953">
        <v>0.5</v>
      </c>
      <c r="L427" s="953">
        <v>0.5</v>
      </c>
      <c r="M427" s="953">
        <v>0.5</v>
      </c>
      <c r="N427" s="953">
        <v>0.5</v>
      </c>
      <c r="O427" s="953">
        <v>0.5</v>
      </c>
    </row>
    <row r="428" spans="1:15">
      <c r="A428" s="119"/>
      <c r="B428" s="331" t="s">
        <v>994</v>
      </c>
      <c r="C428">
        <v>67179.974399999992</v>
      </c>
      <c r="D428" s="953">
        <v>67179.974399999992</v>
      </c>
      <c r="E428" s="953">
        <v>67179.974399999992</v>
      </c>
      <c r="F428" s="953">
        <v>67179.974399999992</v>
      </c>
      <c r="G428" s="953">
        <v>67179.974399999992</v>
      </c>
      <c r="H428" s="953">
        <v>67179.974399999992</v>
      </c>
      <c r="I428" s="953">
        <v>67179.974399999992</v>
      </c>
      <c r="J428" s="953">
        <v>67179.974399999992</v>
      </c>
      <c r="K428" s="953">
        <v>67179.974399999992</v>
      </c>
      <c r="L428" s="953">
        <v>67179.974399999992</v>
      </c>
      <c r="M428" s="953">
        <v>67179.974399999992</v>
      </c>
      <c r="N428" s="953">
        <v>67179.974399999992</v>
      </c>
      <c r="O428" s="953">
        <v>67179.974399999992</v>
      </c>
    </row>
    <row r="429" spans="1:15">
      <c r="A429" s="119"/>
      <c r="B429" s="331" t="s">
        <v>995</v>
      </c>
      <c r="C429">
        <v>0.55000000000000004</v>
      </c>
      <c r="D429" s="953">
        <v>0.55000000000000004</v>
      </c>
      <c r="E429" s="953">
        <v>0.55000000000000004</v>
      </c>
      <c r="F429" s="953">
        <v>0.55000000000000004</v>
      </c>
      <c r="G429" s="953">
        <v>0.55000000000000004</v>
      </c>
      <c r="H429" s="953">
        <v>0.55000000000000004</v>
      </c>
      <c r="I429" s="953">
        <v>0.55000000000000004</v>
      </c>
      <c r="J429" s="953">
        <v>0.55000000000000004</v>
      </c>
      <c r="K429" s="953">
        <v>0.55000000000000004</v>
      </c>
      <c r="L429" s="953">
        <v>0.55000000000000004</v>
      </c>
      <c r="M429" s="953">
        <v>0.55000000000000004</v>
      </c>
      <c r="N429" s="953">
        <v>0.55000000000000004</v>
      </c>
      <c r="O429" s="953">
        <v>0.55000000000000004</v>
      </c>
    </row>
    <row r="430" spans="1:15">
      <c r="A430" s="119"/>
      <c r="B430" s="331" t="s">
        <v>995</v>
      </c>
      <c r="C430">
        <v>64570.164119999994</v>
      </c>
      <c r="D430" s="953">
        <v>64570.164119999994</v>
      </c>
      <c r="E430" s="953">
        <v>64570.164119999994</v>
      </c>
      <c r="F430" s="953">
        <v>64570.164119999994</v>
      </c>
      <c r="G430" s="953">
        <v>64570.164119999994</v>
      </c>
      <c r="H430" s="953">
        <v>64570.164119999994</v>
      </c>
      <c r="I430" s="953">
        <v>64570.164119999994</v>
      </c>
      <c r="J430" s="953">
        <v>64570.164119999994</v>
      </c>
      <c r="K430" s="953">
        <v>64570.164119999994</v>
      </c>
      <c r="L430" s="953">
        <v>64570.164119999994</v>
      </c>
      <c r="M430" s="953">
        <v>64570.164119999994</v>
      </c>
      <c r="N430" s="953">
        <v>64570.164119999994</v>
      </c>
      <c r="O430" s="953">
        <v>64570.164119999994</v>
      </c>
    </row>
    <row r="431" spans="1:15">
      <c r="A431" s="119"/>
      <c r="B431" s="331" t="s">
        <v>996</v>
      </c>
      <c r="C431">
        <v>0.52</v>
      </c>
      <c r="D431" s="953">
        <v>0.52</v>
      </c>
      <c r="E431" s="953">
        <v>0.52</v>
      </c>
      <c r="F431" s="953">
        <v>0.52</v>
      </c>
      <c r="G431" s="953">
        <v>0.52</v>
      </c>
      <c r="H431" s="953">
        <v>0.52</v>
      </c>
      <c r="I431" s="953">
        <v>0.52</v>
      </c>
      <c r="J431" s="953">
        <v>0.52</v>
      </c>
      <c r="K431" s="953">
        <v>0.52</v>
      </c>
      <c r="L431" s="953">
        <v>0.52</v>
      </c>
      <c r="M431" s="953">
        <v>0.52</v>
      </c>
      <c r="N431" s="953">
        <v>0.52</v>
      </c>
      <c r="O431" s="953">
        <v>0.52</v>
      </c>
    </row>
    <row r="432" spans="1:15">
      <c r="A432" s="119"/>
      <c r="B432" s="331" t="s">
        <v>996</v>
      </c>
      <c r="C432">
        <v>64515.827376000008</v>
      </c>
      <c r="D432" s="953">
        <v>64515.827376000008</v>
      </c>
      <c r="E432" s="953">
        <v>64515.827376000008</v>
      </c>
      <c r="F432" s="953">
        <v>64515.827376000008</v>
      </c>
      <c r="G432" s="953">
        <v>64515.827376000008</v>
      </c>
      <c r="H432" s="953">
        <v>64515.827376000008</v>
      </c>
      <c r="I432" s="953">
        <v>64515.827376000008</v>
      </c>
      <c r="J432" s="953">
        <v>64515.827376000008</v>
      </c>
      <c r="K432" s="953">
        <v>64515.827376000008</v>
      </c>
      <c r="L432" s="953">
        <v>64515.827376000008</v>
      </c>
      <c r="M432" s="953">
        <v>64515.827376000008</v>
      </c>
      <c r="N432" s="953">
        <v>64515.827376000008</v>
      </c>
      <c r="O432" s="953">
        <v>64515.827376000008</v>
      </c>
    </row>
    <row r="433" spans="1:15">
      <c r="A433" s="119"/>
      <c r="B433" s="331" t="s">
        <v>997</v>
      </c>
      <c r="C433">
        <v>0.5</v>
      </c>
      <c r="D433" s="953">
        <v>0.5</v>
      </c>
      <c r="E433" s="953">
        <v>0.5</v>
      </c>
      <c r="F433" s="953">
        <v>0.5</v>
      </c>
      <c r="G433" s="953">
        <v>0.5</v>
      </c>
      <c r="H433" s="953">
        <v>0.5</v>
      </c>
      <c r="I433" s="953">
        <v>0.5</v>
      </c>
      <c r="J433" s="953">
        <v>0.5</v>
      </c>
      <c r="K433" s="953">
        <v>0.5</v>
      </c>
      <c r="L433" s="953">
        <v>0.5</v>
      </c>
      <c r="M433" s="953">
        <v>0.5</v>
      </c>
      <c r="N433" s="953">
        <v>0.5</v>
      </c>
      <c r="O433" s="953">
        <v>0.5</v>
      </c>
    </row>
    <row r="434" spans="1:15">
      <c r="A434" s="119"/>
      <c r="B434" s="331" t="s">
        <v>997</v>
      </c>
      <c r="C434">
        <v>67179.974399999992</v>
      </c>
      <c r="D434" s="953">
        <v>67179.974399999992</v>
      </c>
      <c r="E434" s="953">
        <v>67179.974399999992</v>
      </c>
      <c r="F434" s="953">
        <v>67179.974399999992</v>
      </c>
      <c r="G434" s="953">
        <v>67179.974399999992</v>
      </c>
      <c r="H434" s="953">
        <v>67179.974399999992</v>
      </c>
      <c r="I434" s="953">
        <v>67179.974399999992</v>
      </c>
      <c r="J434" s="953">
        <v>67179.974399999992</v>
      </c>
      <c r="K434" s="953">
        <v>67179.974399999992</v>
      </c>
      <c r="L434" s="953">
        <v>67179.974399999992</v>
      </c>
      <c r="M434" s="953">
        <v>67179.974399999992</v>
      </c>
      <c r="N434" s="953">
        <v>67179.974399999992</v>
      </c>
      <c r="O434" s="953">
        <v>67179.974399999992</v>
      </c>
    </row>
    <row r="435" spans="1:15">
      <c r="A435" s="119"/>
      <c r="B435" s="331" t="s">
        <v>998</v>
      </c>
      <c r="C435">
        <v>0</v>
      </c>
      <c r="D435" s="953">
        <v>0</v>
      </c>
      <c r="E435" s="953">
        <v>0</v>
      </c>
      <c r="F435" s="953">
        <v>0</v>
      </c>
      <c r="G435" s="953">
        <v>0</v>
      </c>
      <c r="H435" s="953">
        <v>0</v>
      </c>
      <c r="I435" s="953">
        <v>0</v>
      </c>
      <c r="J435" s="953">
        <v>0</v>
      </c>
      <c r="K435" s="953">
        <v>0</v>
      </c>
      <c r="L435" s="953">
        <v>0</v>
      </c>
      <c r="M435" s="953">
        <v>0</v>
      </c>
      <c r="N435" s="953">
        <v>0</v>
      </c>
      <c r="O435" s="953">
        <v>0</v>
      </c>
    </row>
    <row r="436" spans="1:15">
      <c r="A436" s="119"/>
      <c r="B436" s="331" t="s">
        <v>998</v>
      </c>
      <c r="C436">
        <v>0</v>
      </c>
      <c r="D436" s="953">
        <v>0</v>
      </c>
      <c r="E436" s="953">
        <v>0</v>
      </c>
      <c r="F436" s="953">
        <v>0</v>
      </c>
      <c r="G436" s="953">
        <v>0</v>
      </c>
      <c r="H436" s="953">
        <v>0</v>
      </c>
      <c r="I436" s="953">
        <v>0</v>
      </c>
      <c r="J436" s="953">
        <v>0</v>
      </c>
      <c r="K436" s="953">
        <v>0</v>
      </c>
      <c r="L436" s="953">
        <v>0</v>
      </c>
      <c r="M436" s="953">
        <v>0</v>
      </c>
      <c r="N436" s="953">
        <v>0</v>
      </c>
      <c r="O436" s="953">
        <v>0</v>
      </c>
    </row>
    <row r="437" spans="1:15">
      <c r="A437" s="119"/>
      <c r="B437" s="331" t="s">
        <v>999</v>
      </c>
      <c r="C437">
        <v>0</v>
      </c>
      <c r="D437" s="953">
        <v>0</v>
      </c>
      <c r="E437" s="953">
        <v>0</v>
      </c>
      <c r="F437" s="953">
        <v>0</v>
      </c>
      <c r="G437" s="953">
        <v>0</v>
      </c>
      <c r="H437" s="953">
        <v>0</v>
      </c>
      <c r="I437" s="953">
        <v>0</v>
      </c>
      <c r="J437" s="953">
        <v>0</v>
      </c>
      <c r="K437" s="953">
        <v>0</v>
      </c>
      <c r="L437" s="953">
        <v>0</v>
      </c>
      <c r="M437" s="953">
        <v>0</v>
      </c>
      <c r="N437" s="953">
        <v>0</v>
      </c>
      <c r="O437" s="953">
        <v>0</v>
      </c>
    </row>
    <row r="438" spans="1:15">
      <c r="A438" s="119"/>
      <c r="B438" s="331" t="s">
        <v>999</v>
      </c>
      <c r="C438">
        <v>0</v>
      </c>
      <c r="D438" s="953">
        <v>0</v>
      </c>
      <c r="E438" s="953">
        <v>0</v>
      </c>
      <c r="F438" s="953">
        <v>0</v>
      </c>
      <c r="G438" s="953">
        <v>0</v>
      </c>
      <c r="H438" s="953">
        <v>0</v>
      </c>
      <c r="I438" s="953">
        <v>0</v>
      </c>
      <c r="J438" s="953">
        <v>0</v>
      </c>
      <c r="K438" s="953">
        <v>0</v>
      </c>
      <c r="L438" s="953">
        <v>0</v>
      </c>
      <c r="M438" s="953">
        <v>0</v>
      </c>
      <c r="N438" s="953">
        <v>0</v>
      </c>
      <c r="O438" s="953">
        <v>0</v>
      </c>
    </row>
    <row r="439" spans="1:15">
      <c r="A439" s="119"/>
      <c r="B439" s="331" t="s">
        <v>1000</v>
      </c>
      <c r="C439">
        <v>0</v>
      </c>
      <c r="D439" s="953">
        <v>0</v>
      </c>
      <c r="E439" s="953">
        <v>0</v>
      </c>
      <c r="F439" s="953">
        <v>0</v>
      </c>
      <c r="G439" s="953">
        <v>0</v>
      </c>
      <c r="H439" s="953">
        <v>0</v>
      </c>
      <c r="I439" s="953">
        <v>0</v>
      </c>
      <c r="J439" s="953">
        <v>0</v>
      </c>
      <c r="K439" s="953">
        <v>0</v>
      </c>
      <c r="L439" s="953">
        <v>0</v>
      </c>
      <c r="M439" s="953">
        <v>0</v>
      </c>
      <c r="N439" s="953">
        <v>0</v>
      </c>
      <c r="O439" s="953">
        <v>0</v>
      </c>
    </row>
    <row r="440" spans="1:15">
      <c r="A440" s="119"/>
      <c r="B440" s="331" t="s">
        <v>1000</v>
      </c>
      <c r="C440">
        <v>0</v>
      </c>
      <c r="D440" s="953">
        <v>0</v>
      </c>
      <c r="E440" s="953">
        <v>0</v>
      </c>
      <c r="F440" s="953">
        <v>0</v>
      </c>
      <c r="G440" s="953">
        <v>0</v>
      </c>
      <c r="H440" s="953">
        <v>0</v>
      </c>
      <c r="I440" s="953">
        <v>0</v>
      </c>
      <c r="J440" s="953">
        <v>0</v>
      </c>
      <c r="K440" s="953">
        <v>0</v>
      </c>
      <c r="L440" s="953">
        <v>0</v>
      </c>
      <c r="M440" s="953">
        <v>0</v>
      </c>
      <c r="N440" s="953">
        <v>0</v>
      </c>
      <c r="O440" s="953">
        <v>0</v>
      </c>
    </row>
    <row r="442" spans="1:15">
      <c r="A442" s="119">
        <v>6.1</v>
      </c>
      <c r="B442" s="331" t="s">
        <v>363</v>
      </c>
      <c r="D442" s="953"/>
      <c r="E442" s="953"/>
      <c r="F442" s="953"/>
      <c r="G442" s="953"/>
      <c r="H442" s="953"/>
      <c r="I442" s="953"/>
      <c r="J442" s="953"/>
      <c r="K442" s="953"/>
      <c r="L442" s="953"/>
      <c r="M442" s="953"/>
      <c r="N442" s="953"/>
      <c r="O442" s="953"/>
    </row>
    <row r="443" spans="1:15">
      <c r="A443" s="119"/>
      <c r="B443" s="331" t="s">
        <v>1001</v>
      </c>
      <c r="C443">
        <v>849.19549175999998</v>
      </c>
      <c r="D443" s="956">
        <v>334.20498244440734</v>
      </c>
      <c r="E443" s="956">
        <v>334.20498244440734</v>
      </c>
      <c r="F443" s="956">
        <v>334.20498244440734</v>
      </c>
      <c r="G443" s="956">
        <v>334.20498244440734</v>
      </c>
      <c r="H443" s="956">
        <v>334.20498244440734</v>
      </c>
      <c r="I443" s="956">
        <v>334.20498244440734</v>
      </c>
      <c r="J443" s="956">
        <v>334.20498244440734</v>
      </c>
      <c r="K443" s="956">
        <v>334.20498244440734</v>
      </c>
      <c r="L443" s="956">
        <v>334.20498244440734</v>
      </c>
      <c r="M443" s="956">
        <v>334.20498244440734</v>
      </c>
      <c r="N443" s="956">
        <v>334.20498244440734</v>
      </c>
      <c r="O443" s="956">
        <v>334.20498244440734</v>
      </c>
    </row>
    <row r="444" spans="1:15">
      <c r="A444" s="119"/>
      <c r="B444" s="331" t="s">
        <v>1002</v>
      </c>
      <c r="C444">
        <v>849.19549175999998</v>
      </c>
      <c r="D444" s="956">
        <v>334.20498244440734</v>
      </c>
      <c r="E444" s="956">
        <v>334.20498244440734</v>
      </c>
      <c r="F444" s="956">
        <v>334.20498244440734</v>
      </c>
      <c r="G444" s="956">
        <v>334.20498244440734</v>
      </c>
      <c r="H444" s="956">
        <v>334.20498244440734</v>
      </c>
      <c r="I444" s="956">
        <v>334.20498244440734</v>
      </c>
      <c r="J444" s="956">
        <v>334.20498244440734</v>
      </c>
      <c r="K444" s="956">
        <v>334.20498244440734</v>
      </c>
      <c r="L444" s="956">
        <v>334.20498244440734</v>
      </c>
      <c r="M444" s="956">
        <v>334.20498244440734</v>
      </c>
      <c r="N444" s="956">
        <v>334.20498244440734</v>
      </c>
      <c r="O444" s="956">
        <v>334.20498244440734</v>
      </c>
    </row>
    <row r="445" spans="1:15">
      <c r="A445" s="119"/>
      <c r="B445" s="331" t="s">
        <v>1003</v>
      </c>
      <c r="C445">
        <v>786.01752677702052</v>
      </c>
      <c r="D445" s="956">
        <v>411.41148047999997</v>
      </c>
      <c r="E445" s="956">
        <v>411.41148047999997</v>
      </c>
      <c r="F445" s="956">
        <v>411.41148047999997</v>
      </c>
      <c r="G445" s="956">
        <v>411.41148047999997</v>
      </c>
      <c r="H445" s="956">
        <v>411.41148047999997</v>
      </c>
      <c r="I445" s="956">
        <v>411.41148047999997</v>
      </c>
      <c r="J445" s="956">
        <v>411.41148047999997</v>
      </c>
      <c r="K445" s="956">
        <v>411.41148047999997</v>
      </c>
      <c r="L445" s="956">
        <v>411.41148047999997</v>
      </c>
      <c r="M445" s="956">
        <v>411.41148047999997</v>
      </c>
      <c r="N445" s="956">
        <v>411.41148047999997</v>
      </c>
      <c r="O445" s="956">
        <v>411.41148047999997</v>
      </c>
    </row>
    <row r="446" spans="1:15">
      <c r="A446" s="119"/>
      <c r="B446" s="331" t="s">
        <v>1004</v>
      </c>
      <c r="C446">
        <v>694.69879518072287</v>
      </c>
      <c r="D446" s="956">
        <v>372.41584896286179</v>
      </c>
      <c r="E446" s="956">
        <v>372.41584896286179</v>
      </c>
      <c r="F446" s="956">
        <v>372.41584896286179</v>
      </c>
      <c r="G446" s="956">
        <v>372.41584896286179</v>
      </c>
      <c r="H446" s="956">
        <v>372.41584896286179</v>
      </c>
      <c r="I446" s="956">
        <v>372.41584896286179</v>
      </c>
      <c r="J446" s="956">
        <v>372.41584896286179</v>
      </c>
      <c r="K446" s="956">
        <v>372.41584896286179</v>
      </c>
      <c r="L446" s="956">
        <v>372.41584896286179</v>
      </c>
      <c r="M446" s="956">
        <v>372.41584896286179</v>
      </c>
      <c r="N446" s="956">
        <v>372.41584896286179</v>
      </c>
      <c r="O446" s="956">
        <v>372.41584896286179</v>
      </c>
    </row>
    <row r="447" spans="1:15">
      <c r="A447" s="119"/>
      <c r="B447" s="331" t="s">
        <v>1005</v>
      </c>
      <c r="C447">
        <v>926.26506024096386</v>
      </c>
      <c r="D447" s="956">
        <v>548.54864063999992</v>
      </c>
      <c r="E447" s="956">
        <v>548.54864063999992</v>
      </c>
      <c r="F447" s="956">
        <v>548.54864063999992</v>
      </c>
      <c r="G447" s="956">
        <v>548.54864063999992</v>
      </c>
      <c r="H447" s="956">
        <v>548.54864063999992</v>
      </c>
      <c r="I447" s="956">
        <v>548.54864063999992</v>
      </c>
      <c r="J447" s="956">
        <v>548.54864063999992</v>
      </c>
      <c r="K447" s="956">
        <v>548.54864063999992</v>
      </c>
      <c r="L447" s="956">
        <v>548.54864063999992</v>
      </c>
      <c r="M447" s="956">
        <v>548.54864063999992</v>
      </c>
      <c r="N447" s="956">
        <v>548.54864063999992</v>
      </c>
      <c r="O447" s="956">
        <v>548.54864063999992</v>
      </c>
    </row>
    <row r="448" spans="1:15">
      <c r="A448" s="119"/>
      <c r="B448" s="331" t="s">
        <v>1006</v>
      </c>
      <c r="C448">
        <v>1157.8313253012047</v>
      </c>
      <c r="D448" s="956">
        <v>712.25769669327246</v>
      </c>
      <c r="E448" s="956">
        <v>712.25769669327246</v>
      </c>
      <c r="F448" s="956">
        <v>712.25769669327246</v>
      </c>
      <c r="G448" s="956">
        <v>712.25769669327246</v>
      </c>
      <c r="H448" s="956">
        <v>712.25769669327246</v>
      </c>
      <c r="I448" s="956">
        <v>712.25769669327246</v>
      </c>
      <c r="J448" s="956">
        <v>712.25769669327246</v>
      </c>
      <c r="K448" s="956">
        <v>712.25769669327246</v>
      </c>
      <c r="L448" s="956">
        <v>712.25769669327246</v>
      </c>
      <c r="M448" s="956">
        <v>712.25769669327246</v>
      </c>
      <c r="N448" s="956">
        <v>712.25769669327246</v>
      </c>
      <c r="O448" s="956">
        <v>712.25769669327246</v>
      </c>
    </row>
    <row r="449" spans="1:15">
      <c r="A449" s="119"/>
      <c r="B449" s="331" t="s">
        <v>1007</v>
      </c>
      <c r="C449">
        <v>1157.8313253012047</v>
      </c>
      <c r="D449" s="956">
        <v>712.25769669327246</v>
      </c>
      <c r="E449" s="956">
        <v>712.25769669327246</v>
      </c>
      <c r="F449" s="956">
        <v>712.25769669327246</v>
      </c>
      <c r="G449" s="956">
        <v>712.25769669327246</v>
      </c>
      <c r="H449" s="956">
        <v>712.25769669327246</v>
      </c>
      <c r="I449" s="956">
        <v>712.25769669327246</v>
      </c>
      <c r="J449" s="956">
        <v>712.25769669327246</v>
      </c>
      <c r="K449" s="956">
        <v>712.25769669327246</v>
      </c>
      <c r="L449" s="956">
        <v>712.25769669327246</v>
      </c>
      <c r="M449" s="956">
        <v>712.25769669327246</v>
      </c>
      <c r="N449" s="956">
        <v>712.25769669327246</v>
      </c>
      <c r="O449" s="956">
        <v>712.25769669327246</v>
      </c>
    </row>
    <row r="450" spans="1:15">
      <c r="A450" s="119"/>
      <c r="B450" s="331" t="s">
        <v>1008</v>
      </c>
      <c r="C450">
        <v>1195.0259067357511</v>
      </c>
      <c r="D450" s="956">
        <v>712.25769669327246</v>
      </c>
      <c r="E450" s="956">
        <v>712.25769669327246</v>
      </c>
      <c r="F450" s="956">
        <v>712.25769669327246</v>
      </c>
      <c r="G450" s="956">
        <v>712.25769669327246</v>
      </c>
      <c r="H450" s="956">
        <v>712.25769669327246</v>
      </c>
      <c r="I450" s="956">
        <v>712.25769669327246</v>
      </c>
      <c r="J450" s="956">
        <v>712.25769669327246</v>
      </c>
      <c r="K450" s="956">
        <v>712.25769669327246</v>
      </c>
      <c r="L450" s="956">
        <v>712.25769669327246</v>
      </c>
      <c r="M450" s="956">
        <v>712.25769669327246</v>
      </c>
      <c r="N450" s="956">
        <v>712.25769669327246</v>
      </c>
      <c r="O450" s="956">
        <v>712.25769669327246</v>
      </c>
    </row>
    <row r="451" spans="1:15">
      <c r="A451" s="119"/>
      <c r="B451" s="331" t="s">
        <v>1009</v>
      </c>
      <c r="C451">
        <v>1195.0259067357511</v>
      </c>
      <c r="D451" s="956">
        <v>685.68580079999992</v>
      </c>
      <c r="E451" s="956">
        <v>685.68580079999992</v>
      </c>
      <c r="F451" s="956">
        <v>685.68580079999992</v>
      </c>
      <c r="G451" s="956">
        <v>685.68580079999992</v>
      </c>
      <c r="H451" s="956">
        <v>685.68580079999992</v>
      </c>
      <c r="I451" s="956">
        <v>685.68580079999992</v>
      </c>
      <c r="J451" s="956">
        <v>685.68580079999992</v>
      </c>
      <c r="K451" s="956">
        <v>685.68580079999992</v>
      </c>
      <c r="L451" s="956">
        <v>685.68580079999992</v>
      </c>
      <c r="M451" s="956">
        <v>685.68580079999992</v>
      </c>
      <c r="N451" s="956">
        <v>685.68580079999992</v>
      </c>
      <c r="O451" s="956">
        <v>685.68580079999992</v>
      </c>
    </row>
    <row r="452" spans="1:15">
      <c r="A452" s="119"/>
      <c r="B452" s="331" t="s">
        <v>1010</v>
      </c>
      <c r="C452">
        <v>1070.7520891364904</v>
      </c>
      <c r="D452" s="956">
        <v>625.13838936669276</v>
      </c>
      <c r="E452" s="956">
        <v>625.13838936669276</v>
      </c>
      <c r="F452" s="956">
        <v>625.13838936669276</v>
      </c>
      <c r="G452" s="956">
        <v>625.13838936669276</v>
      </c>
      <c r="H452" s="956">
        <v>625.13838936669276</v>
      </c>
      <c r="I452" s="956">
        <v>625.13838936669276</v>
      </c>
      <c r="J452" s="956">
        <v>625.13838936669276</v>
      </c>
      <c r="K452" s="956">
        <v>625.13838936669276</v>
      </c>
      <c r="L452" s="956">
        <v>625.13838936669276</v>
      </c>
      <c r="M452" s="956">
        <v>625.13838936669276</v>
      </c>
      <c r="N452" s="956">
        <v>625.13838936669276</v>
      </c>
      <c r="O452" s="956">
        <v>625.13838936669276</v>
      </c>
    </row>
    <row r="453" spans="1:15">
      <c r="A453" s="119"/>
      <c r="B453" s="331" t="s">
        <v>1011</v>
      </c>
      <c r="C453">
        <v>694.69879518072287</v>
      </c>
      <c r="D453" s="956">
        <v>372.41584896286179</v>
      </c>
      <c r="E453" s="956">
        <v>372.41584896286179</v>
      </c>
      <c r="F453" s="956">
        <v>372.41584896286179</v>
      </c>
      <c r="G453" s="956">
        <v>372.41584896286179</v>
      </c>
      <c r="H453" s="956">
        <v>372.41584896286179</v>
      </c>
      <c r="I453" s="956">
        <v>372.41584896286179</v>
      </c>
      <c r="J453" s="956">
        <v>372.41584896286179</v>
      </c>
      <c r="K453" s="956">
        <v>372.41584896286179</v>
      </c>
      <c r="L453" s="956">
        <v>372.41584896286179</v>
      </c>
      <c r="M453" s="956">
        <v>372.41584896286179</v>
      </c>
      <c r="N453" s="956">
        <v>372.41584896286179</v>
      </c>
      <c r="O453" s="956">
        <v>372.41584896286179</v>
      </c>
    </row>
    <row r="454" spans="1:15">
      <c r="A454" s="119"/>
      <c r="B454" s="331" t="s">
        <v>1012</v>
      </c>
      <c r="C454">
        <v>694.69879518072287</v>
      </c>
      <c r="D454" s="956">
        <v>372.41584896286179</v>
      </c>
      <c r="E454" s="956">
        <v>372.41584896286179</v>
      </c>
      <c r="F454" s="956">
        <v>372.41584896286179</v>
      </c>
      <c r="G454" s="956">
        <v>372.41584896286179</v>
      </c>
      <c r="H454" s="956">
        <v>372.41584896286179</v>
      </c>
      <c r="I454" s="956">
        <v>372.41584896286179</v>
      </c>
      <c r="J454" s="956">
        <v>372.41584896286179</v>
      </c>
      <c r="K454" s="956">
        <v>372.41584896286179</v>
      </c>
      <c r="L454" s="956">
        <v>372.41584896286179</v>
      </c>
      <c r="M454" s="956">
        <v>372.41584896286179</v>
      </c>
      <c r="N454" s="956">
        <v>372.41584896286179</v>
      </c>
      <c r="O454" s="956">
        <v>372.41584896286179</v>
      </c>
    </row>
    <row r="455" spans="1:15">
      <c r="A455" s="119"/>
      <c r="B455" s="331" t="s">
        <v>1013</v>
      </c>
      <c r="C455">
        <v>905.86416344561007</v>
      </c>
      <c r="D455" s="956">
        <v>322.45118272741701</v>
      </c>
      <c r="E455" s="956">
        <v>322.45118272741701</v>
      </c>
      <c r="F455" s="956">
        <v>322.45118272741701</v>
      </c>
      <c r="G455" s="956">
        <v>322.45118272741701</v>
      </c>
      <c r="H455" s="956">
        <v>322.45118272741701</v>
      </c>
      <c r="I455" s="1130">
        <v>0</v>
      </c>
      <c r="J455" s="1130">
        <v>0</v>
      </c>
      <c r="K455" s="1130">
        <v>0</v>
      </c>
      <c r="L455" s="1130">
        <v>0</v>
      </c>
      <c r="M455" s="1130">
        <v>0</v>
      </c>
      <c r="N455" s="1130">
        <v>0</v>
      </c>
      <c r="O455" s="1130">
        <v>0</v>
      </c>
    </row>
    <row r="456" spans="1:15">
      <c r="A456" s="119"/>
      <c r="B456" s="331" t="s">
        <v>1014</v>
      </c>
      <c r="C456">
        <v>905.86416344561007</v>
      </c>
      <c r="D456" s="956">
        <v>322.45118272741701</v>
      </c>
      <c r="E456" s="956">
        <v>322.45118272741701</v>
      </c>
      <c r="F456" s="956">
        <v>322.45118272741701</v>
      </c>
      <c r="G456" s="956">
        <v>322.45118272741701</v>
      </c>
      <c r="H456" s="956">
        <v>322.45118272741701</v>
      </c>
      <c r="I456" s="956">
        <v>322.45118272741701</v>
      </c>
      <c r="J456" s="956">
        <v>322.45118272741701</v>
      </c>
      <c r="K456" s="956">
        <v>322.45118272741701</v>
      </c>
      <c r="L456" s="956">
        <v>322.45118272741701</v>
      </c>
      <c r="M456" s="956">
        <v>322.45118272741701</v>
      </c>
      <c r="N456" s="956">
        <v>322.45118272741701</v>
      </c>
      <c r="O456" s="956">
        <v>322.45118272741701</v>
      </c>
    </row>
    <row r="457" spans="1:15">
      <c r="A457" s="119"/>
      <c r="B457" s="331" t="s">
        <v>1015</v>
      </c>
      <c r="C457">
        <v>786.82014388489199</v>
      </c>
      <c r="D457" s="956">
        <v>411.99188640973631</v>
      </c>
      <c r="E457" s="956">
        <v>411.99188640973631</v>
      </c>
      <c r="F457" s="956">
        <v>411.99188640973631</v>
      </c>
      <c r="G457" s="956">
        <v>411.99188640973631</v>
      </c>
      <c r="H457" s="956">
        <v>411.99188640973631</v>
      </c>
      <c r="I457" s="956">
        <v>411.99188640973631</v>
      </c>
      <c r="J457" s="956">
        <v>411.99188640973631</v>
      </c>
      <c r="K457" s="956">
        <v>411.99188640973631</v>
      </c>
      <c r="L457" s="956">
        <v>411.99188640973631</v>
      </c>
      <c r="M457" s="956">
        <v>411.99188640973631</v>
      </c>
      <c r="N457" s="956">
        <v>411.99188640973631</v>
      </c>
      <c r="O457" s="956">
        <v>411.99188640973631</v>
      </c>
    </row>
    <row r="458" spans="1:15">
      <c r="A458" s="119"/>
      <c r="B458" s="331" t="s">
        <v>1016</v>
      </c>
      <c r="C458">
        <v>927.240356083086</v>
      </c>
      <c r="D458" s="956">
        <v>358.81286067600985</v>
      </c>
      <c r="E458" s="956">
        <v>358.81286067600985</v>
      </c>
      <c r="F458" s="956">
        <v>358.81286067600985</v>
      </c>
      <c r="G458" s="956">
        <v>358.81286067600985</v>
      </c>
      <c r="H458" s="956">
        <v>358.81286067600985</v>
      </c>
      <c r="I458" s="956">
        <v>358.81286067600985</v>
      </c>
      <c r="J458" s="956">
        <v>358.81286067600985</v>
      </c>
      <c r="K458" s="956">
        <v>358.81286067600985</v>
      </c>
      <c r="L458" s="956">
        <v>358.81286067600985</v>
      </c>
      <c r="M458" s="956">
        <v>358.81286067600985</v>
      </c>
      <c r="N458" s="956">
        <v>358.81286067600985</v>
      </c>
      <c r="O458" s="956">
        <v>358.81286067600985</v>
      </c>
    </row>
    <row r="459" spans="1:15">
      <c r="A459" s="119"/>
      <c r="B459" s="331" t="s">
        <v>1017</v>
      </c>
      <c r="C459">
        <v>927.24035608308589</v>
      </c>
      <c r="D459" s="956">
        <v>549.32251521298178</v>
      </c>
      <c r="E459" s="956">
        <v>549.32251521298178</v>
      </c>
      <c r="F459" s="956">
        <v>549.32251521298178</v>
      </c>
      <c r="G459" s="956">
        <v>549.32251521298178</v>
      </c>
      <c r="H459" s="956">
        <v>549.32251521298178</v>
      </c>
      <c r="I459" s="956">
        <v>549.32251521298178</v>
      </c>
      <c r="J459" s="956">
        <v>549.32251521298178</v>
      </c>
      <c r="K459" s="956">
        <v>549.32251521298178</v>
      </c>
      <c r="L459" s="956">
        <v>549.32251521298178</v>
      </c>
      <c r="M459" s="956">
        <v>549.32251521298178</v>
      </c>
      <c r="N459" s="956">
        <v>549.32251521298178</v>
      </c>
      <c r="O459" s="956">
        <v>549.32251521298178</v>
      </c>
    </row>
    <row r="460" spans="1:15">
      <c r="A460" s="119"/>
      <c r="B460" s="331" t="s">
        <v>1018</v>
      </c>
      <c r="C460">
        <v>1369.2859488000001</v>
      </c>
      <c r="D460" s="956">
        <v>823.98377281947262</v>
      </c>
      <c r="E460" s="956">
        <v>823.98377281947262</v>
      </c>
      <c r="F460" s="956">
        <v>823.98377281947262</v>
      </c>
      <c r="G460" s="956">
        <v>823.98377281947262</v>
      </c>
      <c r="H460" s="956">
        <v>823.98377281947262</v>
      </c>
      <c r="I460" s="1130">
        <v>882.94209702660396</v>
      </c>
      <c r="J460" s="1130">
        <v>882.94209702660396</v>
      </c>
      <c r="K460" s="1130">
        <v>882.94209702660396</v>
      </c>
      <c r="L460" s="1130">
        <v>882.94209702660396</v>
      </c>
      <c r="M460" s="1130">
        <v>882.94209702660396</v>
      </c>
      <c r="N460" s="1130">
        <v>882.94209702660396</v>
      </c>
      <c r="O460" s="1130">
        <v>882.94209702660396</v>
      </c>
    </row>
    <row r="461" spans="1:15">
      <c r="A461" s="119"/>
      <c r="B461" s="331" t="s">
        <v>1019</v>
      </c>
      <c r="C461">
        <v>1369.2859488000001</v>
      </c>
      <c r="D461" s="956">
        <v>823.98377281947262</v>
      </c>
      <c r="E461" s="956">
        <v>823.98377281947262</v>
      </c>
      <c r="F461" s="956">
        <v>823.98377281947262</v>
      </c>
      <c r="G461" s="956">
        <v>823.98377281947262</v>
      </c>
      <c r="H461" s="956">
        <v>823.98377281947262</v>
      </c>
      <c r="I461" s="1130">
        <v>855.56866048862662</v>
      </c>
      <c r="J461" s="1130">
        <v>855.56866048862662</v>
      </c>
      <c r="K461" s="1130">
        <v>855.56866048862662</v>
      </c>
      <c r="L461" s="1130">
        <v>855.56866048862662</v>
      </c>
      <c r="M461" s="1130">
        <v>855.56866048862662</v>
      </c>
      <c r="N461" s="1130">
        <v>855.56866048862662</v>
      </c>
      <c r="O461" s="1130">
        <v>855.56866048862662</v>
      </c>
    </row>
    <row r="462" spans="1:15">
      <c r="A462" s="119"/>
      <c r="B462" s="331" t="s">
        <v>1020</v>
      </c>
      <c r="C462">
        <v>1369.2859488000001</v>
      </c>
      <c r="D462" s="956">
        <v>823.98377281947262</v>
      </c>
      <c r="E462" s="956">
        <v>823.98377281947262</v>
      </c>
      <c r="F462" s="956">
        <v>823.98377281947262</v>
      </c>
      <c r="G462" s="956">
        <v>823.98377281947262</v>
      </c>
      <c r="H462" s="956">
        <v>823.98377281947262</v>
      </c>
      <c r="I462" s="1130">
        <v>847.44758527172189</v>
      </c>
      <c r="J462" s="1130">
        <v>847.44758527172189</v>
      </c>
      <c r="K462" s="1130">
        <v>847.44758527172189</v>
      </c>
      <c r="L462" s="1130">
        <v>847.44758527172189</v>
      </c>
      <c r="M462" s="1130">
        <v>847.44758527172189</v>
      </c>
      <c r="N462" s="1130">
        <v>847.44758527172189</v>
      </c>
      <c r="O462" s="1130">
        <v>847.44758527172189</v>
      </c>
    </row>
    <row r="463" spans="1:15">
      <c r="A463" s="119"/>
      <c r="B463" s="331" t="s">
        <v>1021</v>
      </c>
      <c r="C463">
        <v>1369.2859488000001</v>
      </c>
      <c r="D463" s="956">
        <v>686.65314401622709</v>
      </c>
      <c r="E463" s="956">
        <v>686.65314401622709</v>
      </c>
      <c r="F463" s="956">
        <v>686.65314401622709</v>
      </c>
      <c r="G463" s="956">
        <v>686.65314401622709</v>
      </c>
      <c r="H463" s="956">
        <v>686.65314401622709</v>
      </c>
      <c r="I463" s="1130">
        <v>699.56602603843771</v>
      </c>
      <c r="J463" s="1130">
        <v>699.56602603843771</v>
      </c>
      <c r="K463" s="1130">
        <v>699.56602603843771</v>
      </c>
      <c r="L463" s="1130">
        <v>699.56602603843771</v>
      </c>
      <c r="M463" s="1130">
        <v>699.56602603843771</v>
      </c>
      <c r="N463" s="1130">
        <v>699.56602603843771</v>
      </c>
      <c r="O463" s="1130">
        <v>699.56602603843771</v>
      </c>
    </row>
    <row r="464" spans="1:15">
      <c r="A464" s="119"/>
      <c r="B464" s="331" t="s">
        <v>1022</v>
      </c>
      <c r="C464">
        <v>1286.2788144895717</v>
      </c>
      <c r="D464" s="956">
        <v>741.69655560000001</v>
      </c>
      <c r="E464" s="956">
        <v>741.69655560000001</v>
      </c>
      <c r="F464" s="956">
        <v>741.69655560000001</v>
      </c>
      <c r="G464" s="956">
        <v>741.69655560000001</v>
      </c>
      <c r="H464" s="956">
        <v>741.69655560000001</v>
      </c>
      <c r="I464" s="1130">
        <v>699.56602603843771</v>
      </c>
      <c r="J464" s="1130">
        <v>699.56602603843771</v>
      </c>
      <c r="K464" s="1130">
        <v>699.56602603843771</v>
      </c>
      <c r="L464" s="1130">
        <v>699.56602603843771</v>
      </c>
      <c r="M464" s="1130">
        <v>699.56602603843771</v>
      </c>
      <c r="N464" s="1130">
        <v>699.56602603843771</v>
      </c>
      <c r="O464" s="1130">
        <v>699.56602603843771</v>
      </c>
    </row>
    <row r="465" spans="1:15">
      <c r="A465" s="119"/>
      <c r="B465" s="331" t="s">
        <v>1023</v>
      </c>
      <c r="C465">
        <v>927.240356083086</v>
      </c>
      <c r="D465" s="956">
        <v>358.81286067600985</v>
      </c>
      <c r="E465" s="956">
        <v>358.81286067600985</v>
      </c>
      <c r="F465" s="956">
        <v>358.81286067600985</v>
      </c>
      <c r="G465" s="956">
        <v>358.81286067600985</v>
      </c>
      <c r="H465" s="956">
        <v>358.81286067600985</v>
      </c>
      <c r="I465" s="956">
        <v>358.81286067600985</v>
      </c>
      <c r="J465" s="956">
        <v>358.81286067600985</v>
      </c>
      <c r="K465" s="956">
        <v>358.81286067600985</v>
      </c>
      <c r="L465" s="956">
        <v>358.81286067600985</v>
      </c>
      <c r="M465" s="956">
        <v>358.81286067600985</v>
      </c>
      <c r="N465" s="956">
        <v>358.81286067600985</v>
      </c>
      <c r="O465" s="956">
        <v>358.81286067600985</v>
      </c>
    </row>
    <row r="466" spans="1:15">
      <c r="A466" s="119"/>
      <c r="B466" s="331" t="s">
        <v>1024</v>
      </c>
      <c r="C466">
        <v>927.240356083086</v>
      </c>
      <c r="D466" s="956">
        <v>358.81286067600985</v>
      </c>
      <c r="E466" s="956">
        <v>358.81286067600985</v>
      </c>
      <c r="F466" s="956">
        <v>358.81286067600985</v>
      </c>
      <c r="G466" s="956">
        <v>358.81286067600985</v>
      </c>
      <c r="H466" s="956">
        <v>358.81286067600985</v>
      </c>
      <c r="I466" s="1130">
        <v>0</v>
      </c>
      <c r="J466" s="1130">
        <v>0</v>
      </c>
      <c r="K466" s="1130">
        <v>0</v>
      </c>
      <c r="L466" s="1130">
        <v>0</v>
      </c>
      <c r="M466" s="1130">
        <v>0</v>
      </c>
      <c r="N466" s="1130">
        <v>0</v>
      </c>
      <c r="O466" s="1130">
        <v>0</v>
      </c>
    </row>
    <row r="467" spans="1:15">
      <c r="A467" s="119"/>
      <c r="B467" s="331" t="s">
        <v>1025</v>
      </c>
      <c r="C467">
        <v>865.1787648970751</v>
      </c>
      <c r="D467" s="956">
        <v>476.25769388592545</v>
      </c>
      <c r="E467" s="956">
        <v>476.25769388592545</v>
      </c>
      <c r="F467" s="956">
        <v>476.25769388592545</v>
      </c>
      <c r="G467" s="956">
        <v>476.25769388592545</v>
      </c>
      <c r="H467" s="956">
        <v>476.25769388592545</v>
      </c>
      <c r="I467" s="956">
        <v>476.25769388592545</v>
      </c>
      <c r="J467" s="956">
        <v>476.25769388592545</v>
      </c>
      <c r="K467" s="956">
        <v>476.25769388592545</v>
      </c>
      <c r="L467" s="956">
        <v>476.25769388592545</v>
      </c>
      <c r="M467" s="956">
        <v>476.25769388592545</v>
      </c>
      <c r="N467" s="956">
        <v>476.25769388592545</v>
      </c>
      <c r="O467" s="956">
        <v>476.25769388592545</v>
      </c>
    </row>
    <row r="468" spans="1:15">
      <c r="A468" s="119"/>
      <c r="B468" s="331" t="s">
        <v>1026</v>
      </c>
      <c r="C468">
        <v>865.1787648970751</v>
      </c>
      <c r="D468" s="956">
        <v>476.25769388592545</v>
      </c>
      <c r="E468" s="956">
        <v>476.25769388592545</v>
      </c>
      <c r="F468" s="956">
        <v>476.25769388592545</v>
      </c>
      <c r="G468" s="956">
        <v>476.25769388592545</v>
      </c>
      <c r="H468" s="956">
        <v>476.25769388592545</v>
      </c>
      <c r="I468" s="956">
        <v>476.25769388592545</v>
      </c>
      <c r="J468" s="956">
        <v>476.25769388592545</v>
      </c>
      <c r="K468" s="956">
        <v>476.25769388592545</v>
      </c>
      <c r="L468" s="956">
        <v>476.25769388592545</v>
      </c>
      <c r="M468" s="956">
        <v>476.25769388592545</v>
      </c>
      <c r="N468" s="956">
        <v>476.25769388592545</v>
      </c>
      <c r="O468" s="956">
        <v>476.25769388592545</v>
      </c>
    </row>
    <row r="469" spans="1:15">
      <c r="A469" s="119"/>
      <c r="B469" s="331" t="s">
        <v>1027</v>
      </c>
      <c r="C469">
        <v>1000.0751408891675</v>
      </c>
      <c r="D469" s="956">
        <v>405.5345911949687</v>
      </c>
      <c r="E469" s="956">
        <v>405.5345911949687</v>
      </c>
      <c r="F469" s="956">
        <v>405.5345911949687</v>
      </c>
      <c r="G469" s="956">
        <v>405.5345911949687</v>
      </c>
      <c r="H469" s="956">
        <v>405.5345911949687</v>
      </c>
      <c r="I469" s="956">
        <v>405.5345911949687</v>
      </c>
      <c r="J469" s="956">
        <v>405.5345911949687</v>
      </c>
      <c r="K469" s="956">
        <v>405.5345911949687</v>
      </c>
      <c r="L469" s="956">
        <v>405.5345911949687</v>
      </c>
      <c r="M469" s="956">
        <v>405.5345911949687</v>
      </c>
      <c r="N469" s="956">
        <v>405.5345911949687</v>
      </c>
      <c r="O469" s="956">
        <v>405.5345911949687</v>
      </c>
    </row>
    <row r="470" spans="1:15">
      <c r="A470" s="119"/>
      <c r="B470" s="331" t="s">
        <v>1028</v>
      </c>
      <c r="C470">
        <v>882.63056092843351</v>
      </c>
      <c r="D470" s="956">
        <v>470.80012169151217</v>
      </c>
      <c r="E470" s="956">
        <v>470.80012169151217</v>
      </c>
      <c r="F470" s="956">
        <v>470.80012169151217</v>
      </c>
      <c r="G470" s="956">
        <v>470.80012169151217</v>
      </c>
      <c r="H470" s="956">
        <v>470.80012169151217</v>
      </c>
      <c r="I470" s="956">
        <v>470.80012169151217</v>
      </c>
      <c r="J470" s="956">
        <v>470.80012169151217</v>
      </c>
      <c r="K470" s="956">
        <v>470.80012169151217</v>
      </c>
      <c r="L470" s="956">
        <v>470.80012169151217</v>
      </c>
      <c r="M470" s="956">
        <v>470.80012169151217</v>
      </c>
      <c r="N470" s="956">
        <v>470.80012169151217</v>
      </c>
      <c r="O470" s="956">
        <v>470.80012169151217</v>
      </c>
    </row>
    <row r="471" spans="1:15">
      <c r="A471" s="119"/>
      <c r="B471" s="331" t="s">
        <v>1029</v>
      </c>
      <c r="C471">
        <v>1103.2882011605418</v>
      </c>
      <c r="D471" s="956">
        <v>657.57339648000004</v>
      </c>
      <c r="E471" s="956">
        <v>657.57339648000004</v>
      </c>
      <c r="F471" s="956">
        <v>657.57339648000004</v>
      </c>
      <c r="G471" s="956">
        <v>657.57339648000004</v>
      </c>
      <c r="H471" s="956">
        <v>657.57339648000004</v>
      </c>
      <c r="I471" s="956">
        <v>657.57339648000004</v>
      </c>
      <c r="J471" s="956">
        <v>657.57339648000004</v>
      </c>
      <c r="K471" s="956">
        <v>657.57339648000004</v>
      </c>
      <c r="L471" s="956">
        <v>657.57339648000004</v>
      </c>
      <c r="M471" s="956">
        <v>657.57339648000004</v>
      </c>
      <c r="N471" s="956">
        <v>657.57339648000004</v>
      </c>
      <c r="O471" s="956">
        <v>657.57339648000004</v>
      </c>
    </row>
    <row r="472" spans="1:15">
      <c r="A472" s="119"/>
      <c r="B472" s="331" t="s">
        <v>1030</v>
      </c>
      <c r="C472">
        <v>1323.9458413926502</v>
      </c>
      <c r="D472" s="956">
        <v>946.24737945492689</v>
      </c>
      <c r="E472" s="956">
        <v>946.24737945492689</v>
      </c>
      <c r="F472" s="956">
        <v>946.24737945492689</v>
      </c>
      <c r="G472" s="956">
        <v>946.24737945492689</v>
      </c>
      <c r="H472" s="956">
        <v>946.24737945492689</v>
      </c>
      <c r="I472" s="956">
        <v>946.24737945492689</v>
      </c>
      <c r="J472" s="956">
        <v>946.24737945492689</v>
      </c>
      <c r="K472" s="956">
        <v>946.24737945492689</v>
      </c>
      <c r="L472" s="956">
        <v>946.24737945492689</v>
      </c>
      <c r="M472" s="956">
        <v>946.24737945492689</v>
      </c>
      <c r="N472" s="956">
        <v>946.24737945492689</v>
      </c>
      <c r="O472" s="956">
        <v>946.24737945492689</v>
      </c>
    </row>
    <row r="473" spans="1:15">
      <c r="A473" s="119"/>
      <c r="B473" s="331" t="s">
        <v>1031</v>
      </c>
      <c r="C473">
        <v>1323.9458413926502</v>
      </c>
      <c r="D473" s="956">
        <v>946.24737945492689</v>
      </c>
      <c r="E473" s="956">
        <v>946.24737945492689</v>
      </c>
      <c r="F473" s="956">
        <v>946.24737945492689</v>
      </c>
      <c r="G473" s="956">
        <v>946.24737945492689</v>
      </c>
      <c r="H473" s="956">
        <v>946.24737945492689</v>
      </c>
      <c r="I473" s="956">
        <v>946.24737945492689</v>
      </c>
      <c r="J473" s="956">
        <v>946.24737945492689</v>
      </c>
      <c r="K473" s="956">
        <v>946.24737945492689</v>
      </c>
      <c r="L473" s="956">
        <v>946.24737945492689</v>
      </c>
      <c r="M473" s="956">
        <v>946.24737945492689</v>
      </c>
      <c r="N473" s="956">
        <v>946.24737945492689</v>
      </c>
      <c r="O473" s="956">
        <v>946.24737945492689</v>
      </c>
    </row>
    <row r="474" spans="1:15">
      <c r="A474" s="119"/>
      <c r="B474" s="331" t="s">
        <v>1032</v>
      </c>
      <c r="C474">
        <v>1326.5116279069771</v>
      </c>
      <c r="D474" s="956">
        <v>946.24737945492689</v>
      </c>
      <c r="E474" s="956">
        <v>946.24737945492689</v>
      </c>
      <c r="F474" s="956">
        <v>946.24737945492689</v>
      </c>
      <c r="G474" s="956">
        <v>946.24737945492689</v>
      </c>
      <c r="H474" s="956">
        <v>946.24737945492689</v>
      </c>
      <c r="I474" s="956">
        <v>946.24737945492689</v>
      </c>
      <c r="J474" s="956">
        <v>946.24737945492689</v>
      </c>
      <c r="K474" s="956">
        <v>946.24737945492689</v>
      </c>
      <c r="L474" s="956">
        <v>946.24737945492689</v>
      </c>
      <c r="M474" s="956">
        <v>946.24737945492689</v>
      </c>
      <c r="N474" s="956">
        <v>946.24737945492689</v>
      </c>
      <c r="O474" s="956">
        <v>946.24737945492689</v>
      </c>
    </row>
    <row r="475" spans="1:15">
      <c r="A475" s="119"/>
      <c r="B475" s="331" t="s">
        <v>1033</v>
      </c>
      <c r="C475">
        <v>1326.5116279069771</v>
      </c>
      <c r="D475" s="956">
        <v>811.0691823899374</v>
      </c>
      <c r="E475" s="956">
        <v>811.0691823899374</v>
      </c>
      <c r="F475" s="956">
        <v>811.0691823899374</v>
      </c>
      <c r="G475" s="956">
        <v>811.0691823899374</v>
      </c>
      <c r="H475" s="956">
        <v>811.0691823899374</v>
      </c>
      <c r="I475" s="956">
        <v>811.0691823899374</v>
      </c>
      <c r="J475" s="956">
        <v>811.0691823899374</v>
      </c>
      <c r="K475" s="956">
        <v>811.0691823899374</v>
      </c>
      <c r="L475" s="956">
        <v>811.0691823899374</v>
      </c>
      <c r="M475" s="956">
        <v>811.0691823899374</v>
      </c>
      <c r="N475" s="956">
        <v>811.0691823899374</v>
      </c>
      <c r="O475" s="956">
        <v>811.0691823899374</v>
      </c>
    </row>
    <row r="476" spans="1:15">
      <c r="A476" s="119"/>
      <c r="B476" s="331" t="s">
        <v>1034</v>
      </c>
      <c r="C476">
        <v>1427.27435210009</v>
      </c>
      <c r="D476" s="956">
        <v>742.00230149597269</v>
      </c>
      <c r="E476" s="956">
        <v>742.00230149597269</v>
      </c>
      <c r="F476" s="956">
        <v>742.00230149597269</v>
      </c>
      <c r="G476" s="956">
        <v>742.00230149597269</v>
      </c>
      <c r="H476" s="956">
        <v>742.00230149597269</v>
      </c>
      <c r="I476" s="956">
        <v>742.00230149597269</v>
      </c>
      <c r="J476" s="956">
        <v>742.00230149597269</v>
      </c>
      <c r="K476" s="956">
        <v>742.00230149597269</v>
      </c>
      <c r="L476" s="956">
        <v>742.00230149597269</v>
      </c>
      <c r="M476" s="956">
        <v>742.00230149597269</v>
      </c>
      <c r="N476" s="956">
        <v>742.00230149597269</v>
      </c>
      <c r="O476" s="956">
        <v>742.00230149597269</v>
      </c>
    </row>
    <row r="477" spans="1:15">
      <c r="A477" s="119"/>
      <c r="B477" s="331" t="s">
        <v>1035</v>
      </c>
      <c r="C477">
        <v>882.63056092843351</v>
      </c>
      <c r="D477" s="956">
        <v>470.80012169151217</v>
      </c>
      <c r="E477" s="956">
        <v>470.80012169151217</v>
      </c>
      <c r="F477" s="956">
        <v>470.80012169151217</v>
      </c>
      <c r="G477" s="956">
        <v>470.80012169151217</v>
      </c>
      <c r="H477" s="956">
        <v>470.80012169151217</v>
      </c>
      <c r="I477" s="956">
        <v>470.80012169151217</v>
      </c>
      <c r="J477" s="956">
        <v>470.80012169151217</v>
      </c>
      <c r="K477" s="956">
        <v>470.80012169151217</v>
      </c>
      <c r="L477" s="956">
        <v>470.80012169151217</v>
      </c>
      <c r="M477" s="956">
        <v>470.80012169151217</v>
      </c>
      <c r="N477" s="956">
        <v>470.80012169151217</v>
      </c>
      <c r="O477" s="956">
        <v>470.80012169151217</v>
      </c>
    </row>
    <row r="478" spans="1:15">
      <c r="A478" s="119"/>
      <c r="B478" s="331" t="s">
        <v>1036</v>
      </c>
      <c r="C478">
        <v>882.63056092843351</v>
      </c>
      <c r="D478" s="956">
        <v>470.80012169151217</v>
      </c>
      <c r="E478" s="956">
        <v>470.80012169151217</v>
      </c>
      <c r="F478" s="956">
        <v>470.80012169151217</v>
      </c>
      <c r="G478" s="956">
        <v>470.80012169151217</v>
      </c>
      <c r="H478" s="956">
        <v>470.80012169151217</v>
      </c>
      <c r="I478" s="956">
        <v>470.80012169151217</v>
      </c>
      <c r="J478" s="956">
        <v>470.80012169151217</v>
      </c>
      <c r="K478" s="956">
        <v>470.80012169151217</v>
      </c>
      <c r="L478" s="956">
        <v>470.80012169151217</v>
      </c>
      <c r="M478" s="956">
        <v>470.80012169151217</v>
      </c>
      <c r="N478" s="956">
        <v>470.80012169151217</v>
      </c>
      <c r="O478" s="956">
        <v>470.80012169151217</v>
      </c>
    </row>
    <row r="479" spans="1:15">
      <c r="A479" s="119"/>
      <c r="B479" s="331" t="s">
        <v>1037</v>
      </c>
      <c r="C479">
        <v>732.19047619047603</v>
      </c>
      <c r="D479" s="956">
        <v>411.41148047999997</v>
      </c>
      <c r="E479" s="956">
        <v>411.41148047999997</v>
      </c>
      <c r="F479" s="956">
        <v>411.41148047999997</v>
      </c>
      <c r="G479" s="956">
        <v>411.41148047999997</v>
      </c>
      <c r="H479" s="956">
        <v>411.41148047999997</v>
      </c>
      <c r="I479" s="956">
        <v>411.41148047999997</v>
      </c>
      <c r="J479" s="956">
        <v>411.41148047999997</v>
      </c>
      <c r="K479" s="956">
        <v>411.41148047999997</v>
      </c>
      <c r="L479" s="956">
        <v>411.41148047999997</v>
      </c>
      <c r="M479" s="956">
        <v>411.41148047999997</v>
      </c>
      <c r="N479" s="956">
        <v>411.41148047999997</v>
      </c>
      <c r="O479" s="956">
        <v>411.41148047999997</v>
      </c>
    </row>
    <row r="480" spans="1:15">
      <c r="A480" s="119"/>
      <c r="B480" s="331" t="s">
        <v>1038</v>
      </c>
      <c r="C480">
        <v>732.19047619047603</v>
      </c>
      <c r="D480" s="956">
        <v>411.41148047999997</v>
      </c>
      <c r="E480" s="956">
        <v>411.41148047999997</v>
      </c>
      <c r="F480" s="956">
        <v>411.41148047999997</v>
      </c>
      <c r="G480" s="956">
        <v>411.41148047999997</v>
      </c>
      <c r="H480" s="956">
        <v>411.41148047999997</v>
      </c>
      <c r="I480" s="956">
        <v>411.41148047999997</v>
      </c>
      <c r="J480" s="956">
        <v>411.41148047999997</v>
      </c>
      <c r="K480" s="956">
        <v>411.41148047999997</v>
      </c>
      <c r="L480" s="956">
        <v>411.41148047999997</v>
      </c>
      <c r="M480" s="956">
        <v>411.41148047999997</v>
      </c>
      <c r="N480" s="956">
        <v>411.41148047999997</v>
      </c>
      <c r="O480" s="956">
        <v>411.41148047999997</v>
      </c>
    </row>
    <row r="481" spans="1:15">
      <c r="A481" s="119"/>
      <c r="B481" s="331" t="s">
        <v>1039</v>
      </c>
      <c r="C481">
        <v>630.85339168490145</v>
      </c>
      <c r="D481" s="956">
        <v>357.11291090995718</v>
      </c>
      <c r="E481" s="956">
        <v>357.11291090995718</v>
      </c>
      <c r="F481" s="956">
        <v>357.11291090995718</v>
      </c>
      <c r="G481" s="956">
        <v>357.11291090995718</v>
      </c>
      <c r="H481" s="956">
        <v>357.11291090995718</v>
      </c>
      <c r="I481" s="956">
        <v>357.11291090995718</v>
      </c>
      <c r="J481" s="956">
        <v>357.11291090995718</v>
      </c>
      <c r="K481" s="956">
        <v>357.11291090995718</v>
      </c>
      <c r="L481" s="956">
        <v>357.11291090995718</v>
      </c>
      <c r="M481" s="956">
        <v>357.11291090995718</v>
      </c>
      <c r="N481" s="956">
        <v>357.11291090995718</v>
      </c>
      <c r="O481" s="956">
        <v>357.11291090995718</v>
      </c>
    </row>
    <row r="482" spans="1:15">
      <c r="A482" s="119"/>
      <c r="B482" s="331" t="s">
        <v>1040</v>
      </c>
      <c r="C482">
        <v>841.13785557986876</v>
      </c>
      <c r="D482" s="956">
        <v>476.15054787994279</v>
      </c>
      <c r="E482" s="956">
        <v>476.15054787994279</v>
      </c>
      <c r="F482" s="956">
        <v>476.15054787994279</v>
      </c>
      <c r="G482" s="956">
        <v>476.15054787994279</v>
      </c>
      <c r="H482" s="956">
        <v>476.15054787994279</v>
      </c>
      <c r="I482" s="956">
        <v>476.15054787994279</v>
      </c>
      <c r="J482" s="956">
        <v>476.15054787994279</v>
      </c>
      <c r="K482" s="956">
        <v>476.15054787994279</v>
      </c>
      <c r="L482" s="956">
        <v>476.15054787994279</v>
      </c>
      <c r="M482" s="956">
        <v>476.15054787994279</v>
      </c>
      <c r="N482" s="956">
        <v>476.15054787994279</v>
      </c>
      <c r="O482" s="956">
        <v>476.15054787994279</v>
      </c>
    </row>
    <row r="483" spans="1:15">
      <c r="A483" s="119"/>
      <c r="B483" s="331" t="s">
        <v>1041</v>
      </c>
      <c r="C483">
        <v>1051.4223194748361</v>
      </c>
      <c r="D483" s="956">
        <v>476.15054787994285</v>
      </c>
      <c r="E483" s="956">
        <v>476.15054787994285</v>
      </c>
      <c r="F483" s="956">
        <v>476.15054787994285</v>
      </c>
      <c r="G483" s="956">
        <v>476.15054787994285</v>
      </c>
      <c r="H483" s="956">
        <v>476.15054787994285</v>
      </c>
      <c r="I483" s="956">
        <v>476.15054787994285</v>
      </c>
      <c r="J483" s="956">
        <v>476.15054787994285</v>
      </c>
      <c r="K483" s="956">
        <v>476.15054787994285</v>
      </c>
      <c r="L483" s="956">
        <v>476.15054787994285</v>
      </c>
      <c r="M483" s="956">
        <v>476.15054787994285</v>
      </c>
      <c r="N483" s="956">
        <v>476.15054787994285</v>
      </c>
      <c r="O483" s="956">
        <v>476.15054787994285</v>
      </c>
    </row>
    <row r="484" spans="1:15">
      <c r="A484" s="119"/>
      <c r="B484" s="331" t="s">
        <v>1042</v>
      </c>
      <c r="C484">
        <v>1261.7067833698029</v>
      </c>
      <c r="D484" s="956">
        <v>754.25438087999987</v>
      </c>
      <c r="E484" s="956">
        <v>754.25438087999987</v>
      </c>
      <c r="F484" s="956">
        <v>754.25438087999987</v>
      </c>
      <c r="G484" s="956">
        <v>754.25438087999987</v>
      </c>
      <c r="H484" s="956">
        <v>754.25438087999987</v>
      </c>
      <c r="I484" s="956">
        <v>754.25438087999987</v>
      </c>
      <c r="J484" s="956">
        <v>754.25438087999987</v>
      </c>
      <c r="K484" s="956">
        <v>754.25438087999987</v>
      </c>
      <c r="L484" s="956">
        <v>754.25438087999987</v>
      </c>
      <c r="M484" s="956">
        <v>754.25438087999987</v>
      </c>
      <c r="N484" s="956">
        <v>754.25438087999987</v>
      </c>
      <c r="O484" s="956">
        <v>754.25438087999987</v>
      </c>
    </row>
    <row r="485" spans="1:15">
      <c r="A485" s="119"/>
      <c r="B485" s="331" t="s">
        <v>1043</v>
      </c>
      <c r="C485">
        <v>1261.7067833698029</v>
      </c>
      <c r="D485" s="956">
        <v>772.41450376763066</v>
      </c>
      <c r="E485" s="956">
        <v>772.41450376763066</v>
      </c>
      <c r="F485" s="956">
        <v>772.41450376763066</v>
      </c>
      <c r="G485" s="956">
        <v>772.41450376763066</v>
      </c>
      <c r="H485" s="956">
        <v>772.41450376763066</v>
      </c>
      <c r="I485" s="956">
        <v>772.41450376763066</v>
      </c>
      <c r="J485" s="956">
        <v>772.41450376763066</v>
      </c>
      <c r="K485" s="956">
        <v>772.41450376763066</v>
      </c>
      <c r="L485" s="956">
        <v>772.41450376763066</v>
      </c>
      <c r="M485" s="956">
        <v>772.41450376763066</v>
      </c>
      <c r="N485" s="956">
        <v>772.41450376763066</v>
      </c>
      <c r="O485" s="956">
        <v>772.41450376763066</v>
      </c>
    </row>
    <row r="486" spans="1:15">
      <c r="A486" s="119"/>
      <c r="B486" s="331" t="s">
        <v>1044</v>
      </c>
      <c r="C486">
        <v>1368.6673448626655</v>
      </c>
      <c r="D486" s="956">
        <v>754.25438087999987</v>
      </c>
      <c r="E486" s="956">
        <v>754.25438087999987</v>
      </c>
      <c r="F486" s="956">
        <v>754.25438087999987</v>
      </c>
      <c r="G486" s="956">
        <v>754.25438087999987</v>
      </c>
      <c r="H486" s="956">
        <v>754.25438087999987</v>
      </c>
      <c r="I486" s="956">
        <v>754.25438087999987</v>
      </c>
      <c r="J486" s="956">
        <v>754.25438087999987</v>
      </c>
      <c r="K486" s="956">
        <v>754.25438087999987</v>
      </c>
      <c r="L486" s="956">
        <v>754.25438087999987</v>
      </c>
      <c r="M486" s="956">
        <v>754.25438087999987</v>
      </c>
      <c r="N486" s="956">
        <v>754.25438087999987</v>
      </c>
      <c r="O486" s="956">
        <v>754.25438087999987</v>
      </c>
    </row>
    <row r="487" spans="1:15">
      <c r="A487" s="119"/>
      <c r="B487" s="331" t="s">
        <v>1045</v>
      </c>
      <c r="C487">
        <v>1368.6673448626655</v>
      </c>
      <c r="D487" s="956">
        <v>685.68580079999992</v>
      </c>
      <c r="E487" s="956">
        <v>685.68580079999992</v>
      </c>
      <c r="F487" s="956">
        <v>685.68580079999992</v>
      </c>
      <c r="G487" s="956">
        <v>685.68580079999992</v>
      </c>
      <c r="H487" s="956">
        <v>685.68580079999992</v>
      </c>
      <c r="I487" s="956">
        <v>685.68580079999992</v>
      </c>
      <c r="J487" s="956">
        <v>685.68580079999992</v>
      </c>
      <c r="K487" s="956">
        <v>685.68580079999992</v>
      </c>
      <c r="L487" s="956">
        <v>685.68580079999992</v>
      </c>
      <c r="M487" s="956">
        <v>685.68580079999992</v>
      </c>
      <c r="N487" s="956">
        <v>685.68580079999992</v>
      </c>
      <c r="O487" s="956">
        <v>685.68580079999992</v>
      </c>
    </row>
    <row r="488" spans="1:15">
      <c r="A488" s="119"/>
      <c r="B488" s="331" t="s">
        <v>1046</v>
      </c>
      <c r="C488">
        <v>1450.4891939999998</v>
      </c>
      <c r="D488" s="956">
        <v>655.01256144183503</v>
      </c>
      <c r="E488" s="956">
        <v>655.01256144183503</v>
      </c>
      <c r="F488" s="956">
        <v>655.01256144183503</v>
      </c>
      <c r="G488" s="956">
        <v>655.01256144183503</v>
      </c>
      <c r="H488" s="956">
        <v>655.01256144183503</v>
      </c>
      <c r="I488" s="956">
        <v>655.01256144183503</v>
      </c>
      <c r="J488" s="956">
        <v>655.01256144183503</v>
      </c>
      <c r="K488" s="956">
        <v>655.01256144183503</v>
      </c>
      <c r="L488" s="956">
        <v>655.01256144183503</v>
      </c>
      <c r="M488" s="956">
        <v>655.01256144183503</v>
      </c>
      <c r="N488" s="956">
        <v>655.01256144183503</v>
      </c>
      <c r="O488" s="956">
        <v>655.01256144183503</v>
      </c>
    </row>
    <row r="489" spans="1:15">
      <c r="A489" s="119"/>
      <c r="B489" s="331" t="s">
        <v>1047</v>
      </c>
      <c r="C489">
        <v>841.13785557986876</v>
      </c>
      <c r="D489" s="956">
        <v>411.41148047999997</v>
      </c>
      <c r="E489" s="956">
        <v>411.41148047999997</v>
      </c>
      <c r="F489" s="956">
        <v>411.41148047999997</v>
      </c>
      <c r="G489" s="956">
        <v>411.41148047999997</v>
      </c>
      <c r="H489" s="956">
        <v>411.41148047999997</v>
      </c>
      <c r="I489" s="956">
        <v>411.41148047999997</v>
      </c>
      <c r="J489" s="956">
        <v>411.41148047999997</v>
      </c>
      <c r="K489" s="956">
        <v>411.41148047999997</v>
      </c>
      <c r="L489" s="956">
        <v>411.41148047999997</v>
      </c>
      <c r="M489" s="956">
        <v>411.41148047999997</v>
      </c>
      <c r="N489" s="956">
        <v>411.41148047999997</v>
      </c>
      <c r="O489" s="956">
        <v>411.41148047999997</v>
      </c>
    </row>
    <row r="490" spans="1:15">
      <c r="A490" s="119"/>
      <c r="B490" s="331" t="s">
        <v>1048</v>
      </c>
      <c r="C490">
        <v>923.03857800000003</v>
      </c>
      <c r="D490" s="956">
        <v>410.07072799030914</v>
      </c>
      <c r="E490" s="956">
        <v>410.07072799030914</v>
      </c>
      <c r="F490" s="956">
        <v>410.07072799030914</v>
      </c>
      <c r="G490" s="956">
        <v>410.07072799030914</v>
      </c>
      <c r="H490" s="956">
        <v>410.07072799030914</v>
      </c>
      <c r="I490" s="956">
        <v>410.07072799030914</v>
      </c>
      <c r="J490" s="956">
        <v>410.07072799030914</v>
      </c>
      <c r="K490" s="956">
        <v>410.07072799030914</v>
      </c>
      <c r="L490" s="956">
        <v>410.07072799030914</v>
      </c>
      <c r="M490" s="956">
        <v>410.07072799030914</v>
      </c>
      <c r="N490" s="956">
        <v>410.07072799030914</v>
      </c>
      <c r="O490" s="956">
        <v>410.07072799030914</v>
      </c>
    </row>
    <row r="491" spans="1:15">
      <c r="A491" s="119"/>
      <c r="B491" s="331" t="s">
        <v>1049</v>
      </c>
      <c r="C491">
        <v>729.82985061154488</v>
      </c>
      <c r="D491" s="956">
        <v>383.56792144026178</v>
      </c>
      <c r="E491" s="956">
        <v>383.56792144026178</v>
      </c>
      <c r="F491" s="956">
        <v>383.56792144026178</v>
      </c>
      <c r="G491" s="956">
        <v>383.56792144026178</v>
      </c>
      <c r="H491" s="956">
        <v>383.56792144026178</v>
      </c>
      <c r="I491" s="956">
        <v>383.56792144026178</v>
      </c>
      <c r="J491" s="956">
        <v>383.56792144026178</v>
      </c>
      <c r="K491" s="956">
        <v>383.56792144026178</v>
      </c>
      <c r="L491" s="956">
        <v>383.56792144026178</v>
      </c>
      <c r="M491" s="956">
        <v>383.56792144026178</v>
      </c>
      <c r="N491" s="956">
        <v>383.56792144026178</v>
      </c>
      <c r="O491" s="956">
        <v>383.56792144026178</v>
      </c>
    </row>
    <row r="492" spans="1:15">
      <c r="A492" s="119"/>
      <c r="B492" s="331" t="s">
        <v>1050</v>
      </c>
      <c r="C492">
        <v>729.82985061154488</v>
      </c>
      <c r="D492" s="956">
        <v>383.56792144026178</v>
      </c>
      <c r="E492" s="956">
        <v>383.56792144026178</v>
      </c>
      <c r="F492" s="956">
        <v>383.56792144026178</v>
      </c>
      <c r="G492" s="956">
        <v>383.56792144026178</v>
      </c>
      <c r="H492" s="956">
        <v>383.56792144026178</v>
      </c>
      <c r="I492" s="956">
        <v>383.56792144026178</v>
      </c>
      <c r="J492" s="956">
        <v>383.56792144026178</v>
      </c>
      <c r="K492" s="956">
        <v>383.56792144026178</v>
      </c>
      <c r="L492" s="956">
        <v>383.56792144026178</v>
      </c>
      <c r="M492" s="956">
        <v>383.56792144026178</v>
      </c>
      <c r="N492" s="956">
        <v>383.56792144026178</v>
      </c>
      <c r="O492" s="956">
        <v>383.56792144026178</v>
      </c>
    </row>
    <row r="493" spans="1:15">
      <c r="A493" s="119"/>
      <c r="B493" s="331" t="s">
        <v>1051</v>
      </c>
      <c r="C493">
        <v>628.75072903301066</v>
      </c>
      <c r="D493" s="956">
        <v>383.56792144026178</v>
      </c>
      <c r="E493" s="956">
        <v>383.56792144026178</v>
      </c>
      <c r="F493" s="956">
        <v>383.56792144026178</v>
      </c>
      <c r="G493" s="956">
        <v>383.56792144026178</v>
      </c>
      <c r="H493" s="956">
        <v>383.56792144026178</v>
      </c>
      <c r="I493" s="956">
        <v>383.56792144026178</v>
      </c>
      <c r="J493" s="956">
        <v>383.56792144026178</v>
      </c>
      <c r="K493" s="956">
        <v>383.56792144026178</v>
      </c>
      <c r="L493" s="956">
        <v>383.56792144026178</v>
      </c>
      <c r="M493" s="956">
        <v>383.56792144026178</v>
      </c>
      <c r="N493" s="956">
        <v>383.56792144026178</v>
      </c>
      <c r="O493" s="956">
        <v>383.56792144026178</v>
      </c>
    </row>
    <row r="494" spans="1:15">
      <c r="A494" s="119"/>
      <c r="B494" s="331" t="s">
        <v>1052</v>
      </c>
      <c r="C494">
        <v>838.3343053773475</v>
      </c>
      <c r="D494" s="956">
        <v>511.42389525368242</v>
      </c>
      <c r="E494" s="956">
        <v>511.42389525368242</v>
      </c>
      <c r="F494" s="956">
        <v>511.42389525368242</v>
      </c>
      <c r="G494" s="956">
        <v>511.42389525368242</v>
      </c>
      <c r="H494" s="956">
        <v>511.42389525368242</v>
      </c>
      <c r="I494" s="956">
        <v>511.42389525368242</v>
      </c>
      <c r="J494" s="956">
        <v>511.42389525368242</v>
      </c>
      <c r="K494" s="956">
        <v>511.42389525368242</v>
      </c>
      <c r="L494" s="956">
        <v>511.42389525368242</v>
      </c>
      <c r="M494" s="956">
        <v>511.42389525368242</v>
      </c>
      <c r="N494" s="956">
        <v>511.42389525368242</v>
      </c>
      <c r="O494" s="956">
        <v>511.42389525368242</v>
      </c>
    </row>
    <row r="495" spans="1:15">
      <c r="A495" s="119"/>
      <c r="B495" s="331" t="s">
        <v>1053</v>
      </c>
      <c r="C495">
        <v>1047.9178817216841</v>
      </c>
      <c r="D495" s="956">
        <v>511.42389525368253</v>
      </c>
      <c r="E495" s="956">
        <v>511.42389525368253</v>
      </c>
      <c r="F495" s="956">
        <v>511.42389525368253</v>
      </c>
      <c r="G495" s="956">
        <v>511.42389525368253</v>
      </c>
      <c r="H495" s="956">
        <v>511.42389525368253</v>
      </c>
      <c r="I495" s="956">
        <v>511.42389525368253</v>
      </c>
      <c r="J495" s="956">
        <v>511.42389525368253</v>
      </c>
      <c r="K495" s="956">
        <v>511.42389525368253</v>
      </c>
      <c r="L495" s="956">
        <v>511.42389525368253</v>
      </c>
      <c r="M495" s="956">
        <v>511.42389525368253</v>
      </c>
      <c r="N495" s="956">
        <v>511.42389525368253</v>
      </c>
      <c r="O495" s="956">
        <v>511.42389525368253</v>
      </c>
    </row>
    <row r="496" spans="1:15">
      <c r="A496" s="119"/>
      <c r="B496" s="331" t="s">
        <v>1054</v>
      </c>
      <c r="C496">
        <v>1257.5014580660213</v>
      </c>
      <c r="D496" s="956">
        <v>767.13584288052368</v>
      </c>
      <c r="E496" s="956">
        <v>767.13584288052368</v>
      </c>
      <c r="F496" s="956">
        <v>767.13584288052368</v>
      </c>
      <c r="G496" s="956">
        <v>767.13584288052368</v>
      </c>
      <c r="H496" s="956">
        <v>767.13584288052368</v>
      </c>
      <c r="I496" s="956">
        <v>767.13584288052368</v>
      </c>
      <c r="J496" s="956">
        <v>767.13584288052368</v>
      </c>
      <c r="K496" s="956">
        <v>767.13584288052368</v>
      </c>
      <c r="L496" s="956">
        <v>767.13584288052368</v>
      </c>
      <c r="M496" s="956">
        <v>767.13584288052368</v>
      </c>
      <c r="N496" s="956">
        <v>767.13584288052368</v>
      </c>
      <c r="O496" s="956">
        <v>767.13584288052368</v>
      </c>
    </row>
    <row r="497" spans="1:15">
      <c r="A497" s="119"/>
      <c r="B497" s="331" t="s">
        <v>1055</v>
      </c>
      <c r="C497">
        <v>1257.5014580660213</v>
      </c>
      <c r="D497" s="956">
        <v>767.13584288052368</v>
      </c>
      <c r="E497" s="956">
        <v>767.13584288052368</v>
      </c>
      <c r="F497" s="956">
        <v>767.13584288052368</v>
      </c>
      <c r="G497" s="956">
        <v>767.13584288052368</v>
      </c>
      <c r="H497" s="956">
        <v>767.13584288052368</v>
      </c>
      <c r="I497" s="956">
        <v>767.13584288052368</v>
      </c>
      <c r="J497" s="1361">
        <v>829.10377358490553</v>
      </c>
      <c r="K497" s="1361">
        <v>829.10377358490553</v>
      </c>
      <c r="L497" s="1361">
        <v>829.10377358490553</v>
      </c>
      <c r="M497" s="1361">
        <v>829.10377358490553</v>
      </c>
      <c r="N497" s="1361">
        <v>829.10377358490553</v>
      </c>
      <c r="O497" s="1361">
        <v>829.10377358490553</v>
      </c>
    </row>
    <row r="498" spans="1:15">
      <c r="A498" s="119"/>
      <c r="B498" s="331" t="s">
        <v>1056</v>
      </c>
      <c r="C498">
        <v>1364.040344287024</v>
      </c>
      <c r="D498" s="956">
        <v>767.13584288052368</v>
      </c>
      <c r="E498" s="956">
        <v>767.13584288052368</v>
      </c>
      <c r="F498" s="956">
        <v>767.13584288052368</v>
      </c>
      <c r="G498" s="956">
        <v>767.13584288052368</v>
      </c>
      <c r="H498" s="956">
        <v>767.13584288052368</v>
      </c>
      <c r="I498" s="956">
        <v>767.13584288052368</v>
      </c>
      <c r="J498" s="956">
        <v>767.13584288052368</v>
      </c>
      <c r="K498" s="956">
        <v>767.13584288052368</v>
      </c>
      <c r="L498" s="956">
        <v>767.13584288052368</v>
      </c>
      <c r="M498" s="956">
        <v>767.13584288052368</v>
      </c>
      <c r="N498" s="956">
        <v>767.13584288052368</v>
      </c>
      <c r="O498" s="956">
        <v>767.13584288052368</v>
      </c>
    </row>
    <row r="499" spans="1:15">
      <c r="A499" s="119"/>
      <c r="B499" s="331" t="s">
        <v>1057</v>
      </c>
      <c r="C499">
        <v>1364.040344287024</v>
      </c>
      <c r="D499" s="956">
        <v>767.13584288052368</v>
      </c>
      <c r="E499" s="956">
        <v>767.13584288052368</v>
      </c>
      <c r="F499" s="956">
        <v>767.13584288052368</v>
      </c>
      <c r="G499" s="956">
        <v>767.13584288052368</v>
      </c>
      <c r="H499" s="956">
        <v>767.13584288052368</v>
      </c>
      <c r="I499" s="956">
        <v>767.13584288052368</v>
      </c>
      <c r="J499" s="1361">
        <v>703.99519375187742</v>
      </c>
      <c r="K499" s="1361">
        <v>703.99519375187742</v>
      </c>
      <c r="L499" s="1361">
        <v>703.99519375187742</v>
      </c>
      <c r="M499" s="1361">
        <v>703.99519375187742</v>
      </c>
      <c r="N499" s="1361">
        <v>703.99519375187742</v>
      </c>
      <c r="O499" s="1361">
        <v>703.99519375187742</v>
      </c>
    </row>
    <row r="500" spans="1:15">
      <c r="A500" s="119"/>
      <c r="B500" s="331" t="s">
        <v>1058</v>
      </c>
      <c r="C500">
        <v>1443.4556043600001</v>
      </c>
      <c r="D500" s="956">
        <v>741.69655560000001</v>
      </c>
      <c r="E500" s="956">
        <v>741.69655560000001</v>
      </c>
      <c r="F500" s="956">
        <v>741.69655560000001</v>
      </c>
      <c r="G500" s="956">
        <v>741.69655560000001</v>
      </c>
      <c r="H500" s="956">
        <v>741.69655560000001</v>
      </c>
      <c r="I500" s="956">
        <v>741.69655560000001</v>
      </c>
      <c r="J500" s="956">
        <v>741.69655560000001</v>
      </c>
      <c r="K500" s="956">
        <v>741.69655560000001</v>
      </c>
      <c r="L500" s="956">
        <v>741.69655560000001</v>
      </c>
      <c r="M500" s="956">
        <v>741.69655560000001</v>
      </c>
      <c r="N500" s="956">
        <v>741.69655560000001</v>
      </c>
      <c r="O500" s="956">
        <v>741.69655560000001</v>
      </c>
    </row>
    <row r="501" spans="1:15">
      <c r="A501" s="119"/>
      <c r="B501" s="331" t="s">
        <v>1059</v>
      </c>
      <c r="C501">
        <v>838.3343053773475</v>
      </c>
      <c r="D501" s="956">
        <v>383.56792144026178</v>
      </c>
      <c r="E501" s="956">
        <v>383.56792144026178</v>
      </c>
      <c r="F501" s="956">
        <v>383.56792144026178</v>
      </c>
      <c r="G501" s="956">
        <v>383.56792144026178</v>
      </c>
      <c r="H501" s="956">
        <v>383.56792144026178</v>
      </c>
      <c r="I501" s="956">
        <v>383.56792144026178</v>
      </c>
      <c r="J501" s="956">
        <v>383.56792144026178</v>
      </c>
      <c r="K501" s="956">
        <v>383.56792144026178</v>
      </c>
      <c r="L501" s="956">
        <v>383.56792144026178</v>
      </c>
      <c r="M501" s="956">
        <v>383.56792144026178</v>
      </c>
      <c r="N501" s="956">
        <v>383.56792144026178</v>
      </c>
      <c r="O501" s="956">
        <v>383.56792144026178</v>
      </c>
    </row>
    <row r="502" spans="1:15">
      <c r="A502" s="119"/>
      <c r="B502" s="331" t="s">
        <v>1060</v>
      </c>
      <c r="C502">
        <v>838.3343053773475</v>
      </c>
      <c r="D502" s="956">
        <v>511.42389525368242</v>
      </c>
      <c r="E502" s="956">
        <v>511.42389525368242</v>
      </c>
      <c r="F502" s="956">
        <v>511.42389525368242</v>
      </c>
      <c r="G502" s="956">
        <v>511.42389525368242</v>
      </c>
      <c r="H502" s="956">
        <v>511.42389525368242</v>
      </c>
      <c r="I502" s="956">
        <v>511.42389525368242</v>
      </c>
      <c r="J502" s="956">
        <v>511.42389525368242</v>
      </c>
      <c r="K502" s="956">
        <v>511.42389525368242</v>
      </c>
      <c r="L502" s="956">
        <v>511.42389525368242</v>
      </c>
      <c r="M502" s="956">
        <v>511.42389525368242</v>
      </c>
      <c r="N502" s="956">
        <v>511.42389525368242</v>
      </c>
      <c r="O502" s="956">
        <v>511.42389525368242</v>
      </c>
    </row>
    <row r="503" spans="1:15">
      <c r="A503" s="119"/>
      <c r="B503" s="331" t="s">
        <v>1061</v>
      </c>
      <c r="C503">
        <v>740.35431586882783</v>
      </c>
      <c r="D503" s="956">
        <v>476.25769388592545</v>
      </c>
      <c r="E503" s="956">
        <v>476.25769388592545</v>
      </c>
      <c r="F503" s="956">
        <v>476.25769388592545</v>
      </c>
      <c r="G503" s="956">
        <v>476.25769388592545</v>
      </c>
      <c r="H503" s="956">
        <v>476.25769388592545</v>
      </c>
      <c r="I503" s="956">
        <v>476.25769388592545</v>
      </c>
      <c r="J503" s="956">
        <v>476.25769388592545</v>
      </c>
      <c r="K503" s="956">
        <v>476.25769388592545</v>
      </c>
      <c r="L503" s="956">
        <v>476.25769388592545</v>
      </c>
      <c r="M503" s="956">
        <v>476.25769388592545</v>
      </c>
      <c r="N503" s="956">
        <v>476.25769388592545</v>
      </c>
      <c r="O503" s="956">
        <v>476.25769388592545</v>
      </c>
    </row>
    <row r="504" spans="1:15">
      <c r="A504" s="119"/>
      <c r="B504" s="331" t="s">
        <v>1062</v>
      </c>
      <c r="C504">
        <v>740.35431586882783</v>
      </c>
      <c r="D504" s="956">
        <v>476.25769388592545</v>
      </c>
      <c r="E504" s="956">
        <v>476.25769388592545</v>
      </c>
      <c r="F504" s="956">
        <v>476.25769388592545</v>
      </c>
      <c r="G504" s="956">
        <v>476.25769388592545</v>
      </c>
      <c r="H504" s="956">
        <v>476.25769388592545</v>
      </c>
      <c r="I504" s="956">
        <v>476.25769388592545</v>
      </c>
      <c r="J504" s="956">
        <v>476.25769388592545</v>
      </c>
      <c r="K504" s="956">
        <v>476.25769388592545</v>
      </c>
      <c r="L504" s="956">
        <v>476.25769388592545</v>
      </c>
      <c r="M504" s="956">
        <v>476.25769388592545</v>
      </c>
      <c r="N504" s="956">
        <v>476.25769388592545</v>
      </c>
      <c r="O504" s="956">
        <v>476.25769388592545</v>
      </c>
    </row>
    <row r="505" spans="1:15">
      <c r="A505" s="119"/>
      <c r="B505" s="331" t="s">
        <v>1063</v>
      </c>
      <c r="C505">
        <v>834.61238784</v>
      </c>
      <c r="D505" s="956">
        <v>405.5345911949687</v>
      </c>
      <c r="E505" s="956">
        <v>405.5345911949687</v>
      </c>
      <c r="F505" s="956">
        <v>405.5345911949687</v>
      </c>
      <c r="G505" s="956">
        <v>405.5345911949687</v>
      </c>
      <c r="H505" s="956">
        <v>405.5345911949687</v>
      </c>
      <c r="I505" s="956">
        <v>405.5345911949687</v>
      </c>
      <c r="J505" s="956">
        <v>405.5345911949687</v>
      </c>
      <c r="K505" s="956">
        <v>405.5345911949687</v>
      </c>
      <c r="L505" s="956">
        <v>405.5345911949687</v>
      </c>
      <c r="M505" s="956">
        <v>405.5345911949687</v>
      </c>
      <c r="N505" s="956">
        <v>405.5345911949687</v>
      </c>
      <c r="O505" s="956">
        <v>405.5345911949687</v>
      </c>
    </row>
    <row r="506" spans="1:15">
      <c r="A506" s="119"/>
      <c r="B506" s="331" t="s">
        <v>1064</v>
      </c>
      <c r="C506">
        <v>850.83820662768039</v>
      </c>
      <c r="D506" s="956">
        <v>540.7127882599583</v>
      </c>
      <c r="E506" s="956">
        <v>540.7127882599583</v>
      </c>
      <c r="F506" s="956">
        <v>540.7127882599583</v>
      </c>
      <c r="G506" s="956">
        <v>540.7127882599583</v>
      </c>
      <c r="H506" s="956">
        <v>540.7127882599583</v>
      </c>
      <c r="I506" s="956">
        <v>540.7127882599583</v>
      </c>
      <c r="J506" s="956">
        <v>540.7127882599583</v>
      </c>
      <c r="K506" s="956">
        <v>540.7127882599583</v>
      </c>
      <c r="L506" s="956">
        <v>540.7127882599583</v>
      </c>
      <c r="M506" s="956">
        <v>540.7127882599583</v>
      </c>
      <c r="N506" s="956">
        <v>540.7127882599583</v>
      </c>
      <c r="O506" s="956">
        <v>540.7127882599583</v>
      </c>
    </row>
    <row r="507" spans="1:15">
      <c r="A507" s="119"/>
      <c r="B507" s="331" t="s">
        <v>1065</v>
      </c>
      <c r="C507">
        <v>1063.5477582846006</v>
      </c>
      <c r="D507" s="956">
        <v>657.57339648000004</v>
      </c>
      <c r="E507" s="956">
        <v>657.57339648000004</v>
      </c>
      <c r="F507" s="956">
        <v>657.57339648000004</v>
      </c>
      <c r="G507" s="956">
        <v>657.57339648000004</v>
      </c>
      <c r="H507" s="956">
        <v>657.57339648000004</v>
      </c>
      <c r="I507" s="956">
        <v>657.57339648000004</v>
      </c>
      <c r="J507" s="956">
        <v>657.57339648000004</v>
      </c>
      <c r="K507" s="956">
        <v>657.57339648000004</v>
      </c>
      <c r="L507" s="956">
        <v>657.57339648000004</v>
      </c>
      <c r="M507" s="956">
        <v>657.57339648000004</v>
      </c>
      <c r="N507" s="956">
        <v>657.57339648000004</v>
      </c>
      <c r="O507" s="956">
        <v>657.57339648000004</v>
      </c>
    </row>
    <row r="508" spans="1:15">
      <c r="A508" s="119"/>
      <c r="B508" s="331" t="s">
        <v>1066</v>
      </c>
      <c r="C508">
        <v>1276.2573099415206</v>
      </c>
      <c r="D508" s="956">
        <v>882.55495644960615</v>
      </c>
      <c r="E508" s="956">
        <v>882.55495644960615</v>
      </c>
      <c r="F508" s="956">
        <v>882.55495644960615</v>
      </c>
      <c r="G508" s="956">
        <v>882.55495644960615</v>
      </c>
      <c r="H508" s="956">
        <v>882.55495644960615</v>
      </c>
      <c r="I508" s="956">
        <v>882.55495644960615</v>
      </c>
      <c r="J508" s="956">
        <v>882.55495644960615</v>
      </c>
      <c r="K508" s="956">
        <v>882.55495644960615</v>
      </c>
      <c r="L508" s="956">
        <v>882.55495644960615</v>
      </c>
      <c r="M508" s="956">
        <v>882.55495644960615</v>
      </c>
      <c r="N508" s="956">
        <v>882.55495644960615</v>
      </c>
      <c r="O508" s="956">
        <v>882.55495644960615</v>
      </c>
    </row>
    <row r="509" spans="1:15">
      <c r="A509" s="119"/>
      <c r="B509" s="331" t="s">
        <v>1067</v>
      </c>
      <c r="C509">
        <v>1276.2573099415206</v>
      </c>
      <c r="D509" s="956">
        <v>876.12002264578257</v>
      </c>
      <c r="E509" s="956">
        <v>876.12002264578257</v>
      </c>
      <c r="F509" s="956">
        <v>876.12002264578257</v>
      </c>
      <c r="G509" s="956">
        <v>876.12002264578257</v>
      </c>
      <c r="H509" s="956">
        <v>876.12002264578257</v>
      </c>
      <c r="I509" s="956">
        <v>876.12002264578257</v>
      </c>
      <c r="J509" s="956">
        <v>876.12002264578257</v>
      </c>
      <c r="K509" s="956">
        <v>876.12002264578257</v>
      </c>
      <c r="L509" s="956">
        <v>876.12002264578257</v>
      </c>
      <c r="M509" s="956">
        <v>876.12002264578257</v>
      </c>
      <c r="N509" s="956">
        <v>876.12002264578257</v>
      </c>
      <c r="O509" s="956">
        <v>876.12002264578257</v>
      </c>
    </row>
    <row r="510" spans="1:15">
      <c r="A510" s="119"/>
      <c r="B510" s="331" t="s">
        <v>1068</v>
      </c>
      <c r="C510">
        <v>1384.6802900461441</v>
      </c>
      <c r="D510" s="956">
        <v>875.34555712270821</v>
      </c>
      <c r="E510" s="956">
        <v>875.34555712270821</v>
      </c>
      <c r="F510" s="956">
        <v>875.34555712270821</v>
      </c>
      <c r="G510" s="956">
        <v>875.34555712270821</v>
      </c>
      <c r="H510" s="956">
        <v>875.34555712270821</v>
      </c>
      <c r="I510" s="956">
        <v>875.34555712270821</v>
      </c>
      <c r="J510" s="956">
        <v>875.34555712270821</v>
      </c>
      <c r="K510" s="956">
        <v>875.34555712270821</v>
      </c>
      <c r="L510" s="956">
        <v>875.34555712270821</v>
      </c>
      <c r="M510" s="956">
        <v>875.34555712270821</v>
      </c>
      <c r="N510" s="956">
        <v>875.34555712270821</v>
      </c>
      <c r="O510" s="956">
        <v>875.34555712270821</v>
      </c>
    </row>
    <row r="511" spans="1:15">
      <c r="A511" s="119"/>
      <c r="B511" s="331" t="s">
        <v>1069</v>
      </c>
      <c r="C511">
        <v>1384.6802900461441</v>
      </c>
      <c r="D511" s="956">
        <v>803.13167259786496</v>
      </c>
      <c r="E511" s="956">
        <v>803.13167259786496</v>
      </c>
      <c r="F511" s="956">
        <v>803.13167259786496</v>
      </c>
      <c r="G511" s="956">
        <v>803.13167259786496</v>
      </c>
      <c r="H511" s="956">
        <v>803.13167259786496</v>
      </c>
      <c r="I511" s="956">
        <v>803.13167259786496</v>
      </c>
      <c r="J511" s="956">
        <v>803.13167259786496</v>
      </c>
      <c r="K511" s="956">
        <v>803.13167259786496</v>
      </c>
      <c r="L511" s="956">
        <v>803.13167259786496</v>
      </c>
      <c r="M511" s="956">
        <v>803.13167259786496</v>
      </c>
      <c r="N511" s="956">
        <v>803.13167259786496</v>
      </c>
      <c r="O511" s="956">
        <v>803.13167259786496</v>
      </c>
    </row>
    <row r="512" spans="1:15">
      <c r="A512" s="119"/>
      <c r="B512" s="331" t="s">
        <v>1070</v>
      </c>
      <c r="C512">
        <v>1488.9668615984408</v>
      </c>
      <c r="D512" s="956">
        <v>744.71607314725713</v>
      </c>
      <c r="E512" s="956">
        <v>744.71607314725713</v>
      </c>
      <c r="F512" s="956">
        <v>744.71607314725713</v>
      </c>
      <c r="G512" s="956">
        <v>744.71607314725713</v>
      </c>
      <c r="H512" s="956">
        <v>744.71607314725713</v>
      </c>
      <c r="I512" s="956">
        <v>744.71607314725713</v>
      </c>
      <c r="J512" s="956">
        <v>744.71607314725713</v>
      </c>
      <c r="K512" s="956">
        <v>744.71607314725713</v>
      </c>
      <c r="L512" s="956">
        <v>744.71607314725713</v>
      </c>
      <c r="M512" s="956">
        <v>744.71607314725713</v>
      </c>
      <c r="N512" s="956">
        <v>744.71607314725713</v>
      </c>
      <c r="O512" s="956">
        <v>744.71607314725713</v>
      </c>
    </row>
    <row r="513" spans="1:15">
      <c r="A513" s="119"/>
      <c r="B513" s="331" t="s">
        <v>1071</v>
      </c>
      <c r="C513">
        <v>850.83820662768039</v>
      </c>
      <c r="D513" s="956">
        <v>470.80012169151217</v>
      </c>
      <c r="E513" s="956">
        <v>470.80012169151217</v>
      </c>
      <c r="F513" s="956">
        <v>470.80012169151217</v>
      </c>
      <c r="G513" s="956">
        <v>470.80012169151217</v>
      </c>
      <c r="H513" s="956">
        <v>470.80012169151217</v>
      </c>
      <c r="I513" s="956">
        <v>470.80012169151217</v>
      </c>
      <c r="J513" s="956">
        <v>470.80012169151217</v>
      </c>
      <c r="K513" s="956">
        <v>470.80012169151217</v>
      </c>
      <c r="L513" s="956">
        <v>470.80012169151217</v>
      </c>
      <c r="M513" s="956">
        <v>470.80012169151217</v>
      </c>
      <c r="N513" s="956">
        <v>470.80012169151217</v>
      </c>
      <c r="O513" s="956">
        <v>470.80012169151217</v>
      </c>
    </row>
    <row r="514" spans="1:15">
      <c r="A514" s="119"/>
      <c r="B514" s="331" t="s">
        <v>1072</v>
      </c>
      <c r="C514">
        <v>850.83820662768039</v>
      </c>
      <c r="D514" s="956">
        <v>464.68085106382995</v>
      </c>
      <c r="E514" s="956">
        <v>464.68085106382995</v>
      </c>
      <c r="F514" s="956">
        <v>464.68085106382995</v>
      </c>
      <c r="G514" s="956">
        <v>464.68085106382995</v>
      </c>
      <c r="H514" s="956">
        <v>464.68085106382995</v>
      </c>
      <c r="I514" s="956">
        <v>464.68085106382995</v>
      </c>
      <c r="J514" s="956">
        <v>464.68085106382995</v>
      </c>
      <c r="K514" s="956">
        <v>464.68085106382995</v>
      </c>
      <c r="L514" s="956">
        <v>464.68085106382995</v>
      </c>
      <c r="M514" s="956">
        <v>464.68085106382995</v>
      </c>
      <c r="N514" s="956">
        <v>464.68085106382995</v>
      </c>
      <c r="O514" s="956">
        <v>464.68085106382995</v>
      </c>
    </row>
    <row r="515" spans="1:15">
      <c r="A515" s="119"/>
      <c r="B515" s="331" t="s">
        <v>1073</v>
      </c>
      <c r="C515">
        <v>0</v>
      </c>
      <c r="D515" s="953">
        <v>0</v>
      </c>
      <c r="E515" s="953">
        <v>0</v>
      </c>
      <c r="F515" s="953">
        <v>0</v>
      </c>
      <c r="G515" s="953">
        <v>0</v>
      </c>
      <c r="H515" s="953">
        <v>0</v>
      </c>
      <c r="I515" s="953">
        <v>0</v>
      </c>
      <c r="J515" s="953">
        <v>0</v>
      </c>
      <c r="K515" s="953">
        <v>0</v>
      </c>
      <c r="L515" s="953">
        <v>0</v>
      </c>
      <c r="M515" s="953">
        <v>0</v>
      </c>
      <c r="N515" s="953">
        <v>0</v>
      </c>
      <c r="O515" s="953">
        <v>0</v>
      </c>
    </row>
    <row r="516" spans="1:15">
      <c r="A516" s="119"/>
      <c r="B516" s="331" t="s">
        <v>1074</v>
      </c>
      <c r="C516">
        <v>0</v>
      </c>
      <c r="D516" s="953">
        <v>0</v>
      </c>
      <c r="E516" s="953">
        <v>0</v>
      </c>
      <c r="F516" s="953">
        <v>0</v>
      </c>
      <c r="G516" s="953">
        <v>0</v>
      </c>
      <c r="H516" s="953">
        <v>0</v>
      </c>
      <c r="I516" s="953">
        <v>0</v>
      </c>
      <c r="J516" s="953">
        <v>0</v>
      </c>
      <c r="K516" s="953">
        <v>0</v>
      </c>
      <c r="L516" s="953">
        <v>0</v>
      </c>
      <c r="M516" s="953">
        <v>0</v>
      </c>
      <c r="N516" s="953">
        <v>0</v>
      </c>
      <c r="O516" s="953">
        <v>0</v>
      </c>
    </row>
    <row r="517" spans="1:15">
      <c r="A517" s="119"/>
      <c r="B517" s="331" t="s">
        <v>1075</v>
      </c>
      <c r="C517">
        <v>0</v>
      </c>
      <c r="D517" s="953">
        <v>0</v>
      </c>
      <c r="E517" s="953">
        <v>0</v>
      </c>
      <c r="F517" s="953">
        <v>0</v>
      </c>
      <c r="G517" s="953">
        <v>0</v>
      </c>
      <c r="H517" s="953">
        <v>0</v>
      </c>
      <c r="I517" s="953">
        <v>0</v>
      </c>
      <c r="J517" s="953">
        <v>0</v>
      </c>
      <c r="K517" s="953">
        <v>0</v>
      </c>
      <c r="L517" s="953">
        <v>0</v>
      </c>
      <c r="M517" s="953">
        <v>0</v>
      </c>
      <c r="N517" s="953">
        <v>0</v>
      </c>
      <c r="O517" s="953">
        <v>0</v>
      </c>
    </row>
    <row r="518" spans="1:15">
      <c r="A518" s="119"/>
      <c r="B518" s="331" t="s">
        <v>1076</v>
      </c>
      <c r="C518">
        <v>0</v>
      </c>
      <c r="D518" s="953">
        <v>0</v>
      </c>
      <c r="E518" s="953">
        <v>0</v>
      </c>
      <c r="F518" s="953">
        <v>0</v>
      </c>
      <c r="G518" s="953">
        <v>0</v>
      </c>
      <c r="H518" s="953">
        <v>0</v>
      </c>
      <c r="I518" s="953">
        <v>0</v>
      </c>
      <c r="J518" s="953">
        <v>0</v>
      </c>
      <c r="K518" s="953">
        <v>0</v>
      </c>
      <c r="L518" s="953">
        <v>0</v>
      </c>
      <c r="M518" s="953">
        <v>0</v>
      </c>
      <c r="N518" s="953">
        <v>0</v>
      </c>
      <c r="O518" s="953">
        <v>0</v>
      </c>
    </row>
    <row r="519" spans="1:15">
      <c r="A519" s="119"/>
      <c r="B519" s="331" t="s">
        <v>1077</v>
      </c>
      <c r="C519">
        <v>0</v>
      </c>
      <c r="D519" s="953">
        <v>0</v>
      </c>
      <c r="E519" s="953">
        <v>0</v>
      </c>
      <c r="F519" s="953">
        <v>0</v>
      </c>
      <c r="G519" s="953">
        <v>0</v>
      </c>
      <c r="H519" s="953">
        <v>0</v>
      </c>
      <c r="I519" s="1130">
        <v>717.33283775999996</v>
      </c>
      <c r="J519" s="1130">
        <v>717.33283775999996</v>
      </c>
      <c r="K519" s="1130">
        <v>717.33283775999996</v>
      </c>
      <c r="L519" s="1130">
        <v>717.33283775999996</v>
      </c>
      <c r="M519" s="1130">
        <v>717.33283775999996</v>
      </c>
      <c r="N519" s="1130">
        <v>717.33283775999996</v>
      </c>
      <c r="O519" s="1130">
        <v>717.33283775999996</v>
      </c>
    </row>
    <row r="520" spans="1:15">
      <c r="A520" s="119"/>
      <c r="B520" s="331" t="s">
        <v>1078</v>
      </c>
      <c r="C520">
        <v>0</v>
      </c>
      <c r="D520" s="953">
        <v>0</v>
      </c>
      <c r="E520" s="953">
        <v>0</v>
      </c>
      <c r="F520" s="953">
        <v>0</v>
      </c>
      <c r="G520" s="953">
        <v>0</v>
      </c>
      <c r="H520" s="953">
        <v>0</v>
      </c>
      <c r="I520" s="1130">
        <v>717.33283775999996</v>
      </c>
      <c r="J520" s="1130">
        <v>717.33283775999996</v>
      </c>
      <c r="K520" s="1130">
        <v>717.33283775999996</v>
      </c>
      <c r="L520" s="1130">
        <v>717.33283775999996</v>
      </c>
      <c r="M520" s="1130">
        <v>717.33283775999996</v>
      </c>
      <c r="N520" s="1130">
        <v>717.33283775999996</v>
      </c>
      <c r="O520" s="1130">
        <v>717.33283775999996</v>
      </c>
    </row>
    <row r="521" spans="1:15">
      <c r="A521" s="119"/>
      <c r="B521" s="331" t="s">
        <v>1079</v>
      </c>
      <c r="C521">
        <v>0</v>
      </c>
      <c r="D521" s="956">
        <v>1075.9992566399999</v>
      </c>
      <c r="E521" s="956">
        <v>1075.9992566399999</v>
      </c>
      <c r="F521" s="956">
        <v>1075.9992566399999</v>
      </c>
      <c r="G521" s="956">
        <v>1075.9992566399999</v>
      </c>
      <c r="H521" s="956">
        <v>1075.9992566399999</v>
      </c>
      <c r="I521" s="1130">
        <v>1972.66530384</v>
      </c>
      <c r="J521" s="1130">
        <v>1972.66530384</v>
      </c>
      <c r="K521" s="1130">
        <v>1972.66530384</v>
      </c>
      <c r="L521" s="1130">
        <v>1972.66530384</v>
      </c>
      <c r="M521" s="1130">
        <v>1972.66530384</v>
      </c>
      <c r="N521" s="1130">
        <v>1972.66530384</v>
      </c>
      <c r="O521" s="1130">
        <v>1972.66530384</v>
      </c>
    </row>
    <row r="522" spans="1:15">
      <c r="A522" s="119"/>
      <c r="B522" s="331" t="s">
        <v>1080</v>
      </c>
      <c r="C522">
        <v>0</v>
      </c>
      <c r="D522" s="956">
        <v>1075.9992566399999</v>
      </c>
      <c r="E522" s="956">
        <v>1075.9992566399999</v>
      </c>
      <c r="F522" s="956">
        <v>1075.9992566399999</v>
      </c>
      <c r="G522" s="956">
        <v>1075.9992566399999</v>
      </c>
      <c r="H522" s="956">
        <v>1075.9992566399999</v>
      </c>
      <c r="I522" s="956">
        <v>1075.9992566399999</v>
      </c>
      <c r="J522" s="956">
        <v>1075.9992566399999</v>
      </c>
      <c r="K522" s="956">
        <v>1075.9992566399999</v>
      </c>
      <c r="L522" s="956">
        <v>1075.9992566399999</v>
      </c>
      <c r="M522" s="956">
        <v>1075.9992566399999</v>
      </c>
      <c r="N522" s="956">
        <v>1075.9992566399999</v>
      </c>
      <c r="O522" s="956">
        <v>1075.9992566399999</v>
      </c>
    </row>
    <row r="523" spans="1:15">
      <c r="A523" s="119"/>
      <c r="B523" s="331" t="s">
        <v>1081</v>
      </c>
      <c r="C523">
        <v>0</v>
      </c>
      <c r="D523" s="956">
        <v>1075.9992566399999</v>
      </c>
      <c r="E523" s="956">
        <v>1075.9992566399999</v>
      </c>
      <c r="F523" s="956">
        <v>1075.9992566399999</v>
      </c>
      <c r="G523" s="956">
        <v>1075.9992566399999</v>
      </c>
      <c r="H523" s="956">
        <v>1075.9992566399999</v>
      </c>
      <c r="I523" s="956">
        <v>1075.9992566399999</v>
      </c>
      <c r="J523" s="956">
        <v>1075.9992566399999</v>
      </c>
      <c r="K523" s="956">
        <v>1075.9992566399999</v>
      </c>
      <c r="L523" s="956">
        <v>1075.9992566399999</v>
      </c>
      <c r="M523" s="956">
        <v>1075.9992566399999</v>
      </c>
      <c r="N523" s="956">
        <v>1075.9992566399999</v>
      </c>
      <c r="O523" s="956">
        <v>1075.9992566399999</v>
      </c>
    </row>
    <row r="524" spans="1:15">
      <c r="A524" s="119"/>
      <c r="B524" s="331" t="s">
        <v>1082</v>
      </c>
      <c r="C524">
        <v>0</v>
      </c>
      <c r="D524" s="953">
        <v>0</v>
      </c>
      <c r="E524" s="953">
        <v>0</v>
      </c>
      <c r="F524" s="953">
        <v>0</v>
      </c>
      <c r="G524" s="953">
        <v>0</v>
      </c>
      <c r="H524" s="953">
        <v>0</v>
      </c>
      <c r="I524" s="1130">
        <v>986.33265191999999</v>
      </c>
      <c r="J524" s="1130">
        <v>986.33265191999999</v>
      </c>
      <c r="K524" s="1130">
        <v>986.33265191999999</v>
      </c>
      <c r="L524" s="1130">
        <v>986.33265191999999</v>
      </c>
      <c r="M524" s="1130">
        <v>986.33265191999999</v>
      </c>
      <c r="N524" s="1130">
        <v>986.33265191999999</v>
      </c>
      <c r="O524" s="1130">
        <v>986.33265191999999</v>
      </c>
    </row>
    <row r="525" spans="1:15">
      <c r="A525" s="119"/>
      <c r="B525" s="331" t="s">
        <v>1083</v>
      </c>
      <c r="C525">
        <v>0</v>
      </c>
      <c r="D525" s="953">
        <v>0</v>
      </c>
      <c r="E525" s="953">
        <v>0</v>
      </c>
      <c r="F525" s="953">
        <v>0</v>
      </c>
      <c r="G525" s="953">
        <v>0</v>
      </c>
      <c r="H525" s="953">
        <v>0</v>
      </c>
      <c r="I525" s="953">
        <v>0</v>
      </c>
      <c r="J525" s="953">
        <v>0</v>
      </c>
      <c r="K525" s="953">
        <v>0</v>
      </c>
      <c r="L525" s="953">
        <v>0</v>
      </c>
      <c r="M525" s="953">
        <v>0</v>
      </c>
      <c r="N525" s="953">
        <v>0</v>
      </c>
      <c r="O525" s="953">
        <v>0</v>
      </c>
    </row>
    <row r="526" spans="1:15">
      <c r="A526" s="119"/>
      <c r="B526" s="331" t="s">
        <v>1084</v>
      </c>
      <c r="C526">
        <v>0</v>
      </c>
      <c r="D526" s="953">
        <v>0</v>
      </c>
      <c r="E526" s="953">
        <v>0</v>
      </c>
      <c r="F526" s="953">
        <v>0</v>
      </c>
      <c r="G526" s="953">
        <v>0</v>
      </c>
      <c r="H526" s="953">
        <v>0</v>
      </c>
      <c r="I526" s="953">
        <v>0</v>
      </c>
      <c r="J526" s="953">
        <v>0</v>
      </c>
      <c r="K526" s="953">
        <v>0</v>
      </c>
      <c r="L526" s="953">
        <v>0</v>
      </c>
      <c r="M526" s="953">
        <v>0</v>
      </c>
      <c r="N526" s="953">
        <v>0</v>
      </c>
      <c r="O526" s="953">
        <v>0</v>
      </c>
    </row>
    <row r="527" spans="1:15">
      <c r="A527" s="119"/>
      <c r="B527" s="331" t="s">
        <v>1085</v>
      </c>
      <c r="C527">
        <v>0</v>
      </c>
      <c r="D527" s="953">
        <v>0</v>
      </c>
      <c r="E527" s="953">
        <v>0</v>
      </c>
      <c r="F527" s="953">
        <v>0</v>
      </c>
      <c r="G527" s="953">
        <v>0</v>
      </c>
      <c r="H527" s="953">
        <v>0</v>
      </c>
      <c r="I527" s="953">
        <v>0</v>
      </c>
      <c r="J527" s="953">
        <v>0</v>
      </c>
      <c r="K527" s="953">
        <v>0</v>
      </c>
      <c r="L527" s="953">
        <v>0</v>
      </c>
      <c r="M527" s="953">
        <v>0</v>
      </c>
      <c r="N527" s="953">
        <v>0</v>
      </c>
      <c r="O527" s="953">
        <v>0</v>
      </c>
    </row>
    <row r="528" spans="1:15">
      <c r="A528" s="119"/>
      <c r="B528" s="331" t="s">
        <v>1086</v>
      </c>
      <c r="C528">
        <v>0</v>
      </c>
      <c r="D528" s="953">
        <v>0</v>
      </c>
      <c r="E528" s="953">
        <v>0</v>
      </c>
      <c r="F528" s="953">
        <v>0</v>
      </c>
      <c r="G528" s="953">
        <v>0</v>
      </c>
      <c r="H528" s="953">
        <v>0</v>
      </c>
      <c r="I528" s="953">
        <v>0</v>
      </c>
      <c r="J528" s="953">
        <v>0</v>
      </c>
      <c r="K528" s="953">
        <v>0</v>
      </c>
      <c r="L528" s="953">
        <v>0</v>
      </c>
      <c r="M528" s="953">
        <v>0</v>
      </c>
      <c r="N528" s="953">
        <v>0</v>
      </c>
      <c r="O528" s="953">
        <v>0</v>
      </c>
    </row>
    <row r="529" spans="1:15">
      <c r="A529" s="119"/>
      <c r="B529" s="331" t="s">
        <v>1087</v>
      </c>
      <c r="C529">
        <v>0</v>
      </c>
      <c r="D529" s="953">
        <v>0</v>
      </c>
      <c r="E529" s="953">
        <v>0</v>
      </c>
      <c r="F529" s="953">
        <v>0</v>
      </c>
      <c r="G529" s="953">
        <v>0</v>
      </c>
      <c r="H529" s="953">
        <v>0</v>
      </c>
      <c r="I529" s="953">
        <v>0</v>
      </c>
      <c r="J529" s="953">
        <v>0</v>
      </c>
      <c r="K529" s="953">
        <v>0</v>
      </c>
      <c r="L529" s="953">
        <v>0</v>
      </c>
      <c r="M529" s="953">
        <v>0</v>
      </c>
      <c r="N529" s="953">
        <v>0</v>
      </c>
      <c r="O529" s="953">
        <v>0</v>
      </c>
    </row>
    <row r="530" spans="1:15">
      <c r="A530" s="119"/>
      <c r="B530" s="331" t="s">
        <v>1088</v>
      </c>
      <c r="C530">
        <v>0</v>
      </c>
      <c r="D530" s="953">
        <v>0</v>
      </c>
      <c r="E530" s="953">
        <v>0</v>
      </c>
      <c r="F530" s="953">
        <v>0</v>
      </c>
      <c r="G530" s="953">
        <v>0</v>
      </c>
      <c r="H530" s="953">
        <v>0</v>
      </c>
      <c r="I530" s="953">
        <v>0</v>
      </c>
      <c r="J530" s="953">
        <v>0</v>
      </c>
      <c r="K530" s="953">
        <v>0</v>
      </c>
      <c r="L530" s="953">
        <v>0</v>
      </c>
      <c r="M530" s="953">
        <v>0</v>
      </c>
      <c r="N530" s="953">
        <v>0</v>
      </c>
      <c r="O530" s="953">
        <v>0</v>
      </c>
    </row>
    <row r="531" spans="1:15">
      <c r="A531" s="119"/>
      <c r="B531" s="331" t="s">
        <v>1089</v>
      </c>
      <c r="C531">
        <v>0</v>
      </c>
      <c r="D531" s="953">
        <v>0</v>
      </c>
      <c r="E531" s="953">
        <v>0</v>
      </c>
      <c r="F531" s="953">
        <v>0</v>
      </c>
      <c r="G531" s="953">
        <v>0</v>
      </c>
      <c r="H531" s="953">
        <v>0</v>
      </c>
      <c r="I531" s="1130">
        <v>775.92870432000018</v>
      </c>
      <c r="J531" s="1130">
        <v>775.92870432000018</v>
      </c>
      <c r="K531" s="1130">
        <v>775.92870432000018</v>
      </c>
      <c r="L531" s="1130">
        <v>775.92870432000018</v>
      </c>
      <c r="M531" s="1130">
        <v>775.92870432000018</v>
      </c>
      <c r="N531" s="1130">
        <v>775.92870432000018</v>
      </c>
      <c r="O531" s="1130">
        <v>775.92870432000018</v>
      </c>
    </row>
    <row r="532" spans="1:15">
      <c r="A532" s="119"/>
      <c r="B532" s="331" t="s">
        <v>1090</v>
      </c>
      <c r="C532">
        <v>0</v>
      </c>
      <c r="D532" s="953">
        <v>0</v>
      </c>
      <c r="E532" s="953">
        <v>0</v>
      </c>
      <c r="F532" s="953">
        <v>0</v>
      </c>
      <c r="G532" s="953">
        <v>0</v>
      </c>
      <c r="H532" s="953">
        <v>0</v>
      </c>
      <c r="I532" s="1130">
        <v>775.92870432000018</v>
      </c>
      <c r="J532" s="1130">
        <v>775.92870432000018</v>
      </c>
      <c r="K532" s="1130">
        <v>775.92870432000018</v>
      </c>
      <c r="L532" s="1130">
        <v>775.92870432000018</v>
      </c>
      <c r="M532" s="1130">
        <v>775.92870432000018</v>
      </c>
      <c r="N532" s="1130">
        <v>775.92870432000018</v>
      </c>
      <c r="O532" s="1130">
        <v>775.92870432000018</v>
      </c>
    </row>
    <row r="533" spans="1:15">
      <c r="A533" s="119"/>
      <c r="B533" s="331" t="s">
        <v>1091</v>
      </c>
      <c r="C533">
        <v>0</v>
      </c>
      <c r="D533" s="956">
        <v>1163.89305648</v>
      </c>
      <c r="E533" s="956">
        <v>1163.89305648</v>
      </c>
      <c r="F533" s="956">
        <v>1163.89305648</v>
      </c>
      <c r="G533" s="956">
        <v>1163.89305648</v>
      </c>
      <c r="H533" s="956">
        <v>1163.89305648</v>
      </c>
      <c r="I533" s="1130">
        <v>2036.8128488400002</v>
      </c>
      <c r="J533" s="1130">
        <v>2036.8128488400002</v>
      </c>
      <c r="K533" s="1130">
        <v>2036.8128488400002</v>
      </c>
      <c r="L533" s="1130">
        <v>2036.8128488400002</v>
      </c>
      <c r="M533" s="1130">
        <v>2036.8128488400002</v>
      </c>
      <c r="N533" s="1130">
        <v>2036.8128488400002</v>
      </c>
      <c r="O533" s="1130">
        <v>2036.8128488400002</v>
      </c>
    </row>
    <row r="534" spans="1:15">
      <c r="A534" s="119"/>
      <c r="B534" s="331" t="s">
        <v>1092</v>
      </c>
      <c r="C534">
        <v>0</v>
      </c>
      <c r="D534" s="956">
        <v>1163.89305648</v>
      </c>
      <c r="E534" s="956">
        <v>1163.89305648</v>
      </c>
      <c r="F534" s="956">
        <v>1163.89305648</v>
      </c>
      <c r="G534" s="956">
        <v>1163.89305648</v>
      </c>
      <c r="H534" s="956">
        <v>1163.89305648</v>
      </c>
      <c r="I534" s="1130">
        <v>1939.8217608000004</v>
      </c>
      <c r="J534" s="1130">
        <v>1939.8217608000004</v>
      </c>
      <c r="K534" s="1130">
        <v>1939.8217608000004</v>
      </c>
      <c r="L534" s="1130">
        <v>1939.8217608000004</v>
      </c>
      <c r="M534" s="1130">
        <v>1939.8217608000004</v>
      </c>
      <c r="N534" s="1130">
        <v>1939.8217608000004</v>
      </c>
      <c r="O534" s="1130">
        <v>1939.8217608000004</v>
      </c>
    </row>
    <row r="535" spans="1:15">
      <c r="A535" s="119"/>
      <c r="B535" s="331" t="s">
        <v>1093</v>
      </c>
      <c r="C535">
        <v>0</v>
      </c>
      <c r="D535" s="956">
        <v>1163.89305648</v>
      </c>
      <c r="E535" s="956">
        <v>1163.89305648</v>
      </c>
      <c r="F535" s="956">
        <v>1163.89305648</v>
      </c>
      <c r="G535" s="956">
        <v>1163.89305648</v>
      </c>
      <c r="H535" s="956">
        <v>1163.89305648</v>
      </c>
      <c r="I535" s="956">
        <v>1163.89305648</v>
      </c>
      <c r="J535" s="956">
        <v>1163.89305648</v>
      </c>
      <c r="K535" s="956">
        <v>1163.89305648</v>
      </c>
      <c r="L535" s="956">
        <v>1163.89305648</v>
      </c>
      <c r="M535" s="956">
        <v>1163.89305648</v>
      </c>
      <c r="N535" s="956">
        <v>1163.89305648</v>
      </c>
      <c r="O535" s="956">
        <v>1163.89305648</v>
      </c>
    </row>
    <row r="536" spans="1:15">
      <c r="A536" s="119"/>
      <c r="B536" s="331" t="s">
        <v>1094</v>
      </c>
      <c r="C536">
        <v>0</v>
      </c>
      <c r="D536" s="956">
        <v>1066.9019684400002</v>
      </c>
      <c r="E536" s="956">
        <v>1066.9019684400002</v>
      </c>
      <c r="F536" s="956">
        <v>1066.9019684400002</v>
      </c>
      <c r="G536" s="956">
        <v>1066.9019684400002</v>
      </c>
      <c r="H536" s="956">
        <v>1066.9019684400002</v>
      </c>
      <c r="I536" s="956">
        <v>1066.9019684400002</v>
      </c>
      <c r="J536" s="956">
        <v>1066.9019684400002</v>
      </c>
      <c r="K536" s="956">
        <v>1066.9019684400002</v>
      </c>
      <c r="L536" s="956">
        <v>1066.9019684400002</v>
      </c>
      <c r="M536" s="956">
        <v>1066.9019684400002</v>
      </c>
      <c r="N536" s="956">
        <v>1066.9019684400002</v>
      </c>
      <c r="O536" s="956">
        <v>1066.9019684400002</v>
      </c>
    </row>
    <row r="537" spans="1:15">
      <c r="A537" s="119"/>
      <c r="B537" s="331" t="s">
        <v>1095</v>
      </c>
      <c r="C537">
        <v>0</v>
      </c>
      <c r="D537" s="953">
        <v>0</v>
      </c>
      <c r="E537" s="953">
        <v>0</v>
      </c>
      <c r="F537" s="953">
        <v>0</v>
      </c>
      <c r="G537" s="953">
        <v>0</v>
      </c>
      <c r="H537" s="953">
        <v>0</v>
      </c>
      <c r="I537" s="953">
        <v>0</v>
      </c>
      <c r="J537" s="953">
        <v>0</v>
      </c>
      <c r="K537" s="953">
        <v>0</v>
      </c>
      <c r="L537" s="953">
        <v>0</v>
      </c>
      <c r="M537" s="953">
        <v>0</v>
      </c>
      <c r="N537" s="953">
        <v>0</v>
      </c>
      <c r="O537" s="953">
        <v>0</v>
      </c>
    </row>
    <row r="538" spans="1:15">
      <c r="A538" s="119"/>
      <c r="B538" s="331" t="s">
        <v>1096</v>
      </c>
      <c r="C538">
        <v>0</v>
      </c>
      <c r="D538" s="953">
        <v>0</v>
      </c>
      <c r="E538" s="953">
        <v>0</v>
      </c>
      <c r="F538" s="953">
        <v>0</v>
      </c>
      <c r="G538" s="953">
        <v>0</v>
      </c>
      <c r="H538" s="953">
        <v>0</v>
      </c>
      <c r="I538" s="953">
        <v>0</v>
      </c>
      <c r="J538" s="953">
        <v>0</v>
      </c>
      <c r="K538" s="953">
        <v>0</v>
      </c>
      <c r="L538" s="953">
        <v>0</v>
      </c>
      <c r="M538" s="953">
        <v>0</v>
      </c>
      <c r="N538" s="953">
        <v>0</v>
      </c>
      <c r="O538" s="953">
        <v>0</v>
      </c>
    </row>
    <row r="539" spans="1:15">
      <c r="A539" s="119"/>
      <c r="B539" s="331" t="s">
        <v>1097</v>
      </c>
      <c r="C539">
        <v>0</v>
      </c>
      <c r="D539" s="953">
        <v>0</v>
      </c>
      <c r="E539" s="953">
        <v>0</v>
      </c>
      <c r="F539" s="953">
        <v>0</v>
      </c>
      <c r="G539" s="953">
        <v>0</v>
      </c>
      <c r="H539" s="953">
        <v>0</v>
      </c>
      <c r="I539" s="953">
        <v>0</v>
      </c>
      <c r="J539" s="953">
        <v>0</v>
      </c>
      <c r="K539" s="953">
        <v>0</v>
      </c>
      <c r="L539" s="953">
        <v>0</v>
      </c>
      <c r="M539" s="953">
        <v>0</v>
      </c>
      <c r="N539" s="953">
        <v>0</v>
      </c>
      <c r="O539" s="953">
        <v>0</v>
      </c>
    </row>
    <row r="540" spans="1:15">
      <c r="A540" s="119"/>
      <c r="B540" s="331" t="s">
        <v>1098</v>
      </c>
      <c r="C540">
        <v>0</v>
      </c>
      <c r="D540" s="953">
        <v>0</v>
      </c>
      <c r="E540" s="953">
        <v>0</v>
      </c>
      <c r="F540" s="953">
        <v>0</v>
      </c>
      <c r="G540" s="953">
        <v>0</v>
      </c>
      <c r="H540" s="953">
        <v>0</v>
      </c>
      <c r="I540" s="953">
        <v>0</v>
      </c>
      <c r="J540" s="953">
        <v>0</v>
      </c>
      <c r="K540" s="953">
        <v>0</v>
      </c>
      <c r="L540" s="953">
        <v>0</v>
      </c>
      <c r="M540" s="953">
        <v>0</v>
      </c>
      <c r="N540" s="953">
        <v>0</v>
      </c>
      <c r="O540" s="953">
        <v>0</v>
      </c>
    </row>
    <row r="541" spans="1:15">
      <c r="A541" s="119"/>
      <c r="B541" s="331" t="s">
        <v>1099</v>
      </c>
      <c r="C541">
        <v>0</v>
      </c>
      <c r="D541" s="953">
        <v>0</v>
      </c>
      <c r="E541" s="953">
        <v>0</v>
      </c>
      <c r="F541" s="953">
        <v>0</v>
      </c>
      <c r="G541" s="953">
        <v>0</v>
      </c>
      <c r="H541" s="953">
        <v>0</v>
      </c>
      <c r="I541" s="953">
        <v>0</v>
      </c>
      <c r="J541" s="953">
        <v>0</v>
      </c>
      <c r="K541" s="953">
        <v>0</v>
      </c>
      <c r="L541" s="953">
        <v>0</v>
      </c>
      <c r="M541" s="953">
        <v>0</v>
      </c>
      <c r="N541" s="953">
        <v>0</v>
      </c>
      <c r="O541" s="953">
        <v>0</v>
      </c>
    </row>
    <row r="542" spans="1:15">
      <c r="A542" s="119"/>
      <c r="B542" s="331" t="s">
        <v>1100</v>
      </c>
      <c r="C542">
        <v>0</v>
      </c>
      <c r="D542" s="953">
        <v>0</v>
      </c>
      <c r="E542" s="953">
        <v>0</v>
      </c>
      <c r="F542" s="953">
        <v>0</v>
      </c>
      <c r="G542" s="953">
        <v>0</v>
      </c>
      <c r="H542" s="953">
        <v>0</v>
      </c>
      <c r="I542" s="1130">
        <v>752.4157132800002</v>
      </c>
      <c r="J542" s="1130">
        <v>752.4157132800002</v>
      </c>
      <c r="K542" s="1130">
        <v>752.4157132800002</v>
      </c>
      <c r="L542" s="1130">
        <v>752.4157132800002</v>
      </c>
      <c r="M542" s="1130">
        <v>752.4157132800002</v>
      </c>
      <c r="N542" s="1130">
        <v>752.4157132800002</v>
      </c>
      <c r="O542" s="1130">
        <v>752.4157132800002</v>
      </c>
    </row>
    <row r="543" spans="1:15">
      <c r="A543" s="119"/>
      <c r="B543" s="331" t="s">
        <v>1101</v>
      </c>
      <c r="C543">
        <v>0</v>
      </c>
      <c r="D543" s="953">
        <v>0</v>
      </c>
      <c r="E543" s="953">
        <v>0</v>
      </c>
      <c r="F543" s="953">
        <v>0</v>
      </c>
      <c r="G543" s="953">
        <v>0</v>
      </c>
      <c r="H543" s="953">
        <v>0</v>
      </c>
      <c r="I543" s="1130">
        <v>859.90367232000017</v>
      </c>
      <c r="J543" s="1130">
        <v>859.90367232000017</v>
      </c>
      <c r="K543" s="1130">
        <v>859.90367232000017</v>
      </c>
      <c r="L543" s="1130">
        <v>859.90367232000017</v>
      </c>
      <c r="M543" s="1130">
        <v>859.90367232000017</v>
      </c>
      <c r="N543" s="1130">
        <v>859.90367232000017</v>
      </c>
      <c r="O543" s="1130">
        <v>859.90367232000017</v>
      </c>
    </row>
    <row r="544" spans="1:15">
      <c r="A544" s="119"/>
      <c r="B544" s="331" t="s">
        <v>1102</v>
      </c>
      <c r="C544">
        <v>0</v>
      </c>
      <c r="D544" s="953">
        <v>0</v>
      </c>
      <c r="E544" s="953">
        <v>0</v>
      </c>
      <c r="F544" s="953">
        <v>0</v>
      </c>
      <c r="G544" s="953">
        <v>0</v>
      </c>
      <c r="H544" s="953">
        <v>0</v>
      </c>
      <c r="I544" s="1130">
        <v>859.90367232000017</v>
      </c>
      <c r="J544" s="1130">
        <v>859.90367232000017</v>
      </c>
      <c r="K544" s="1130">
        <v>859.90367232000017</v>
      </c>
      <c r="L544" s="1130">
        <v>859.90367232000017</v>
      </c>
      <c r="M544" s="1130">
        <v>859.90367232000017</v>
      </c>
      <c r="N544" s="1130">
        <v>859.90367232000017</v>
      </c>
      <c r="O544" s="1130">
        <v>859.90367232000017</v>
      </c>
    </row>
    <row r="545" spans="1:15">
      <c r="A545" s="119"/>
      <c r="B545" s="331" t="s">
        <v>1103</v>
      </c>
      <c r="C545">
        <v>0</v>
      </c>
      <c r="D545" s="956">
        <v>1240</v>
      </c>
      <c r="E545" s="956">
        <v>1240</v>
      </c>
      <c r="F545" s="956">
        <v>1240</v>
      </c>
      <c r="G545" s="956">
        <v>1240</v>
      </c>
      <c r="H545" s="956">
        <v>1240</v>
      </c>
      <c r="I545" s="956">
        <v>1240</v>
      </c>
      <c r="J545" s="956">
        <v>1240</v>
      </c>
      <c r="K545" s="956">
        <v>1240</v>
      </c>
      <c r="L545" s="956">
        <v>1240</v>
      </c>
      <c r="M545" s="956">
        <v>1240</v>
      </c>
      <c r="N545" s="956">
        <v>1240</v>
      </c>
      <c r="O545" s="956">
        <v>1240</v>
      </c>
    </row>
    <row r="546" spans="1:15">
      <c r="A546" s="119"/>
      <c r="B546" s="331" t="s">
        <v>1104</v>
      </c>
      <c r="C546">
        <v>1138.1078016000001</v>
      </c>
      <c r="D546" s="956">
        <v>1240</v>
      </c>
      <c r="E546" s="956">
        <v>1240</v>
      </c>
      <c r="F546" s="956">
        <v>1240</v>
      </c>
      <c r="G546" s="956">
        <v>1240</v>
      </c>
      <c r="H546" s="956">
        <v>1240</v>
      </c>
      <c r="I546" s="956">
        <v>1240</v>
      </c>
      <c r="J546" s="956">
        <v>1240</v>
      </c>
      <c r="K546" s="956">
        <v>1240</v>
      </c>
      <c r="L546" s="956">
        <v>1240</v>
      </c>
      <c r="M546" s="956">
        <v>1240</v>
      </c>
      <c r="N546" s="956">
        <v>1240</v>
      </c>
      <c r="O546" s="956">
        <v>1240</v>
      </c>
    </row>
    <row r="547" spans="1:15">
      <c r="A547" s="119"/>
      <c r="B547" s="331" t="s">
        <v>1105</v>
      </c>
      <c r="C547">
        <v>1138.1078016000001</v>
      </c>
      <c r="D547" s="956">
        <v>1240</v>
      </c>
      <c r="E547" s="956">
        <v>1240</v>
      </c>
      <c r="F547" s="956">
        <v>1240</v>
      </c>
      <c r="G547" s="956">
        <v>1240</v>
      </c>
      <c r="H547" s="956">
        <v>1240</v>
      </c>
      <c r="I547" s="956">
        <v>1240</v>
      </c>
      <c r="J547" s="956">
        <v>1240</v>
      </c>
      <c r="K547" s="956">
        <v>1240</v>
      </c>
      <c r="L547" s="956">
        <v>1240</v>
      </c>
      <c r="M547" s="956">
        <v>1240</v>
      </c>
      <c r="N547" s="956">
        <v>1240</v>
      </c>
      <c r="O547" s="956">
        <v>1240</v>
      </c>
    </row>
    <row r="548" spans="1:15">
      <c r="A548" s="119"/>
      <c r="B548" s="331" t="s">
        <v>1106</v>
      </c>
      <c r="C548">
        <v>1043.2654848000002</v>
      </c>
      <c r="D548" s="956">
        <v>1182.3675494400002</v>
      </c>
      <c r="E548" s="956">
        <v>1182.3675494400002</v>
      </c>
      <c r="F548" s="956">
        <v>1182.3675494400002</v>
      </c>
      <c r="G548" s="956">
        <v>1182.3675494400002</v>
      </c>
      <c r="H548" s="956">
        <v>1182.3675494400002</v>
      </c>
      <c r="I548" s="956">
        <v>1182.3675494400002</v>
      </c>
      <c r="J548" s="956">
        <v>1182.3675494400002</v>
      </c>
      <c r="K548" s="956">
        <v>1182.3675494400002</v>
      </c>
      <c r="L548" s="956">
        <v>1182.3675494400002</v>
      </c>
      <c r="M548" s="956">
        <v>1182.3675494400002</v>
      </c>
      <c r="N548" s="956">
        <v>1182.3675494400002</v>
      </c>
      <c r="O548" s="956">
        <v>1182.3675494400002</v>
      </c>
    </row>
    <row r="549" spans="1:15">
      <c r="A549" s="119"/>
      <c r="B549" s="331" t="s">
        <v>1107</v>
      </c>
      <c r="C549">
        <v>0</v>
      </c>
      <c r="D549" s="953">
        <v>0</v>
      </c>
      <c r="E549" s="953">
        <v>0</v>
      </c>
      <c r="F549" s="953">
        <v>0</v>
      </c>
      <c r="G549" s="953">
        <v>0</v>
      </c>
      <c r="H549" s="953">
        <v>0</v>
      </c>
      <c r="I549" s="1130">
        <v>752.4157132800002</v>
      </c>
      <c r="J549" s="1130">
        <v>752.4157132800002</v>
      </c>
      <c r="K549" s="1130">
        <v>752.4157132800002</v>
      </c>
      <c r="L549" s="1130">
        <v>752.4157132800002</v>
      </c>
      <c r="M549" s="1130">
        <v>752.4157132800002</v>
      </c>
      <c r="N549" s="1130">
        <v>752.4157132800002</v>
      </c>
      <c r="O549" s="1130">
        <v>752.4157132800002</v>
      </c>
    </row>
    <row r="550" spans="1:15">
      <c r="A550" s="119"/>
      <c r="B550" s="331" t="s">
        <v>1108</v>
      </c>
      <c r="C550">
        <v>0</v>
      </c>
      <c r="D550" s="953">
        <v>0</v>
      </c>
      <c r="E550" s="953">
        <v>0</v>
      </c>
      <c r="F550" s="953">
        <v>0</v>
      </c>
      <c r="G550" s="953">
        <v>0</v>
      </c>
      <c r="H550" s="953">
        <v>0</v>
      </c>
      <c r="I550" s="1130">
        <v>752.4157132800002</v>
      </c>
      <c r="J550" s="1130">
        <v>752.4157132800002</v>
      </c>
      <c r="K550" s="1130">
        <v>752.4157132800002</v>
      </c>
      <c r="L550" s="1130">
        <v>752.4157132800002</v>
      </c>
      <c r="M550" s="1130">
        <v>752.4157132800002</v>
      </c>
      <c r="N550" s="1130">
        <v>752.4157132800002</v>
      </c>
      <c r="O550" s="1130">
        <v>752.4157132800002</v>
      </c>
    </row>
    <row r="551" spans="1:15">
      <c r="A551" s="119"/>
      <c r="B551" s="331" t="s">
        <v>1109</v>
      </c>
      <c r="C551">
        <v>0</v>
      </c>
      <c r="D551" s="953">
        <v>0</v>
      </c>
      <c r="E551" s="953">
        <v>0</v>
      </c>
      <c r="F551" s="953">
        <v>0</v>
      </c>
      <c r="G551" s="953">
        <v>0</v>
      </c>
      <c r="H551" s="953">
        <v>0</v>
      </c>
      <c r="I551" s="953">
        <v>0</v>
      </c>
      <c r="J551" s="953">
        <v>0</v>
      </c>
      <c r="K551" s="953">
        <v>0</v>
      </c>
      <c r="L551" s="953">
        <v>0</v>
      </c>
      <c r="M551" s="953">
        <v>0</v>
      </c>
      <c r="N551" s="953">
        <v>0</v>
      </c>
      <c r="O551" s="953">
        <v>0</v>
      </c>
    </row>
    <row r="552" spans="1:15">
      <c r="A552" s="119"/>
      <c r="B552" s="331" t="s">
        <v>1110</v>
      </c>
      <c r="C552">
        <v>0</v>
      </c>
      <c r="D552" s="953">
        <v>0</v>
      </c>
      <c r="E552" s="953">
        <v>0</v>
      </c>
      <c r="F552" s="953">
        <v>0</v>
      </c>
      <c r="G552" s="953">
        <v>0</v>
      </c>
      <c r="H552" s="953">
        <v>0</v>
      </c>
      <c r="I552" s="953">
        <v>0</v>
      </c>
      <c r="J552" s="953">
        <v>0</v>
      </c>
      <c r="K552" s="953">
        <v>0</v>
      </c>
      <c r="L552" s="953">
        <v>0</v>
      </c>
      <c r="M552" s="953">
        <v>0</v>
      </c>
      <c r="N552" s="953">
        <v>0</v>
      </c>
      <c r="O552" s="953">
        <v>0</v>
      </c>
    </row>
    <row r="553" spans="1:15">
      <c r="A553" s="119"/>
      <c r="B553" s="331" t="s">
        <v>1111</v>
      </c>
      <c r="C553">
        <v>0</v>
      </c>
      <c r="D553" s="953">
        <v>0</v>
      </c>
      <c r="E553" s="953">
        <v>0</v>
      </c>
      <c r="F553" s="953">
        <v>0</v>
      </c>
      <c r="G553" s="953">
        <v>0</v>
      </c>
      <c r="H553" s="953">
        <v>0</v>
      </c>
      <c r="I553" s="953">
        <v>0</v>
      </c>
      <c r="J553" s="953">
        <v>0</v>
      </c>
      <c r="K553" s="953">
        <v>0</v>
      </c>
      <c r="L553" s="953">
        <v>0</v>
      </c>
      <c r="M553" s="953">
        <v>0</v>
      </c>
      <c r="N553" s="953">
        <v>0</v>
      </c>
      <c r="O553" s="953">
        <v>0</v>
      </c>
    </row>
    <row r="554" spans="1:15">
      <c r="A554" s="119"/>
      <c r="B554" s="331" t="s">
        <v>1112</v>
      </c>
      <c r="C554">
        <v>0</v>
      </c>
      <c r="D554" s="953">
        <v>0</v>
      </c>
      <c r="E554" s="953">
        <v>0</v>
      </c>
      <c r="F554" s="953">
        <v>0</v>
      </c>
      <c r="G554" s="953">
        <v>0</v>
      </c>
      <c r="H554" s="953">
        <v>0</v>
      </c>
      <c r="I554" s="1130">
        <v>701.50931928</v>
      </c>
      <c r="J554" s="1130">
        <v>701.50931928</v>
      </c>
      <c r="K554" s="1130">
        <v>701.50931928</v>
      </c>
      <c r="L554" s="1130">
        <v>701.50931928</v>
      </c>
      <c r="M554" s="1130">
        <v>701.50931928</v>
      </c>
      <c r="N554" s="1130">
        <v>701.50931928</v>
      </c>
      <c r="O554" s="1130">
        <v>701.50931928</v>
      </c>
    </row>
    <row r="555" spans="1:15">
      <c r="A555" s="119"/>
      <c r="B555" s="331" t="s">
        <v>1113</v>
      </c>
      <c r="C555">
        <v>0</v>
      </c>
      <c r="D555" s="953">
        <v>0</v>
      </c>
      <c r="E555" s="953">
        <v>0</v>
      </c>
      <c r="F555" s="953">
        <v>0</v>
      </c>
      <c r="G555" s="953">
        <v>0</v>
      </c>
      <c r="H555" s="953">
        <v>0</v>
      </c>
      <c r="I555" s="1130">
        <v>801.72493631999998</v>
      </c>
      <c r="J555" s="1130">
        <v>801.72493631999998</v>
      </c>
      <c r="K555" s="1130">
        <v>801.72493631999998</v>
      </c>
      <c r="L555" s="1130">
        <v>801.72493631999998</v>
      </c>
      <c r="M555" s="1130">
        <v>801.72493631999998</v>
      </c>
      <c r="N555" s="1130">
        <v>801.72493631999998</v>
      </c>
      <c r="O555" s="1130">
        <v>801.72493631999998</v>
      </c>
    </row>
    <row r="556" spans="1:15">
      <c r="A556" s="119"/>
      <c r="B556" s="331" t="s">
        <v>1114</v>
      </c>
      <c r="C556">
        <v>0</v>
      </c>
      <c r="D556" s="956">
        <v>1002.1561704000001</v>
      </c>
      <c r="E556" s="956">
        <v>1002.1561704000001</v>
      </c>
      <c r="F556" s="956">
        <v>1002.1561704000001</v>
      </c>
      <c r="G556" s="956">
        <v>1002.1561704000001</v>
      </c>
      <c r="H556" s="956">
        <v>1002.1561704000001</v>
      </c>
      <c r="I556" s="1130">
        <v>1240</v>
      </c>
      <c r="J556" s="1130">
        <v>1240</v>
      </c>
      <c r="K556" s="1130">
        <v>1240</v>
      </c>
      <c r="L556" s="1130">
        <v>1240</v>
      </c>
      <c r="M556" s="1130">
        <v>1240</v>
      </c>
      <c r="N556" s="1130">
        <v>1240</v>
      </c>
      <c r="O556" s="1130">
        <v>1240</v>
      </c>
    </row>
    <row r="557" spans="1:15">
      <c r="A557" s="119"/>
      <c r="B557" s="331" t="s">
        <v>1115</v>
      </c>
      <c r="C557">
        <v>0</v>
      </c>
      <c r="D557" s="956">
        <v>1002.1561704000001</v>
      </c>
      <c r="E557" s="956">
        <v>1002.1561704000001</v>
      </c>
      <c r="F557" s="956">
        <v>1002.1561704000001</v>
      </c>
      <c r="G557" s="956">
        <v>1002.1561704000001</v>
      </c>
      <c r="H557" s="956">
        <v>1002.1561704000001</v>
      </c>
      <c r="I557" s="1130">
        <v>2204.7435748799999</v>
      </c>
      <c r="J557" s="1130">
        <v>2204.7435748799999</v>
      </c>
      <c r="K557" s="1130">
        <v>2204.7435748799999</v>
      </c>
      <c r="L557" s="1130">
        <v>2204.7435748799999</v>
      </c>
      <c r="M557" s="1130">
        <v>2204.7435748799999</v>
      </c>
      <c r="N557" s="1130">
        <v>2204.7435748799999</v>
      </c>
      <c r="O557" s="1130">
        <v>2204.7435748799999</v>
      </c>
    </row>
    <row r="558" spans="1:15">
      <c r="A558" s="119"/>
      <c r="B558" s="331" t="s">
        <v>1116</v>
      </c>
      <c r="C558">
        <v>0</v>
      </c>
      <c r="D558" s="956">
        <v>1202.58740448</v>
      </c>
      <c r="E558" s="956">
        <v>1202.58740448</v>
      </c>
      <c r="F558" s="956">
        <v>1202.58740448</v>
      </c>
      <c r="G558" s="956">
        <v>1202.58740448</v>
      </c>
      <c r="H558" s="956">
        <v>1202.58740448</v>
      </c>
      <c r="I558" s="1130">
        <v>2204.7435748799999</v>
      </c>
      <c r="J558" s="1130">
        <v>2204.7435748799999</v>
      </c>
      <c r="K558" s="1130">
        <v>2204.7435748799999</v>
      </c>
      <c r="L558" s="1130">
        <v>2204.7435748799999</v>
      </c>
      <c r="M558" s="1130">
        <v>2204.7435748799999</v>
      </c>
      <c r="N558" s="1130">
        <v>2204.7435748799999</v>
      </c>
      <c r="O558" s="1130">
        <v>2204.7435748799999</v>
      </c>
    </row>
    <row r="559" spans="1:15">
      <c r="A559" s="119"/>
      <c r="B559" s="331" t="s">
        <v>1117</v>
      </c>
      <c r="C559">
        <v>0</v>
      </c>
      <c r="D559" s="956">
        <v>1202.58740448</v>
      </c>
      <c r="E559" s="956">
        <v>1202.58740448</v>
      </c>
      <c r="F559" s="956">
        <v>1202.58740448</v>
      </c>
      <c r="G559" s="956">
        <v>1202.58740448</v>
      </c>
      <c r="H559" s="956">
        <v>1202.58740448</v>
      </c>
      <c r="I559" s="1130">
        <v>1240</v>
      </c>
      <c r="J559" s="1130">
        <v>1240</v>
      </c>
      <c r="K559" s="1130">
        <v>1240</v>
      </c>
      <c r="L559" s="1130">
        <v>1240</v>
      </c>
      <c r="M559" s="1130">
        <v>1240</v>
      </c>
      <c r="N559" s="1130">
        <v>1240</v>
      </c>
      <c r="O559" s="1130">
        <v>1240</v>
      </c>
    </row>
    <row r="560" spans="1:15">
      <c r="A560" s="119"/>
      <c r="B560" s="331" t="s">
        <v>1118</v>
      </c>
      <c r="C560">
        <v>0</v>
      </c>
      <c r="D560" s="956">
        <v>1102.3717874399999</v>
      </c>
      <c r="E560" s="956">
        <v>1102.3717874399999</v>
      </c>
      <c r="F560" s="956">
        <v>1102.3717874399999</v>
      </c>
      <c r="G560" s="956">
        <v>1102.3717874399999</v>
      </c>
      <c r="H560" s="956">
        <v>1102.3717874399999</v>
      </c>
      <c r="I560" s="1130">
        <v>0</v>
      </c>
      <c r="J560" s="1130">
        <v>0</v>
      </c>
      <c r="K560" s="1130">
        <v>0</v>
      </c>
      <c r="L560" s="1130">
        <v>0</v>
      </c>
      <c r="M560" s="1130">
        <v>0</v>
      </c>
      <c r="N560" s="1130">
        <v>0</v>
      </c>
      <c r="O560" s="1130">
        <v>0</v>
      </c>
    </row>
    <row r="561" spans="1:15">
      <c r="A561" s="119"/>
      <c r="B561" s="331" t="s">
        <v>1119</v>
      </c>
      <c r="C561">
        <v>0</v>
      </c>
      <c r="D561" s="953">
        <v>0</v>
      </c>
      <c r="E561" s="953">
        <v>0</v>
      </c>
      <c r="F561" s="953">
        <v>0</v>
      </c>
      <c r="G561" s="953">
        <v>0</v>
      </c>
      <c r="H561" s="953">
        <v>0</v>
      </c>
      <c r="I561" s="953">
        <v>0</v>
      </c>
      <c r="J561" s="953">
        <v>0</v>
      </c>
      <c r="K561" s="953">
        <v>0</v>
      </c>
      <c r="L561" s="953">
        <v>0</v>
      </c>
      <c r="M561" s="953">
        <v>0</v>
      </c>
      <c r="N561" s="953">
        <v>0</v>
      </c>
      <c r="O561" s="953">
        <v>0</v>
      </c>
    </row>
    <row r="562" spans="1:15">
      <c r="A562" s="119"/>
      <c r="B562" s="331" t="s">
        <v>1120</v>
      </c>
      <c r="C562">
        <v>0</v>
      </c>
      <c r="D562" s="953">
        <v>0</v>
      </c>
      <c r="E562" s="953">
        <v>0</v>
      </c>
      <c r="F562" s="953">
        <v>0</v>
      </c>
      <c r="G562" s="953">
        <v>0</v>
      </c>
      <c r="H562" s="953">
        <v>0</v>
      </c>
      <c r="I562" s="953">
        <v>0</v>
      </c>
      <c r="J562" s="953">
        <v>0</v>
      </c>
      <c r="K562" s="953">
        <v>0</v>
      </c>
      <c r="L562" s="953">
        <v>0</v>
      </c>
      <c r="M562" s="953">
        <v>0</v>
      </c>
      <c r="N562" s="953">
        <v>0</v>
      </c>
      <c r="O562" s="953">
        <v>0</v>
      </c>
    </row>
    <row r="563" spans="1:15">
      <c r="A563" s="119"/>
      <c r="B563" s="331" t="s">
        <v>1121</v>
      </c>
      <c r="C563">
        <v>0</v>
      </c>
      <c r="D563" s="953">
        <v>0</v>
      </c>
      <c r="E563" s="953">
        <v>0</v>
      </c>
      <c r="F563" s="953">
        <v>0</v>
      </c>
      <c r="G563" s="953">
        <v>0</v>
      </c>
      <c r="H563" s="953">
        <v>0</v>
      </c>
      <c r="I563" s="953">
        <v>0</v>
      </c>
      <c r="J563" s="953">
        <v>0</v>
      </c>
      <c r="K563" s="953">
        <v>0</v>
      </c>
      <c r="L563" s="953">
        <v>0</v>
      </c>
      <c r="M563" s="953">
        <v>0</v>
      </c>
      <c r="N563" s="953">
        <v>0</v>
      </c>
      <c r="O563" s="953">
        <v>0</v>
      </c>
    </row>
    <row r="564" spans="1:15">
      <c r="A564" s="119"/>
      <c r="B564" s="331" t="s">
        <v>1122</v>
      </c>
      <c r="C564">
        <v>0</v>
      </c>
      <c r="D564" s="953">
        <v>0</v>
      </c>
      <c r="E564" s="953">
        <v>0</v>
      </c>
      <c r="F564" s="953">
        <v>0</v>
      </c>
      <c r="G564" s="953">
        <v>0</v>
      </c>
      <c r="H564" s="953">
        <v>0</v>
      </c>
      <c r="I564" s="953">
        <v>0</v>
      </c>
      <c r="J564" s="953">
        <v>0</v>
      </c>
      <c r="K564" s="953">
        <v>0</v>
      </c>
      <c r="L564" s="953">
        <v>0</v>
      </c>
      <c r="M564" s="953">
        <v>0</v>
      </c>
      <c r="N564" s="953">
        <v>0</v>
      </c>
      <c r="O564" s="953">
        <v>0</v>
      </c>
    </row>
    <row r="565" spans="1:15">
      <c r="A565" s="119"/>
      <c r="B565" s="331" t="s">
        <v>1123</v>
      </c>
      <c r="C565">
        <v>0</v>
      </c>
      <c r="D565" s="953">
        <v>0</v>
      </c>
      <c r="E565" s="953">
        <v>0</v>
      </c>
      <c r="F565" s="953">
        <v>0</v>
      </c>
      <c r="G565" s="953">
        <v>0</v>
      </c>
      <c r="H565" s="953">
        <v>0</v>
      </c>
      <c r="I565" s="1130">
        <v>650.4108256799999</v>
      </c>
      <c r="J565" s="1130">
        <v>650.4108256799999</v>
      </c>
      <c r="K565" s="1130">
        <v>650.4108256799999</v>
      </c>
      <c r="L565" s="1130">
        <v>650.4108256799999</v>
      </c>
      <c r="M565" s="1130">
        <v>650.4108256799999</v>
      </c>
      <c r="N565" s="1130">
        <v>650.4108256799999</v>
      </c>
      <c r="O565" s="1130">
        <v>650.4108256799999</v>
      </c>
    </row>
    <row r="566" spans="1:15">
      <c r="A566" s="119"/>
      <c r="B566" s="331" t="s">
        <v>1124</v>
      </c>
      <c r="C566">
        <v>0</v>
      </c>
      <c r="D566" s="953">
        <v>0</v>
      </c>
      <c r="E566" s="953">
        <v>0</v>
      </c>
      <c r="F566" s="953">
        <v>0</v>
      </c>
      <c r="G566" s="953">
        <v>0</v>
      </c>
      <c r="H566" s="953">
        <v>0</v>
      </c>
      <c r="I566" s="1130">
        <v>758.81262996000009</v>
      </c>
      <c r="J566" s="1130">
        <v>758.81262996000009</v>
      </c>
      <c r="K566" s="1130">
        <v>758.81262996000009</v>
      </c>
      <c r="L566" s="1130">
        <v>758.81262996000009</v>
      </c>
      <c r="M566" s="1130">
        <v>758.81262996000009</v>
      </c>
      <c r="N566" s="1130">
        <v>758.81262996000009</v>
      </c>
      <c r="O566" s="1130">
        <v>758.81262996000009</v>
      </c>
    </row>
    <row r="567" spans="1:15">
      <c r="A567" s="119"/>
      <c r="B567" s="331" t="s">
        <v>1125</v>
      </c>
      <c r="C567">
        <v>0</v>
      </c>
      <c r="D567" s="953">
        <v>0</v>
      </c>
      <c r="E567" s="953">
        <v>0</v>
      </c>
      <c r="F567" s="953">
        <v>0</v>
      </c>
      <c r="G567" s="953">
        <v>0</v>
      </c>
      <c r="H567" s="953">
        <v>0</v>
      </c>
      <c r="I567" s="1130">
        <v>867.21443423999995</v>
      </c>
      <c r="J567" s="1130">
        <v>867.21443423999995</v>
      </c>
      <c r="K567" s="1130">
        <v>867.21443423999995</v>
      </c>
      <c r="L567" s="1130">
        <v>867.21443423999995</v>
      </c>
      <c r="M567" s="1130">
        <v>867.21443423999995</v>
      </c>
      <c r="N567" s="1130">
        <v>867.21443423999995</v>
      </c>
      <c r="O567" s="1130">
        <v>867.21443423999995</v>
      </c>
    </row>
    <row r="568" spans="1:15">
      <c r="A568" s="119"/>
      <c r="B568" s="331" t="s">
        <v>1126</v>
      </c>
      <c r="C568">
        <v>0</v>
      </c>
      <c r="D568" s="953">
        <v>0</v>
      </c>
      <c r="E568" s="953">
        <v>0</v>
      </c>
      <c r="F568" s="953">
        <v>0</v>
      </c>
      <c r="G568" s="953">
        <v>0</v>
      </c>
      <c r="H568" s="953">
        <v>0</v>
      </c>
      <c r="I568" s="1130">
        <v>975.61623851999991</v>
      </c>
      <c r="J568" s="1130">
        <v>975.61623851999991</v>
      </c>
      <c r="K568" s="1130">
        <v>975.61623851999991</v>
      </c>
      <c r="L568" s="1130">
        <v>975.61623851999991</v>
      </c>
      <c r="M568" s="1130">
        <v>975.61623851999991</v>
      </c>
      <c r="N568" s="1130">
        <v>975.61623851999991</v>
      </c>
      <c r="O568" s="1130">
        <v>975.61623851999991</v>
      </c>
    </row>
    <row r="569" spans="1:15">
      <c r="A569" s="119"/>
      <c r="B569" s="331" t="s">
        <v>1127</v>
      </c>
      <c r="C569">
        <v>0</v>
      </c>
      <c r="D569" s="956">
        <v>1084.0180428000001</v>
      </c>
      <c r="E569" s="956">
        <v>1084.0180428000001</v>
      </c>
      <c r="F569" s="956">
        <v>1084.0180428000001</v>
      </c>
      <c r="G569" s="956">
        <v>1084.0180428000001</v>
      </c>
      <c r="H569" s="956">
        <v>1084.0180428000001</v>
      </c>
      <c r="I569" s="1130">
        <v>1240</v>
      </c>
      <c r="J569" s="1130">
        <v>1240</v>
      </c>
      <c r="K569" s="1130">
        <v>1240</v>
      </c>
      <c r="L569" s="1130">
        <v>1240</v>
      </c>
      <c r="M569" s="1130">
        <v>1240</v>
      </c>
      <c r="N569" s="1130">
        <v>1240</v>
      </c>
      <c r="O569" s="1130">
        <v>1240</v>
      </c>
    </row>
    <row r="570" spans="1:15">
      <c r="A570" s="119"/>
      <c r="B570" s="331" t="s">
        <v>1128</v>
      </c>
      <c r="C570">
        <v>0</v>
      </c>
      <c r="D570" s="956">
        <v>1240</v>
      </c>
      <c r="E570" s="956">
        <v>1240</v>
      </c>
      <c r="F570" s="956">
        <v>1240</v>
      </c>
      <c r="G570" s="956">
        <v>1240</v>
      </c>
      <c r="H570" s="956">
        <v>1240</v>
      </c>
      <c r="I570" s="956">
        <v>1240</v>
      </c>
      <c r="J570" s="956">
        <v>1240</v>
      </c>
      <c r="K570" s="956">
        <v>1240</v>
      </c>
      <c r="L570" s="956">
        <v>1240</v>
      </c>
      <c r="M570" s="956">
        <v>1240</v>
      </c>
      <c r="N570" s="956">
        <v>1240</v>
      </c>
      <c r="O570" s="956">
        <v>1240</v>
      </c>
    </row>
    <row r="571" spans="1:15">
      <c r="A571" s="119"/>
      <c r="B571" s="331" t="s">
        <v>1129</v>
      </c>
      <c r="C571">
        <v>0</v>
      </c>
      <c r="D571" s="956">
        <v>1240</v>
      </c>
      <c r="E571" s="956">
        <v>1240</v>
      </c>
      <c r="F571" s="956">
        <v>1240</v>
      </c>
      <c r="G571" s="956">
        <v>1240</v>
      </c>
      <c r="H571" s="956">
        <v>1240</v>
      </c>
      <c r="I571" s="956">
        <v>1240</v>
      </c>
      <c r="J571" s="956">
        <v>1240</v>
      </c>
      <c r="K571" s="956">
        <v>1240</v>
      </c>
      <c r="L571" s="956">
        <v>1240</v>
      </c>
      <c r="M571" s="956">
        <v>1240</v>
      </c>
      <c r="N571" s="956">
        <v>1240</v>
      </c>
      <c r="O571" s="956">
        <v>1240</v>
      </c>
    </row>
    <row r="572" spans="1:15">
      <c r="A572" s="119"/>
      <c r="B572" s="331" t="s">
        <v>1130</v>
      </c>
      <c r="C572">
        <v>0</v>
      </c>
      <c r="D572" s="956">
        <v>1240</v>
      </c>
      <c r="E572" s="956">
        <v>1240</v>
      </c>
      <c r="F572" s="956">
        <v>1240</v>
      </c>
      <c r="G572" s="956">
        <v>1240</v>
      </c>
      <c r="H572" s="956">
        <v>1240</v>
      </c>
      <c r="I572" s="956">
        <v>1240</v>
      </c>
      <c r="J572" s="956">
        <v>1240</v>
      </c>
      <c r="K572" s="956">
        <v>1240</v>
      </c>
      <c r="L572" s="956">
        <v>1240</v>
      </c>
      <c r="M572" s="956">
        <v>1240</v>
      </c>
      <c r="N572" s="956">
        <v>1240</v>
      </c>
      <c r="O572" s="956">
        <v>1240</v>
      </c>
    </row>
    <row r="573" spans="1:15">
      <c r="A573" s="119"/>
      <c r="B573" s="331" t="s">
        <v>1131</v>
      </c>
      <c r="C573">
        <v>0</v>
      </c>
      <c r="D573" s="953">
        <v>0</v>
      </c>
      <c r="E573" s="953">
        <v>0</v>
      </c>
      <c r="F573" s="953">
        <v>0</v>
      </c>
      <c r="G573" s="953">
        <v>0</v>
      </c>
      <c r="H573" s="953">
        <v>0</v>
      </c>
      <c r="I573" s="1130">
        <v>758.81262996000009</v>
      </c>
      <c r="J573" s="1130">
        <v>758.81262996000009</v>
      </c>
      <c r="K573" s="1130">
        <v>758.81262996000009</v>
      </c>
      <c r="L573" s="1130">
        <v>758.81262996000009</v>
      </c>
      <c r="M573" s="1130">
        <v>758.81262996000009</v>
      </c>
      <c r="N573" s="1130">
        <v>758.81262996000009</v>
      </c>
      <c r="O573" s="1130">
        <v>758.81262996000009</v>
      </c>
    </row>
    <row r="574" spans="1:15">
      <c r="A574" s="119"/>
      <c r="B574" s="331" t="s">
        <v>1132</v>
      </c>
      <c r="C574">
        <v>0</v>
      </c>
      <c r="D574" s="953">
        <v>0</v>
      </c>
      <c r="E574" s="953">
        <v>0</v>
      </c>
      <c r="F574" s="953">
        <v>0</v>
      </c>
      <c r="G574" s="953">
        <v>0</v>
      </c>
      <c r="H574" s="953">
        <v>0</v>
      </c>
      <c r="I574" s="953">
        <v>0</v>
      </c>
      <c r="J574" s="953">
        <v>0</v>
      </c>
      <c r="K574" s="953">
        <v>0</v>
      </c>
      <c r="L574" s="953">
        <v>0</v>
      </c>
      <c r="M574" s="953">
        <v>0</v>
      </c>
      <c r="N574" s="953">
        <v>0</v>
      </c>
      <c r="O574" s="953">
        <v>0</v>
      </c>
    </row>
    <row r="575" spans="1:15">
      <c r="A575" s="119"/>
      <c r="B575" s="331" t="s">
        <v>1133</v>
      </c>
      <c r="C575">
        <v>0</v>
      </c>
      <c r="D575" s="953">
        <v>0</v>
      </c>
      <c r="E575" s="953">
        <v>0</v>
      </c>
      <c r="F575" s="953">
        <v>0</v>
      </c>
      <c r="G575" s="953">
        <v>0</v>
      </c>
      <c r="H575" s="953">
        <v>0</v>
      </c>
      <c r="I575" s="953">
        <v>0</v>
      </c>
      <c r="J575" s="953">
        <v>0</v>
      </c>
      <c r="K575" s="953">
        <v>0</v>
      </c>
      <c r="L575" s="953">
        <v>0</v>
      </c>
      <c r="M575" s="953">
        <v>0</v>
      </c>
      <c r="N575" s="953">
        <v>0</v>
      </c>
      <c r="O575" s="953">
        <v>0</v>
      </c>
    </row>
    <row r="576" spans="1:15">
      <c r="A576" s="119"/>
      <c r="B576" s="331" t="s">
        <v>1134</v>
      </c>
      <c r="C576">
        <v>0</v>
      </c>
      <c r="D576" s="953">
        <v>0</v>
      </c>
      <c r="E576" s="953">
        <v>0</v>
      </c>
      <c r="F576" s="953">
        <v>0</v>
      </c>
      <c r="G576" s="953">
        <v>0</v>
      </c>
      <c r="H576" s="953">
        <v>0</v>
      </c>
      <c r="I576" s="953">
        <v>0</v>
      </c>
      <c r="J576" s="953">
        <v>0</v>
      </c>
      <c r="K576" s="953">
        <v>0</v>
      </c>
      <c r="L576" s="953">
        <v>0</v>
      </c>
      <c r="M576" s="953">
        <v>0</v>
      </c>
      <c r="N576" s="953">
        <v>0</v>
      </c>
      <c r="O576" s="953">
        <v>0</v>
      </c>
    </row>
    <row r="577" spans="1:15">
      <c r="A577" s="119"/>
      <c r="B577" s="331" t="s">
        <v>1135</v>
      </c>
      <c r="C577">
        <v>0</v>
      </c>
      <c r="D577" s="953">
        <v>0</v>
      </c>
      <c r="E577" s="953">
        <v>0</v>
      </c>
      <c r="F577" s="953">
        <v>0</v>
      </c>
      <c r="G577" s="953">
        <v>0</v>
      </c>
      <c r="H577" s="953">
        <v>0</v>
      </c>
      <c r="I577" s="1130">
        <v>720.80160767999996</v>
      </c>
      <c r="J577" s="1130">
        <v>720.80160767999996</v>
      </c>
      <c r="K577" s="1130">
        <v>720.80160767999996</v>
      </c>
      <c r="L577" s="1130">
        <v>720.80160767999996</v>
      </c>
      <c r="M577" s="1130">
        <v>720.80160767999996</v>
      </c>
      <c r="N577" s="1130">
        <v>720.80160767999996</v>
      </c>
      <c r="O577" s="1130">
        <v>720.80160767999996</v>
      </c>
    </row>
    <row r="578" spans="1:15">
      <c r="A578" s="119"/>
      <c r="B578" s="331" t="s">
        <v>1136</v>
      </c>
      <c r="C578">
        <v>0</v>
      </c>
      <c r="D578" s="953">
        <v>0</v>
      </c>
      <c r="E578" s="953">
        <v>0</v>
      </c>
      <c r="F578" s="953">
        <v>0</v>
      </c>
      <c r="G578" s="953">
        <v>0</v>
      </c>
      <c r="H578" s="953">
        <v>0</v>
      </c>
      <c r="I578" s="1130">
        <v>840.93520896000007</v>
      </c>
      <c r="J578" s="1130">
        <v>840.93520896000007</v>
      </c>
      <c r="K578" s="1130">
        <v>840.93520896000007</v>
      </c>
      <c r="L578" s="1130">
        <v>840.93520896000007</v>
      </c>
      <c r="M578" s="1130">
        <v>840.93520896000007</v>
      </c>
      <c r="N578" s="1130">
        <v>840.93520896000007</v>
      </c>
      <c r="O578" s="1130">
        <v>840.93520896000007</v>
      </c>
    </row>
    <row r="579" spans="1:15">
      <c r="A579" s="119"/>
      <c r="B579" s="331" t="s">
        <v>1137</v>
      </c>
      <c r="C579">
        <v>0</v>
      </c>
      <c r="D579" s="953">
        <v>0</v>
      </c>
      <c r="E579" s="953">
        <v>0</v>
      </c>
      <c r="F579" s="953">
        <v>0</v>
      </c>
      <c r="G579" s="953">
        <v>0</v>
      </c>
      <c r="H579" s="953">
        <v>0</v>
      </c>
      <c r="I579" s="1130">
        <v>961.06881024000006</v>
      </c>
      <c r="J579" s="1130">
        <v>961.06881024000006</v>
      </c>
      <c r="K579" s="1130">
        <v>961.06881024000006</v>
      </c>
      <c r="L579" s="1130">
        <v>961.06881024000006</v>
      </c>
      <c r="M579" s="1130">
        <v>961.06881024000006</v>
      </c>
      <c r="N579" s="1130">
        <v>961.06881024000006</v>
      </c>
      <c r="O579" s="1130">
        <v>961.06881024000006</v>
      </c>
    </row>
    <row r="580" spans="1:15">
      <c r="A580" s="119"/>
      <c r="B580" s="331" t="s">
        <v>1138</v>
      </c>
      <c r="C580">
        <v>0</v>
      </c>
      <c r="D580" s="956">
        <v>1201.3360128000002</v>
      </c>
      <c r="E580" s="956">
        <v>1201.3360128000002</v>
      </c>
      <c r="F580" s="956">
        <v>1201.3360128000002</v>
      </c>
      <c r="G580" s="956">
        <v>1201.3360128000002</v>
      </c>
      <c r="H580" s="956">
        <v>1201.3360128000002</v>
      </c>
      <c r="I580" s="956">
        <v>1201.3360128000002</v>
      </c>
      <c r="J580" s="956">
        <v>1201.3360128000002</v>
      </c>
      <c r="K580" s="956">
        <v>1201.3360128000002</v>
      </c>
      <c r="L580" s="956">
        <v>1201.3360128000002</v>
      </c>
      <c r="M580" s="956">
        <v>1201.3360128000002</v>
      </c>
      <c r="N580" s="956">
        <v>1201.3360128000002</v>
      </c>
      <c r="O580" s="956">
        <v>1201.3360128000002</v>
      </c>
    </row>
    <row r="581" spans="1:15">
      <c r="A581" s="119"/>
      <c r="B581" s="331" t="s">
        <v>1139</v>
      </c>
      <c r="C581">
        <v>0</v>
      </c>
      <c r="D581" s="956">
        <v>1201.3360128000002</v>
      </c>
      <c r="E581" s="956">
        <v>1201.3360128000002</v>
      </c>
      <c r="F581" s="956">
        <v>1201.3360128000002</v>
      </c>
      <c r="G581" s="956">
        <v>1201.3360128000002</v>
      </c>
      <c r="H581" s="956">
        <v>1201.3360128000002</v>
      </c>
      <c r="I581" s="956">
        <v>1201.3360128000002</v>
      </c>
      <c r="J581" s="956">
        <v>1201.3360128000002</v>
      </c>
      <c r="K581" s="956">
        <v>1201.3360128000002</v>
      </c>
      <c r="L581" s="956">
        <v>1201.3360128000002</v>
      </c>
      <c r="M581" s="956">
        <v>1201.3360128000002</v>
      </c>
      <c r="N581" s="956">
        <v>1201.3360128000002</v>
      </c>
      <c r="O581" s="956">
        <v>1201.3360128000002</v>
      </c>
    </row>
    <row r="582" spans="1:15">
      <c r="A582" s="119"/>
      <c r="B582" s="331" t="s">
        <v>1140</v>
      </c>
      <c r="C582">
        <v>0</v>
      </c>
      <c r="D582" s="956">
        <v>1240</v>
      </c>
      <c r="E582" s="956">
        <v>1240</v>
      </c>
      <c r="F582" s="956">
        <v>1240</v>
      </c>
      <c r="G582" s="956">
        <v>1240</v>
      </c>
      <c r="H582" s="956">
        <v>1240</v>
      </c>
      <c r="I582" s="956">
        <v>1240</v>
      </c>
      <c r="J582" s="956">
        <v>1240</v>
      </c>
      <c r="K582" s="956">
        <v>1240</v>
      </c>
      <c r="L582" s="956">
        <v>1240</v>
      </c>
      <c r="M582" s="956">
        <v>1240</v>
      </c>
      <c r="N582" s="956">
        <v>1240</v>
      </c>
      <c r="O582" s="956">
        <v>1240</v>
      </c>
    </row>
    <row r="583" spans="1:15">
      <c r="A583" s="119"/>
      <c r="B583" s="331" t="s">
        <v>1141</v>
      </c>
      <c r="C583">
        <v>0</v>
      </c>
      <c r="D583" s="956">
        <v>1240</v>
      </c>
      <c r="E583" s="956">
        <v>1240</v>
      </c>
      <c r="F583" s="956">
        <v>1240</v>
      </c>
      <c r="G583" s="956">
        <v>1240</v>
      </c>
      <c r="H583" s="956">
        <v>1240</v>
      </c>
      <c r="I583" s="956">
        <v>1240</v>
      </c>
      <c r="J583" s="956">
        <v>1240</v>
      </c>
      <c r="K583" s="956">
        <v>1240</v>
      </c>
      <c r="L583" s="956">
        <v>1240</v>
      </c>
      <c r="M583" s="956">
        <v>1240</v>
      </c>
      <c r="N583" s="956">
        <v>1240</v>
      </c>
      <c r="O583" s="956">
        <v>1240</v>
      </c>
    </row>
    <row r="584" spans="1:15">
      <c r="A584" s="119"/>
      <c r="B584" s="331" t="s">
        <v>1142</v>
      </c>
      <c r="C584">
        <v>0</v>
      </c>
      <c r="D584" s="956">
        <v>1240</v>
      </c>
      <c r="E584" s="956">
        <v>1240</v>
      </c>
      <c r="F584" s="956">
        <v>1240</v>
      </c>
      <c r="G584" s="956">
        <v>1240</v>
      </c>
      <c r="H584" s="956">
        <v>1240</v>
      </c>
      <c r="I584" s="956">
        <v>1240</v>
      </c>
      <c r="J584" s="956">
        <v>1240</v>
      </c>
      <c r="K584" s="956">
        <v>1240</v>
      </c>
      <c r="L584" s="956">
        <v>1240</v>
      </c>
      <c r="M584" s="956">
        <v>1240</v>
      </c>
      <c r="N584" s="956">
        <v>1240</v>
      </c>
      <c r="O584" s="956">
        <v>1240</v>
      </c>
    </row>
    <row r="585" spans="1:15">
      <c r="A585" s="119"/>
      <c r="B585" s="331" t="s">
        <v>1143</v>
      </c>
      <c r="C585">
        <v>0</v>
      </c>
      <c r="D585" s="953">
        <v>0</v>
      </c>
      <c r="E585" s="953">
        <v>0</v>
      </c>
      <c r="F585" s="953">
        <v>0</v>
      </c>
      <c r="G585" s="953">
        <v>0</v>
      </c>
      <c r="H585" s="953">
        <v>0</v>
      </c>
      <c r="I585" s="1130">
        <v>840.93520896000007</v>
      </c>
      <c r="J585" s="1130">
        <v>840.93520896000007</v>
      </c>
      <c r="K585" s="1130">
        <v>840.93520896000007</v>
      </c>
      <c r="L585" s="1130">
        <v>840.93520896000007</v>
      </c>
      <c r="M585" s="1130">
        <v>840.93520896000007</v>
      </c>
      <c r="N585" s="1130">
        <v>840.93520896000007</v>
      </c>
      <c r="O585" s="1130">
        <v>840.93520896000007</v>
      </c>
    </row>
    <row r="586" spans="1:15">
      <c r="A586" s="119"/>
      <c r="B586" s="331" t="s">
        <v>1144</v>
      </c>
      <c r="C586">
        <v>0</v>
      </c>
      <c r="D586" s="953">
        <v>0</v>
      </c>
      <c r="E586" s="953">
        <v>0</v>
      </c>
      <c r="F586" s="953">
        <v>0</v>
      </c>
      <c r="G586" s="953">
        <v>0</v>
      </c>
      <c r="H586" s="953">
        <v>0</v>
      </c>
      <c r="I586" s="1130">
        <v>840.93520896000007</v>
      </c>
      <c r="J586" s="1130">
        <v>840.93520896000007</v>
      </c>
      <c r="K586" s="1130">
        <v>840.93520896000007</v>
      </c>
      <c r="L586" s="1130">
        <v>840.93520896000007</v>
      </c>
      <c r="M586" s="1130">
        <v>840.93520896000007</v>
      </c>
      <c r="N586" s="1130">
        <v>840.93520896000007</v>
      </c>
      <c r="O586" s="1130">
        <v>840.93520896000007</v>
      </c>
    </row>
    <row r="587" spans="1:15">
      <c r="A587" s="119"/>
      <c r="B587" s="331" t="s">
        <v>1145</v>
      </c>
      <c r="C587">
        <v>0</v>
      </c>
      <c r="D587" s="956">
        <v>1240</v>
      </c>
      <c r="E587" s="956">
        <v>1240</v>
      </c>
      <c r="F587" s="956">
        <v>1240</v>
      </c>
      <c r="G587" s="956">
        <v>1240</v>
      </c>
      <c r="H587" s="956">
        <v>1240</v>
      </c>
      <c r="I587" s="956">
        <v>1240</v>
      </c>
      <c r="J587" s="956">
        <v>1240</v>
      </c>
      <c r="K587" s="956">
        <v>1240</v>
      </c>
      <c r="L587" s="956">
        <v>1240</v>
      </c>
      <c r="M587" s="956">
        <v>1240</v>
      </c>
      <c r="N587" s="956">
        <v>1240</v>
      </c>
      <c r="O587" s="956">
        <v>1240</v>
      </c>
    </row>
    <row r="588" spans="1:15">
      <c r="A588" s="119"/>
      <c r="B588" s="331" t="s">
        <v>1146</v>
      </c>
      <c r="C588">
        <v>0</v>
      </c>
      <c r="D588" s="953">
        <v>0</v>
      </c>
      <c r="E588" s="953">
        <v>0</v>
      </c>
      <c r="F588" s="953">
        <v>0</v>
      </c>
      <c r="G588" s="953">
        <v>0</v>
      </c>
      <c r="H588" s="953">
        <v>0</v>
      </c>
      <c r="I588" s="1130">
        <v>812.27394863999996</v>
      </c>
      <c r="J588" s="1130">
        <v>812.27394863999996</v>
      </c>
      <c r="K588" s="1130">
        <v>812.27394863999996</v>
      </c>
      <c r="L588" s="1130">
        <v>812.27394863999996</v>
      </c>
      <c r="M588" s="1130">
        <v>812.27394863999996</v>
      </c>
      <c r="N588" s="1130">
        <v>812.27394863999996</v>
      </c>
      <c r="O588" s="1130">
        <v>812.27394863999996</v>
      </c>
    </row>
    <row r="589" spans="1:15">
      <c r="A589" s="119"/>
      <c r="B589" s="331" t="s">
        <v>1147</v>
      </c>
      <c r="C589">
        <v>0</v>
      </c>
      <c r="D589" s="953">
        <v>0</v>
      </c>
      <c r="E589" s="953">
        <v>0</v>
      </c>
      <c r="F589" s="953">
        <v>0</v>
      </c>
      <c r="G589" s="953">
        <v>0</v>
      </c>
      <c r="H589" s="953">
        <v>0</v>
      </c>
      <c r="I589" s="1130">
        <v>812.27394863999996</v>
      </c>
      <c r="J589" s="1130">
        <v>812.27394863999996</v>
      </c>
      <c r="K589" s="1130">
        <v>812.27394863999996</v>
      </c>
      <c r="L589" s="1130">
        <v>812.27394863999996</v>
      </c>
      <c r="M589" s="1130">
        <v>812.27394863999996</v>
      </c>
      <c r="N589" s="1130">
        <v>812.27394863999996</v>
      </c>
      <c r="O589" s="1130">
        <v>812.27394863999996</v>
      </c>
    </row>
    <row r="590" spans="1:15">
      <c r="A590" s="119"/>
      <c r="B590" s="331" t="s">
        <v>1148</v>
      </c>
      <c r="C590">
        <v>0</v>
      </c>
      <c r="D590" s="953">
        <v>0</v>
      </c>
      <c r="E590" s="953">
        <v>0</v>
      </c>
      <c r="F590" s="953">
        <v>0</v>
      </c>
      <c r="G590" s="953">
        <v>0</v>
      </c>
      <c r="H590" s="953">
        <v>0</v>
      </c>
      <c r="I590" s="1130">
        <v>812.27394863999996</v>
      </c>
      <c r="J590" s="1130">
        <v>812.27394863999996</v>
      </c>
      <c r="K590" s="1130">
        <v>812.27394863999996</v>
      </c>
      <c r="L590" s="1130">
        <v>812.27394863999996</v>
      </c>
      <c r="M590" s="1130">
        <v>812.27394863999996</v>
      </c>
      <c r="N590" s="1130">
        <v>812.27394863999996</v>
      </c>
      <c r="O590" s="1130">
        <v>812.27394863999996</v>
      </c>
    </row>
    <row r="591" spans="1:15">
      <c r="A591" s="119"/>
      <c r="B591" s="331" t="s">
        <v>1149</v>
      </c>
      <c r="C591">
        <v>0</v>
      </c>
      <c r="D591" s="953">
        <v>0</v>
      </c>
      <c r="E591" s="953">
        <v>0</v>
      </c>
      <c r="F591" s="953">
        <v>0</v>
      </c>
      <c r="G591" s="953">
        <v>0</v>
      </c>
      <c r="H591" s="953">
        <v>0</v>
      </c>
      <c r="I591" s="953">
        <v>0</v>
      </c>
      <c r="J591" s="953">
        <v>0</v>
      </c>
      <c r="K591" s="953">
        <v>0</v>
      </c>
      <c r="L591" s="953">
        <v>0</v>
      </c>
      <c r="M591" s="953">
        <v>0</v>
      </c>
      <c r="N591" s="953">
        <v>0</v>
      </c>
      <c r="O591" s="953">
        <v>0</v>
      </c>
    </row>
    <row r="592" spans="1:15">
      <c r="A592" s="119"/>
      <c r="B592" s="331" t="s">
        <v>1150</v>
      </c>
      <c r="C592">
        <v>0</v>
      </c>
      <c r="D592" s="953">
        <v>0</v>
      </c>
      <c r="E592" s="953">
        <v>0</v>
      </c>
      <c r="F592" s="953">
        <v>0</v>
      </c>
      <c r="G592" s="953">
        <v>0</v>
      </c>
      <c r="H592" s="953">
        <v>0</v>
      </c>
      <c r="I592" s="953">
        <v>0</v>
      </c>
      <c r="J592" s="953">
        <v>0</v>
      </c>
      <c r="K592" s="953">
        <v>0</v>
      </c>
      <c r="L592" s="953">
        <v>0</v>
      </c>
      <c r="M592" s="953">
        <v>0</v>
      </c>
      <c r="N592" s="953">
        <v>0</v>
      </c>
      <c r="O592" s="953">
        <v>0</v>
      </c>
    </row>
    <row r="593" spans="1:15">
      <c r="A593" s="119"/>
      <c r="B593" s="331" t="s">
        <v>1151</v>
      </c>
      <c r="C593">
        <v>0</v>
      </c>
      <c r="D593" s="953">
        <v>0</v>
      </c>
      <c r="E593" s="953">
        <v>0</v>
      </c>
      <c r="F593" s="953">
        <v>0</v>
      </c>
      <c r="G593" s="953">
        <v>0</v>
      </c>
      <c r="H593" s="953">
        <v>0</v>
      </c>
      <c r="I593" s="953">
        <v>0</v>
      </c>
      <c r="J593" s="953">
        <v>0</v>
      </c>
      <c r="K593" s="953">
        <v>0</v>
      </c>
      <c r="L593" s="953">
        <v>0</v>
      </c>
      <c r="M593" s="953">
        <v>0</v>
      </c>
      <c r="N593" s="953">
        <v>0</v>
      </c>
      <c r="O593" s="953">
        <v>0</v>
      </c>
    </row>
    <row r="594" spans="1:15">
      <c r="A594" s="119"/>
      <c r="B594" s="331" t="s">
        <v>1152</v>
      </c>
      <c r="C594">
        <v>0</v>
      </c>
      <c r="D594" s="953">
        <v>0</v>
      </c>
      <c r="E594" s="953">
        <v>0</v>
      </c>
      <c r="F594" s="953">
        <v>0</v>
      </c>
      <c r="G594" s="953">
        <v>0</v>
      </c>
      <c r="H594" s="953">
        <v>0</v>
      </c>
      <c r="I594" s="1130">
        <v>812.27394863999996</v>
      </c>
      <c r="J594" s="1130">
        <v>812.27394863999996</v>
      </c>
      <c r="K594" s="1130">
        <v>812.27394863999996</v>
      </c>
      <c r="L594" s="1130">
        <v>812.27394863999996</v>
      </c>
      <c r="M594" s="1130">
        <v>812.27394863999996</v>
      </c>
      <c r="N594" s="1130">
        <v>812.27394863999996</v>
      </c>
      <c r="O594" s="1130">
        <v>812.27394863999996</v>
      </c>
    </row>
    <row r="595" spans="1:15">
      <c r="A595" s="119"/>
      <c r="B595" s="331" t="s">
        <v>1153</v>
      </c>
      <c r="C595">
        <v>0</v>
      </c>
      <c r="D595" s="953">
        <v>0</v>
      </c>
      <c r="E595" s="953">
        <v>0</v>
      </c>
      <c r="F595" s="953">
        <v>0</v>
      </c>
      <c r="G595" s="953">
        <v>0</v>
      </c>
      <c r="H595" s="953">
        <v>0</v>
      </c>
      <c r="I595" s="1130">
        <v>928.3130841599999</v>
      </c>
      <c r="J595" s="1130">
        <v>928.3130841599999</v>
      </c>
      <c r="K595" s="1130">
        <v>928.3130841599999</v>
      </c>
      <c r="L595" s="1130">
        <v>928.3130841599999</v>
      </c>
      <c r="M595" s="1130">
        <v>928.3130841599999</v>
      </c>
      <c r="N595" s="1130">
        <v>928.3130841599999</v>
      </c>
      <c r="O595" s="1130">
        <v>928.3130841599999</v>
      </c>
    </row>
    <row r="596" spans="1:15">
      <c r="A596" s="119"/>
      <c r="B596" s="331" t="s">
        <v>1154</v>
      </c>
      <c r="C596">
        <v>0</v>
      </c>
      <c r="D596" s="956">
        <v>1240</v>
      </c>
      <c r="E596" s="956">
        <v>1240</v>
      </c>
      <c r="F596" s="956">
        <v>1240</v>
      </c>
      <c r="G596" s="956">
        <v>1240</v>
      </c>
      <c r="H596" s="956">
        <v>1240</v>
      </c>
      <c r="I596" s="956">
        <v>1240</v>
      </c>
      <c r="J596" s="956">
        <v>1240</v>
      </c>
      <c r="K596" s="956">
        <v>1240</v>
      </c>
      <c r="L596" s="956">
        <v>1240</v>
      </c>
      <c r="M596" s="956">
        <v>1240</v>
      </c>
      <c r="N596" s="956">
        <v>1240</v>
      </c>
      <c r="O596" s="956">
        <v>1240</v>
      </c>
    </row>
    <row r="597" spans="1:15">
      <c r="A597" s="119"/>
      <c r="B597" s="331" t="s">
        <v>1155</v>
      </c>
      <c r="C597">
        <v>0</v>
      </c>
      <c r="D597" s="956">
        <v>1240</v>
      </c>
      <c r="E597" s="956">
        <v>1240</v>
      </c>
      <c r="F597" s="956">
        <v>1240</v>
      </c>
      <c r="G597" s="956">
        <v>1240</v>
      </c>
      <c r="H597" s="956">
        <v>1240</v>
      </c>
      <c r="I597" s="956">
        <v>1240</v>
      </c>
      <c r="J597" s="956">
        <v>1240</v>
      </c>
      <c r="K597" s="956">
        <v>1240</v>
      </c>
      <c r="L597" s="956">
        <v>1240</v>
      </c>
      <c r="M597" s="956">
        <v>1240</v>
      </c>
      <c r="N597" s="956">
        <v>1240</v>
      </c>
      <c r="O597" s="956">
        <v>1240</v>
      </c>
    </row>
    <row r="598" spans="1:15">
      <c r="A598" s="119"/>
      <c r="B598" s="331" t="s">
        <v>1156</v>
      </c>
      <c r="C598">
        <v>0</v>
      </c>
      <c r="D598" s="956">
        <v>1240</v>
      </c>
      <c r="E598" s="956">
        <v>1240</v>
      </c>
      <c r="F598" s="956">
        <v>1240</v>
      </c>
      <c r="G598" s="956">
        <v>1240</v>
      </c>
      <c r="H598" s="956">
        <v>1240</v>
      </c>
      <c r="I598" s="956">
        <v>1240</v>
      </c>
      <c r="J598" s="956">
        <v>1240</v>
      </c>
      <c r="K598" s="956">
        <v>1240</v>
      </c>
      <c r="L598" s="956">
        <v>1240</v>
      </c>
      <c r="M598" s="956">
        <v>1240</v>
      </c>
      <c r="N598" s="956">
        <v>1240</v>
      </c>
      <c r="O598" s="956">
        <v>1240</v>
      </c>
    </row>
    <row r="599" spans="1:15">
      <c r="A599" s="119"/>
      <c r="B599" s="331" t="s">
        <v>1157</v>
      </c>
      <c r="C599">
        <v>0</v>
      </c>
      <c r="D599" s="956">
        <v>1240</v>
      </c>
      <c r="E599" s="956">
        <v>1240</v>
      </c>
      <c r="F599" s="956">
        <v>1240</v>
      </c>
      <c r="G599" s="956">
        <v>1240</v>
      </c>
      <c r="H599" s="956">
        <v>1240</v>
      </c>
      <c r="I599" s="956">
        <v>1240</v>
      </c>
      <c r="J599" s="956">
        <v>1240</v>
      </c>
      <c r="K599" s="956">
        <v>1240</v>
      </c>
      <c r="L599" s="956">
        <v>1240</v>
      </c>
      <c r="M599" s="956">
        <v>1240</v>
      </c>
      <c r="N599" s="956">
        <v>1240</v>
      </c>
      <c r="O599" s="956">
        <v>1240</v>
      </c>
    </row>
    <row r="600" spans="1:15">
      <c r="A600" s="119"/>
      <c r="B600" s="331" t="s">
        <v>1158</v>
      </c>
      <c r="C600">
        <v>0</v>
      </c>
      <c r="D600" s="953">
        <v>0</v>
      </c>
      <c r="E600" s="953">
        <v>0</v>
      </c>
      <c r="F600" s="953">
        <v>0</v>
      </c>
      <c r="G600" s="953">
        <v>0</v>
      </c>
      <c r="H600" s="953">
        <v>0</v>
      </c>
      <c r="I600" s="1130">
        <v>878.62515048000012</v>
      </c>
      <c r="J600" s="1130">
        <v>878.62515048000012</v>
      </c>
      <c r="K600" s="1130">
        <v>878.62515048000012</v>
      </c>
      <c r="L600" s="1130">
        <v>878.62515048000012</v>
      </c>
      <c r="M600" s="1130">
        <v>878.62515048000012</v>
      </c>
      <c r="N600" s="1130">
        <v>878.62515048000012</v>
      </c>
      <c r="O600" s="1130">
        <v>878.62515048000012</v>
      </c>
    </row>
    <row r="601" spans="1:15">
      <c r="A601" s="119"/>
      <c r="B601" s="331" t="s">
        <v>1159</v>
      </c>
      <c r="C601">
        <v>0</v>
      </c>
      <c r="D601" s="953">
        <v>0</v>
      </c>
      <c r="E601" s="953">
        <v>0</v>
      </c>
      <c r="F601" s="953">
        <v>0</v>
      </c>
      <c r="G601" s="953">
        <v>0</v>
      </c>
      <c r="H601" s="953">
        <v>0</v>
      </c>
      <c r="I601" s="1130">
        <v>878.62515048000012</v>
      </c>
      <c r="J601" s="1130">
        <v>878.62515048000012</v>
      </c>
      <c r="K601" s="1130">
        <v>878.62515048000012</v>
      </c>
      <c r="L601" s="1130">
        <v>878.62515048000012</v>
      </c>
      <c r="M601" s="1130">
        <v>878.62515048000012</v>
      </c>
      <c r="N601" s="1130">
        <v>878.62515048000012</v>
      </c>
      <c r="O601" s="1130">
        <v>878.62515048000012</v>
      </c>
    </row>
    <row r="602" spans="1:15">
      <c r="A602" s="119"/>
      <c r="B602" s="331" t="s">
        <v>1160</v>
      </c>
      <c r="C602">
        <v>0</v>
      </c>
      <c r="D602" s="953">
        <v>0</v>
      </c>
      <c r="E602" s="953">
        <v>0</v>
      </c>
      <c r="F602" s="953">
        <v>0</v>
      </c>
      <c r="G602" s="953">
        <v>0</v>
      </c>
      <c r="H602" s="953">
        <v>0</v>
      </c>
      <c r="I602" s="1130">
        <v>878.62515048000012</v>
      </c>
      <c r="J602" s="1130">
        <v>878.62515048000012</v>
      </c>
      <c r="K602" s="1130">
        <v>878.62515048000012</v>
      </c>
      <c r="L602" s="1130">
        <v>878.62515048000012</v>
      </c>
      <c r="M602" s="1130">
        <v>878.62515048000012</v>
      </c>
      <c r="N602" s="1130">
        <v>878.62515048000012</v>
      </c>
      <c r="O602" s="1130">
        <v>878.62515048000012</v>
      </c>
    </row>
    <row r="603" spans="1:15">
      <c r="A603" s="119"/>
      <c r="B603" s="331" t="s">
        <v>1161</v>
      </c>
      <c r="C603">
        <v>0</v>
      </c>
      <c r="D603" s="953">
        <v>0</v>
      </c>
      <c r="E603" s="953">
        <v>0</v>
      </c>
      <c r="F603" s="953">
        <v>0</v>
      </c>
      <c r="G603" s="953">
        <v>0</v>
      </c>
      <c r="H603" s="953">
        <v>0</v>
      </c>
      <c r="I603" s="1130">
        <v>753.10727183999995</v>
      </c>
      <c r="J603" s="1130">
        <v>753.10727183999995</v>
      </c>
      <c r="K603" s="1130">
        <v>753.10727183999995</v>
      </c>
      <c r="L603" s="1130">
        <v>753.10727183999995</v>
      </c>
      <c r="M603" s="1130">
        <v>753.10727183999995</v>
      </c>
      <c r="N603" s="1130">
        <v>753.10727183999995</v>
      </c>
      <c r="O603" s="1130">
        <v>753.10727183999995</v>
      </c>
    </row>
    <row r="604" spans="1:15">
      <c r="A604" s="119"/>
      <c r="B604" s="331" t="s">
        <v>1162</v>
      </c>
      <c r="C604">
        <v>0</v>
      </c>
      <c r="D604" s="953">
        <v>0</v>
      </c>
      <c r="E604" s="953">
        <v>0</v>
      </c>
      <c r="F604" s="953">
        <v>0</v>
      </c>
      <c r="G604" s="953">
        <v>0</v>
      </c>
      <c r="H604" s="953">
        <v>0</v>
      </c>
      <c r="I604" s="953">
        <v>0</v>
      </c>
      <c r="J604" s="953">
        <v>0</v>
      </c>
      <c r="K604" s="953">
        <v>0</v>
      </c>
      <c r="L604" s="953">
        <v>0</v>
      </c>
      <c r="M604" s="953">
        <v>0</v>
      </c>
      <c r="N604" s="953">
        <v>0</v>
      </c>
      <c r="O604" s="953">
        <v>0</v>
      </c>
    </row>
    <row r="605" spans="1:15">
      <c r="A605" s="119"/>
      <c r="B605" s="331" t="s">
        <v>1163</v>
      </c>
      <c r="C605">
        <v>0</v>
      </c>
      <c r="D605" s="953">
        <v>0</v>
      </c>
      <c r="E605" s="953">
        <v>0</v>
      </c>
      <c r="F605" s="953">
        <v>0</v>
      </c>
      <c r="G605" s="953">
        <v>0</v>
      </c>
      <c r="H605" s="953">
        <v>0</v>
      </c>
      <c r="I605" s="953">
        <v>0</v>
      </c>
      <c r="J605" s="953">
        <v>0</v>
      </c>
      <c r="K605" s="953">
        <v>0</v>
      </c>
      <c r="L605" s="953">
        <v>0</v>
      </c>
      <c r="M605" s="953">
        <v>0</v>
      </c>
      <c r="N605" s="953">
        <v>0</v>
      </c>
      <c r="O605" s="953">
        <v>0</v>
      </c>
    </row>
    <row r="606" spans="1:15">
      <c r="A606" s="119"/>
      <c r="B606" s="331" t="s">
        <v>1164</v>
      </c>
      <c r="C606">
        <v>0</v>
      </c>
      <c r="D606" s="953">
        <v>0</v>
      </c>
      <c r="E606" s="953">
        <v>0</v>
      </c>
      <c r="F606" s="953">
        <v>0</v>
      </c>
      <c r="G606" s="953">
        <v>0</v>
      </c>
      <c r="H606" s="953">
        <v>0</v>
      </c>
      <c r="I606" s="1130">
        <v>878.62515048000012</v>
      </c>
      <c r="J606" s="1130">
        <v>878.62515048000012</v>
      </c>
      <c r="K606" s="1130">
        <v>878.62515048000012</v>
      </c>
      <c r="L606" s="1130">
        <v>878.62515048000012</v>
      </c>
      <c r="M606" s="1130">
        <v>878.62515048000012</v>
      </c>
      <c r="N606" s="1130">
        <v>878.62515048000012</v>
      </c>
      <c r="O606" s="1130">
        <v>878.62515048000012</v>
      </c>
    </row>
    <row r="607" spans="1:15">
      <c r="A607" s="119"/>
      <c r="B607" s="331" t="s">
        <v>1165</v>
      </c>
      <c r="C607">
        <v>0</v>
      </c>
      <c r="D607" s="956">
        <v>1004.1430291200001</v>
      </c>
      <c r="E607" s="956">
        <v>1004.1430291200001</v>
      </c>
      <c r="F607" s="956">
        <v>1004.1430291200001</v>
      </c>
      <c r="G607" s="956">
        <v>1004.1430291200001</v>
      </c>
      <c r="H607" s="956">
        <v>1004.1430291200001</v>
      </c>
      <c r="I607" s="956">
        <v>1004.1430291200001</v>
      </c>
      <c r="J607" s="956">
        <v>1004.1430291200001</v>
      </c>
      <c r="K607" s="956">
        <v>1004.1430291200001</v>
      </c>
      <c r="L607" s="956">
        <v>1004.1430291200001</v>
      </c>
      <c r="M607" s="956">
        <v>1004.1430291200001</v>
      </c>
      <c r="N607" s="956">
        <v>1004.1430291200001</v>
      </c>
      <c r="O607" s="956">
        <v>1004.1430291200001</v>
      </c>
    </row>
    <row r="608" spans="1:15">
      <c r="A608" s="119"/>
      <c r="B608" s="331" t="s">
        <v>1166</v>
      </c>
      <c r="C608">
        <v>0</v>
      </c>
      <c r="D608" s="956">
        <v>1240</v>
      </c>
      <c r="E608" s="956">
        <v>1240</v>
      </c>
      <c r="F608" s="956">
        <v>1240</v>
      </c>
      <c r="G608" s="956">
        <v>1240</v>
      </c>
      <c r="H608" s="956">
        <v>1240</v>
      </c>
      <c r="I608" s="956">
        <v>1240</v>
      </c>
      <c r="J608" s="956">
        <v>1240</v>
      </c>
      <c r="K608" s="956">
        <v>1240</v>
      </c>
      <c r="L608" s="956">
        <v>1240</v>
      </c>
      <c r="M608" s="956">
        <v>1240</v>
      </c>
      <c r="N608" s="956">
        <v>1240</v>
      </c>
      <c r="O608" s="956">
        <v>1240</v>
      </c>
    </row>
    <row r="609" spans="1:15">
      <c r="A609" s="119"/>
      <c r="B609" s="331" t="s">
        <v>1167</v>
      </c>
      <c r="C609">
        <v>0</v>
      </c>
      <c r="D609" s="956">
        <v>1240</v>
      </c>
      <c r="E609" s="956">
        <v>1240</v>
      </c>
      <c r="F609" s="956">
        <v>1240</v>
      </c>
      <c r="G609" s="956">
        <v>1240</v>
      </c>
      <c r="H609" s="956">
        <v>1240</v>
      </c>
      <c r="I609" s="956">
        <v>1240</v>
      </c>
      <c r="J609" s="956">
        <v>1240</v>
      </c>
      <c r="K609" s="956">
        <v>1240</v>
      </c>
      <c r="L609" s="956">
        <v>1240</v>
      </c>
      <c r="M609" s="956">
        <v>1240</v>
      </c>
      <c r="N609" s="956">
        <v>1240</v>
      </c>
      <c r="O609" s="956">
        <v>1240</v>
      </c>
    </row>
    <row r="610" spans="1:15">
      <c r="A610" s="119"/>
      <c r="B610" s="331" t="s">
        <v>1168</v>
      </c>
      <c r="C610">
        <v>0</v>
      </c>
      <c r="D610" s="956">
        <v>1240</v>
      </c>
      <c r="E610" s="956">
        <v>1240</v>
      </c>
      <c r="F610" s="956">
        <v>1240</v>
      </c>
      <c r="G610" s="956">
        <v>1240</v>
      </c>
      <c r="H610" s="956">
        <v>1240</v>
      </c>
      <c r="I610" s="956">
        <v>1240</v>
      </c>
      <c r="J610" s="956">
        <v>1240</v>
      </c>
      <c r="K610" s="956">
        <v>1240</v>
      </c>
      <c r="L610" s="956">
        <v>1240</v>
      </c>
      <c r="M610" s="956">
        <v>1240</v>
      </c>
      <c r="N610" s="956">
        <v>1240</v>
      </c>
      <c r="O610" s="956">
        <v>1240</v>
      </c>
    </row>
    <row r="611" spans="1:15">
      <c r="A611" s="119"/>
      <c r="B611" s="331" t="s">
        <v>1169</v>
      </c>
      <c r="C611">
        <v>0</v>
      </c>
      <c r="D611" s="956">
        <v>1240</v>
      </c>
      <c r="E611" s="956">
        <v>1240</v>
      </c>
      <c r="F611" s="956">
        <v>1240</v>
      </c>
      <c r="G611" s="956">
        <v>1240</v>
      </c>
      <c r="H611" s="956">
        <v>1240</v>
      </c>
      <c r="I611" s="956">
        <v>1240</v>
      </c>
      <c r="J611" s="956">
        <v>1240</v>
      </c>
      <c r="K611" s="956">
        <v>1240</v>
      </c>
      <c r="L611" s="956">
        <v>1240</v>
      </c>
      <c r="M611" s="956">
        <v>1240</v>
      </c>
      <c r="N611" s="956">
        <v>1240</v>
      </c>
      <c r="O611" s="956">
        <v>1240</v>
      </c>
    </row>
    <row r="612" spans="1:15">
      <c r="A612" s="119"/>
      <c r="B612" s="331" t="s">
        <v>1170</v>
      </c>
      <c r="C612">
        <v>0</v>
      </c>
      <c r="D612" s="953">
        <v>0</v>
      </c>
      <c r="E612" s="953">
        <v>0</v>
      </c>
      <c r="F612" s="953">
        <v>0</v>
      </c>
      <c r="G612" s="953">
        <v>0</v>
      </c>
      <c r="H612" s="953">
        <v>0</v>
      </c>
      <c r="I612" s="1130">
        <v>973.71445248000009</v>
      </c>
      <c r="J612" s="1130">
        <v>973.71445248000009</v>
      </c>
      <c r="K612" s="1130">
        <v>973.71445248000009</v>
      </c>
      <c r="L612" s="1130">
        <v>973.71445248000009</v>
      </c>
      <c r="M612" s="1130">
        <v>973.71445248000009</v>
      </c>
      <c r="N612" s="1130">
        <v>973.71445248000009</v>
      </c>
      <c r="O612" s="1130">
        <v>973.71445248000009</v>
      </c>
    </row>
    <row r="613" spans="1:15">
      <c r="A613" s="119"/>
      <c r="B613" s="331" t="s">
        <v>1171</v>
      </c>
      <c r="C613">
        <v>0</v>
      </c>
      <c r="D613" s="953">
        <v>0</v>
      </c>
      <c r="E613" s="953">
        <v>0</v>
      </c>
      <c r="F613" s="953">
        <v>0</v>
      </c>
      <c r="G613" s="953">
        <v>0</v>
      </c>
      <c r="H613" s="953">
        <v>0</v>
      </c>
      <c r="I613" s="1130">
        <v>973.71445248000009</v>
      </c>
      <c r="J613" s="1130">
        <v>973.71445248000009</v>
      </c>
      <c r="K613" s="1130">
        <v>973.71445248000009</v>
      </c>
      <c r="L613" s="1130">
        <v>973.71445248000009</v>
      </c>
      <c r="M613" s="1130">
        <v>973.71445248000009</v>
      </c>
      <c r="N613" s="1130">
        <v>973.71445248000009</v>
      </c>
      <c r="O613" s="1130">
        <v>973.71445248000009</v>
      </c>
    </row>
    <row r="614" spans="1:15">
      <c r="A614" s="119"/>
      <c r="B614" s="331" t="s">
        <v>1172</v>
      </c>
      <c r="C614">
        <v>0</v>
      </c>
      <c r="D614" s="953">
        <v>0</v>
      </c>
      <c r="E614" s="953">
        <v>0</v>
      </c>
      <c r="F614" s="953">
        <v>0</v>
      </c>
      <c r="G614" s="953">
        <v>0</v>
      </c>
      <c r="H614" s="953">
        <v>0</v>
      </c>
      <c r="I614" s="1130">
        <v>973.71445248000009</v>
      </c>
      <c r="J614" s="1130">
        <v>973.71445248000009</v>
      </c>
      <c r="K614" s="1130">
        <v>973.71445248000009</v>
      </c>
      <c r="L614" s="1130">
        <v>973.71445248000009</v>
      </c>
      <c r="M614" s="1130">
        <v>973.71445248000009</v>
      </c>
      <c r="N614" s="1130">
        <v>973.71445248000009</v>
      </c>
      <c r="O614" s="1130">
        <v>973.71445248000009</v>
      </c>
    </row>
    <row r="615" spans="1:15">
      <c r="A615" s="119"/>
      <c r="B615" s="331" t="s">
        <v>1173</v>
      </c>
      <c r="C615">
        <v>0</v>
      </c>
      <c r="D615" s="953">
        <v>0</v>
      </c>
      <c r="E615" s="953">
        <v>0</v>
      </c>
      <c r="F615" s="953">
        <v>0</v>
      </c>
      <c r="G615" s="953">
        <v>0</v>
      </c>
      <c r="H615" s="953">
        <v>0</v>
      </c>
      <c r="I615" s="1130">
        <v>834.61238784</v>
      </c>
      <c r="J615" s="1130">
        <v>834.61238784</v>
      </c>
      <c r="K615" s="1130">
        <v>834.61238784</v>
      </c>
      <c r="L615" s="1130">
        <v>834.61238784</v>
      </c>
      <c r="M615" s="1130">
        <v>834.61238784</v>
      </c>
      <c r="N615" s="1130">
        <v>834.61238784</v>
      </c>
      <c r="O615" s="1130">
        <v>834.61238784</v>
      </c>
    </row>
    <row r="616" spans="1:15">
      <c r="A616" s="119"/>
      <c r="B616" s="331" t="s">
        <v>1174</v>
      </c>
      <c r="C616">
        <v>0</v>
      </c>
      <c r="D616" s="953">
        <v>0</v>
      </c>
      <c r="E616" s="953">
        <v>0</v>
      </c>
      <c r="F616" s="953">
        <v>0</v>
      </c>
      <c r="G616" s="953">
        <v>0</v>
      </c>
      <c r="H616" s="953">
        <v>0</v>
      </c>
      <c r="I616" s="953">
        <v>0</v>
      </c>
      <c r="J616" s="953">
        <v>0</v>
      </c>
      <c r="K616" s="953">
        <v>0</v>
      </c>
      <c r="L616" s="953">
        <v>0</v>
      </c>
      <c r="M616" s="953">
        <v>0</v>
      </c>
      <c r="N616" s="953">
        <v>0</v>
      </c>
      <c r="O616" s="953">
        <v>0</v>
      </c>
    </row>
    <row r="617" spans="1:15">
      <c r="A617" s="119"/>
      <c r="B617" s="331" t="s">
        <v>1175</v>
      </c>
      <c r="C617">
        <v>0</v>
      </c>
      <c r="D617" s="953">
        <v>0</v>
      </c>
      <c r="E617" s="953">
        <v>0</v>
      </c>
      <c r="F617" s="953">
        <v>0</v>
      </c>
      <c r="G617" s="953">
        <v>0</v>
      </c>
      <c r="H617" s="953">
        <v>0</v>
      </c>
      <c r="I617" s="1130">
        <v>834.61238784</v>
      </c>
      <c r="J617" s="1130">
        <v>834.61238784</v>
      </c>
      <c r="K617" s="1130">
        <v>834.61238784</v>
      </c>
      <c r="L617" s="1130">
        <v>834.61238784</v>
      </c>
      <c r="M617" s="1130">
        <v>834.61238784</v>
      </c>
      <c r="N617" s="1130">
        <v>834.61238784</v>
      </c>
      <c r="O617" s="1130">
        <v>834.61238784</v>
      </c>
    </row>
    <row r="618" spans="1:15">
      <c r="A618" s="119"/>
      <c r="B618" s="331" t="s">
        <v>1176</v>
      </c>
      <c r="C618">
        <v>0</v>
      </c>
      <c r="D618" s="953">
        <v>0</v>
      </c>
      <c r="E618" s="953">
        <v>0</v>
      </c>
      <c r="F618" s="953">
        <v>0</v>
      </c>
      <c r="G618" s="953">
        <v>0</v>
      </c>
      <c r="H618" s="953">
        <v>0</v>
      </c>
      <c r="I618" s="1130">
        <v>973.71445248000009</v>
      </c>
      <c r="J618" s="1130">
        <v>973.71445248000009</v>
      </c>
      <c r="K618" s="1130">
        <v>973.71445248000009</v>
      </c>
      <c r="L618" s="1130">
        <v>973.71445248000009</v>
      </c>
      <c r="M618" s="1130">
        <v>973.71445248000009</v>
      </c>
      <c r="N618" s="1130">
        <v>973.71445248000009</v>
      </c>
      <c r="O618" s="1130">
        <v>973.71445248000009</v>
      </c>
    </row>
    <row r="619" spans="1:15">
      <c r="A619" s="119"/>
      <c r="B619" s="331" t="s">
        <v>1177</v>
      </c>
      <c r="C619">
        <v>0</v>
      </c>
      <c r="D619" s="956">
        <v>1112.8165171200001</v>
      </c>
      <c r="E619" s="956">
        <v>1112.8165171200001</v>
      </c>
      <c r="F619" s="956">
        <v>1112.8165171200001</v>
      </c>
      <c r="G619" s="956">
        <v>1112.8165171200001</v>
      </c>
      <c r="H619" s="956">
        <v>1112.8165171200001</v>
      </c>
      <c r="I619" s="956">
        <v>1112.8165171200001</v>
      </c>
      <c r="J619" s="956">
        <v>1112.8165171200001</v>
      </c>
      <c r="K619" s="956">
        <v>1112.8165171200001</v>
      </c>
      <c r="L619" s="956">
        <v>1112.8165171200001</v>
      </c>
      <c r="M619" s="956">
        <v>1112.8165171200001</v>
      </c>
      <c r="N619" s="956">
        <v>1112.8165171200001</v>
      </c>
      <c r="O619" s="956">
        <v>1112.8165171200001</v>
      </c>
    </row>
    <row r="620" spans="1:15">
      <c r="A620" s="119"/>
      <c r="B620" s="331" t="s">
        <v>1178</v>
      </c>
      <c r="C620">
        <v>0</v>
      </c>
      <c r="D620" s="956">
        <v>1240</v>
      </c>
      <c r="E620" s="956">
        <v>1240</v>
      </c>
      <c r="F620" s="956">
        <v>1240</v>
      </c>
      <c r="G620" s="956">
        <v>1240</v>
      </c>
      <c r="H620" s="956">
        <v>1240</v>
      </c>
      <c r="I620" s="956">
        <v>1240</v>
      </c>
      <c r="J620" s="956">
        <v>1240</v>
      </c>
      <c r="K620" s="956">
        <v>1240</v>
      </c>
      <c r="L620" s="956">
        <v>1240</v>
      </c>
      <c r="M620" s="956">
        <v>1240</v>
      </c>
      <c r="N620" s="956">
        <v>1240</v>
      </c>
      <c r="O620" s="956">
        <v>1240</v>
      </c>
    </row>
    <row r="621" spans="1:15">
      <c r="A621" s="119"/>
      <c r="B621" s="331" t="s">
        <v>1179</v>
      </c>
      <c r="C621">
        <v>0</v>
      </c>
      <c r="D621" s="956">
        <v>1240</v>
      </c>
      <c r="E621" s="956">
        <v>1240</v>
      </c>
      <c r="F621" s="956">
        <v>1240</v>
      </c>
      <c r="G621" s="956">
        <v>1240</v>
      </c>
      <c r="H621" s="956">
        <v>1240</v>
      </c>
      <c r="I621" s="956">
        <v>1240</v>
      </c>
      <c r="J621" s="956">
        <v>1240</v>
      </c>
      <c r="K621" s="956">
        <v>1240</v>
      </c>
      <c r="L621" s="956">
        <v>1240</v>
      </c>
      <c r="M621" s="956">
        <v>1240</v>
      </c>
      <c r="N621" s="956">
        <v>1240</v>
      </c>
      <c r="O621" s="956">
        <v>1240</v>
      </c>
    </row>
    <row r="622" spans="1:15">
      <c r="A622" s="119"/>
      <c r="B622" s="331" t="s">
        <v>1180</v>
      </c>
      <c r="C622">
        <v>0</v>
      </c>
      <c r="D622" s="956">
        <v>1240</v>
      </c>
      <c r="E622" s="956">
        <v>1240</v>
      </c>
      <c r="F622" s="956">
        <v>1240</v>
      </c>
      <c r="G622" s="956">
        <v>1240</v>
      </c>
      <c r="H622" s="956">
        <v>1240</v>
      </c>
      <c r="I622" s="956">
        <v>1240</v>
      </c>
      <c r="J622" s="956">
        <v>1240</v>
      </c>
      <c r="K622" s="956">
        <v>1240</v>
      </c>
      <c r="L622" s="956">
        <v>1240</v>
      </c>
      <c r="M622" s="956">
        <v>1240</v>
      </c>
      <c r="N622" s="956">
        <v>1240</v>
      </c>
      <c r="O622" s="956">
        <v>1240</v>
      </c>
    </row>
    <row r="623" spans="1:15">
      <c r="A623" s="119"/>
      <c r="B623" s="331" t="s">
        <v>1181</v>
      </c>
      <c r="C623">
        <v>0</v>
      </c>
      <c r="D623" s="956">
        <v>1012.7051827199999</v>
      </c>
      <c r="E623" s="956">
        <v>1012.7051827199999</v>
      </c>
      <c r="F623" s="956">
        <v>1012.7051827199999</v>
      </c>
      <c r="G623" s="956">
        <v>1012.7051827199999</v>
      </c>
      <c r="H623" s="956">
        <v>1012.7051827199999</v>
      </c>
      <c r="I623" s="1130">
        <v>1240</v>
      </c>
      <c r="J623" s="1130">
        <v>1240</v>
      </c>
      <c r="K623" s="1130">
        <v>1240</v>
      </c>
      <c r="L623" s="1130">
        <v>1240</v>
      </c>
      <c r="M623" s="1130">
        <v>1240</v>
      </c>
      <c r="N623" s="1130">
        <v>1240</v>
      </c>
      <c r="O623" s="1130">
        <v>1240</v>
      </c>
    </row>
    <row r="624" spans="1:15">
      <c r="A624" s="119"/>
      <c r="B624" s="331" t="s">
        <v>1182</v>
      </c>
      <c r="C624">
        <v>0</v>
      </c>
      <c r="D624" s="953">
        <v>0</v>
      </c>
      <c r="E624" s="953">
        <v>0</v>
      </c>
      <c r="F624" s="953">
        <v>0</v>
      </c>
      <c r="G624" s="953">
        <v>0</v>
      </c>
      <c r="H624" s="953">
        <v>0</v>
      </c>
      <c r="I624" s="1130">
        <v>928.3130841599999</v>
      </c>
      <c r="J624" s="1130">
        <v>928.3130841599999</v>
      </c>
      <c r="K624" s="1130">
        <v>928.3130841599999</v>
      </c>
      <c r="L624" s="1130">
        <v>928.3130841599999</v>
      </c>
      <c r="M624" s="1130">
        <v>928.3130841599999</v>
      </c>
      <c r="N624" s="1130">
        <v>928.3130841599999</v>
      </c>
      <c r="O624" s="1130">
        <v>928.3130841599999</v>
      </c>
    </row>
    <row r="625" spans="1:15">
      <c r="A625" s="119"/>
      <c r="B625" s="331" t="s">
        <v>1183</v>
      </c>
      <c r="C625">
        <v>0</v>
      </c>
      <c r="D625" s="953">
        <v>0</v>
      </c>
      <c r="E625" s="953">
        <v>0</v>
      </c>
      <c r="F625" s="953">
        <v>0</v>
      </c>
      <c r="G625" s="953">
        <v>0</v>
      </c>
      <c r="H625" s="953">
        <v>0</v>
      </c>
      <c r="I625" s="1130">
        <v>759.52888703999997</v>
      </c>
      <c r="J625" s="1130">
        <v>759.52888703999997</v>
      </c>
      <c r="K625" s="1130">
        <v>759.52888703999997</v>
      </c>
      <c r="L625" s="1130">
        <v>759.52888703999997</v>
      </c>
      <c r="M625" s="1130">
        <v>759.52888703999997</v>
      </c>
      <c r="N625" s="1130">
        <v>759.52888703999997</v>
      </c>
      <c r="O625" s="1130">
        <v>759.52888703999997</v>
      </c>
    </row>
    <row r="626" spans="1:15">
      <c r="A626" s="119"/>
      <c r="B626" s="331" t="s">
        <v>1184</v>
      </c>
      <c r="C626">
        <v>0</v>
      </c>
      <c r="D626" s="953">
        <v>0</v>
      </c>
      <c r="E626" s="953">
        <v>0</v>
      </c>
      <c r="F626" s="953">
        <v>0</v>
      </c>
      <c r="G626" s="953">
        <v>0</v>
      </c>
      <c r="H626" s="953">
        <v>0</v>
      </c>
      <c r="I626" s="953">
        <v>0</v>
      </c>
      <c r="J626" s="953">
        <v>0</v>
      </c>
      <c r="K626" s="953">
        <v>0</v>
      </c>
      <c r="L626" s="953">
        <v>0</v>
      </c>
      <c r="M626" s="953">
        <v>0</v>
      </c>
      <c r="N626" s="953">
        <v>0</v>
      </c>
      <c r="O626" s="953">
        <v>0</v>
      </c>
    </row>
    <row r="627" spans="1:15">
      <c r="A627" s="119"/>
      <c r="B627" s="331" t="s">
        <v>1185</v>
      </c>
      <c r="C627">
        <v>0</v>
      </c>
      <c r="D627" s="953">
        <v>0</v>
      </c>
      <c r="E627" s="953">
        <v>0</v>
      </c>
      <c r="F627" s="953">
        <v>0</v>
      </c>
      <c r="G627" s="953">
        <v>0</v>
      </c>
      <c r="H627" s="953">
        <v>0</v>
      </c>
      <c r="I627" s="953">
        <v>0</v>
      </c>
      <c r="J627" s="953">
        <v>0</v>
      </c>
      <c r="K627" s="953">
        <v>0</v>
      </c>
      <c r="L627" s="953">
        <v>0</v>
      </c>
      <c r="M627" s="953">
        <v>0</v>
      </c>
      <c r="N627" s="953">
        <v>0</v>
      </c>
      <c r="O627" s="953">
        <v>0</v>
      </c>
    </row>
    <row r="628" spans="1:15">
      <c r="A628" s="119"/>
      <c r="B628" s="331" t="s">
        <v>1186</v>
      </c>
      <c r="C628">
        <v>0</v>
      </c>
      <c r="D628" s="953">
        <v>0</v>
      </c>
      <c r="E628" s="953">
        <v>0</v>
      </c>
      <c r="F628" s="953">
        <v>0</v>
      </c>
      <c r="G628" s="953">
        <v>0</v>
      </c>
      <c r="H628" s="953">
        <v>0</v>
      </c>
      <c r="I628" s="953">
        <v>0</v>
      </c>
      <c r="J628" s="953">
        <v>0</v>
      </c>
      <c r="K628" s="953">
        <v>0</v>
      </c>
      <c r="L628" s="953">
        <v>0</v>
      </c>
      <c r="M628" s="953">
        <v>0</v>
      </c>
      <c r="N628" s="953">
        <v>0</v>
      </c>
      <c r="O628" s="953">
        <v>0</v>
      </c>
    </row>
    <row r="629" spans="1:15">
      <c r="A629" s="119"/>
      <c r="B629" s="331" t="s">
        <v>1187</v>
      </c>
      <c r="C629">
        <v>0</v>
      </c>
      <c r="D629" s="953">
        <v>0</v>
      </c>
      <c r="E629" s="953">
        <v>0</v>
      </c>
      <c r="F629" s="953">
        <v>0</v>
      </c>
      <c r="G629" s="953">
        <v>0</v>
      </c>
      <c r="H629" s="953">
        <v>0</v>
      </c>
      <c r="I629" s="953">
        <v>0</v>
      </c>
      <c r="J629" s="953">
        <v>0</v>
      </c>
      <c r="K629" s="953">
        <v>0</v>
      </c>
      <c r="L629" s="953">
        <v>0</v>
      </c>
      <c r="M629" s="953">
        <v>0</v>
      </c>
      <c r="N629" s="953">
        <v>0</v>
      </c>
      <c r="O629" s="953">
        <v>0</v>
      </c>
    </row>
    <row r="630" spans="1:15">
      <c r="A630" s="119"/>
      <c r="B630" s="331" t="s">
        <v>1188</v>
      </c>
      <c r="C630">
        <v>0</v>
      </c>
      <c r="D630" s="953">
        <v>0</v>
      </c>
      <c r="E630" s="953">
        <v>0</v>
      </c>
      <c r="F630" s="953">
        <v>0</v>
      </c>
      <c r="G630" s="953">
        <v>0</v>
      </c>
      <c r="H630" s="953">
        <v>0</v>
      </c>
      <c r="I630" s="953">
        <v>0</v>
      </c>
      <c r="J630" s="953">
        <v>0</v>
      </c>
      <c r="K630" s="953">
        <v>0</v>
      </c>
      <c r="L630" s="953">
        <v>0</v>
      </c>
      <c r="M630" s="953">
        <v>0</v>
      </c>
      <c r="N630" s="953">
        <v>0</v>
      </c>
      <c r="O630" s="953">
        <v>0</v>
      </c>
    </row>
    <row r="631" spans="1:15">
      <c r="A631" s="119"/>
      <c r="B631" s="331" t="s">
        <v>1189</v>
      </c>
      <c r="C631">
        <v>0</v>
      </c>
      <c r="D631" s="953">
        <v>0</v>
      </c>
      <c r="E631" s="953">
        <v>0</v>
      </c>
      <c r="F631" s="953">
        <v>0</v>
      </c>
      <c r="G631" s="953">
        <v>0</v>
      </c>
      <c r="H631" s="953">
        <v>0</v>
      </c>
      <c r="I631" s="953">
        <v>0</v>
      </c>
      <c r="J631" s="953">
        <v>0</v>
      </c>
      <c r="K631" s="953">
        <v>0</v>
      </c>
      <c r="L631" s="953">
        <v>0</v>
      </c>
      <c r="M631" s="953">
        <v>0</v>
      </c>
      <c r="N631" s="953">
        <v>0</v>
      </c>
      <c r="O631" s="953">
        <v>0</v>
      </c>
    </row>
    <row r="632" spans="1:15">
      <c r="A632" s="119"/>
      <c r="B632" s="331" t="s">
        <v>1190</v>
      </c>
      <c r="C632">
        <v>0</v>
      </c>
      <c r="D632" s="953">
        <v>0</v>
      </c>
      <c r="E632" s="953">
        <v>0</v>
      </c>
      <c r="F632" s="953">
        <v>0</v>
      </c>
      <c r="G632" s="953">
        <v>0</v>
      </c>
      <c r="H632" s="953">
        <v>0</v>
      </c>
      <c r="I632" s="1130">
        <v>928.3130841599999</v>
      </c>
      <c r="J632" s="1130">
        <v>928.3130841599999</v>
      </c>
      <c r="K632" s="1130">
        <v>928.3130841599999</v>
      </c>
      <c r="L632" s="1130">
        <v>928.3130841599999</v>
      </c>
      <c r="M632" s="1130">
        <v>928.3130841599999</v>
      </c>
      <c r="N632" s="1130">
        <v>928.3130841599999</v>
      </c>
      <c r="O632" s="1130">
        <v>928.3130841599999</v>
      </c>
    </row>
    <row r="633" spans="1:15">
      <c r="A633" s="119"/>
      <c r="B633" s="331" t="s">
        <v>1191</v>
      </c>
      <c r="C633">
        <v>0</v>
      </c>
      <c r="D633" s="956">
        <v>1012.7051827199999</v>
      </c>
      <c r="E633" s="956">
        <v>1012.7051827199999</v>
      </c>
      <c r="F633" s="956">
        <v>1012.7051827199999</v>
      </c>
      <c r="G633" s="956">
        <v>1012.7051827199999</v>
      </c>
      <c r="H633" s="956">
        <v>1012.7051827199999</v>
      </c>
      <c r="I633" s="956">
        <v>1012.7051827199999</v>
      </c>
      <c r="J633" s="956">
        <v>1012.7051827199999</v>
      </c>
      <c r="K633" s="956">
        <v>1012.7051827199999</v>
      </c>
      <c r="L633" s="956">
        <v>1012.7051827199999</v>
      </c>
      <c r="M633" s="956">
        <v>1012.7051827199999</v>
      </c>
      <c r="N633" s="956">
        <v>1012.7051827199999</v>
      </c>
      <c r="O633" s="956">
        <v>1012.7051827199999</v>
      </c>
    </row>
    <row r="634" spans="1:15">
      <c r="A634" s="119"/>
      <c r="B634" s="331" t="s">
        <v>1192</v>
      </c>
      <c r="C634">
        <v>0</v>
      </c>
      <c r="D634" s="956">
        <v>1012.7051827199999</v>
      </c>
      <c r="E634" s="956">
        <v>1012.7051827199999</v>
      </c>
      <c r="F634" s="956">
        <v>1012.7051827199999</v>
      </c>
      <c r="G634" s="956">
        <v>1012.7051827199999</v>
      </c>
      <c r="H634" s="956">
        <v>1012.7051827199999</v>
      </c>
      <c r="I634" s="1130">
        <v>1240</v>
      </c>
      <c r="J634" s="1130">
        <v>1240</v>
      </c>
      <c r="K634" s="1130">
        <v>1240</v>
      </c>
      <c r="L634" s="1130">
        <v>1240</v>
      </c>
      <c r="M634" s="1130">
        <v>1240</v>
      </c>
      <c r="N634" s="1130">
        <v>1240</v>
      </c>
      <c r="O634" s="1130">
        <v>1240</v>
      </c>
    </row>
    <row r="635" spans="1:15">
      <c r="A635" s="119"/>
      <c r="B635" s="331" t="s">
        <v>1193</v>
      </c>
      <c r="C635">
        <v>0</v>
      </c>
      <c r="D635" s="956">
        <v>1095.4287590399999</v>
      </c>
      <c r="E635" s="956">
        <v>1095.4287590399999</v>
      </c>
      <c r="F635" s="956">
        <v>1095.4287590399999</v>
      </c>
      <c r="G635" s="956">
        <v>1095.4287590399999</v>
      </c>
      <c r="H635" s="956">
        <v>1095.4287590399999</v>
      </c>
      <c r="I635" s="1130">
        <v>1240</v>
      </c>
      <c r="J635" s="1130">
        <v>1240</v>
      </c>
      <c r="K635" s="1130">
        <v>1240</v>
      </c>
      <c r="L635" s="1130">
        <v>1240</v>
      </c>
      <c r="M635" s="1130">
        <v>1240</v>
      </c>
      <c r="N635" s="1130">
        <v>1240</v>
      </c>
      <c r="O635" s="1130">
        <v>1240</v>
      </c>
    </row>
    <row r="636" spans="1:15">
      <c r="A636" s="119"/>
      <c r="B636" s="331" t="s">
        <v>1194</v>
      </c>
      <c r="C636">
        <v>0</v>
      </c>
      <c r="D636" s="953">
        <v>0</v>
      </c>
      <c r="E636" s="953">
        <v>0</v>
      </c>
      <c r="F636" s="953">
        <v>0</v>
      </c>
      <c r="G636" s="953">
        <v>0</v>
      </c>
      <c r="H636" s="953">
        <v>0</v>
      </c>
      <c r="I636" s="1130">
        <v>1004.1430291199999</v>
      </c>
      <c r="J636" s="1130">
        <v>1004.1430291199999</v>
      </c>
      <c r="K636" s="1130">
        <v>1004.1430291199999</v>
      </c>
      <c r="L636" s="1130">
        <v>1004.1430291199999</v>
      </c>
      <c r="M636" s="1130">
        <v>1004.1430291199999</v>
      </c>
      <c r="N636" s="1130">
        <v>1004.1430291199999</v>
      </c>
      <c r="O636" s="1130">
        <v>1004.1430291199999</v>
      </c>
    </row>
    <row r="637" spans="1:15">
      <c r="A637" s="119"/>
      <c r="B637" s="331" t="s">
        <v>1195</v>
      </c>
      <c r="C637">
        <v>0</v>
      </c>
      <c r="D637" s="953">
        <v>0</v>
      </c>
      <c r="E637" s="953">
        <v>0</v>
      </c>
      <c r="F637" s="953">
        <v>0</v>
      </c>
      <c r="G637" s="953">
        <v>0</v>
      </c>
      <c r="H637" s="953">
        <v>0</v>
      </c>
      <c r="I637" s="1130">
        <v>821.57156927999995</v>
      </c>
      <c r="J637" s="1130">
        <v>821.57156927999995</v>
      </c>
      <c r="K637" s="1130">
        <v>821.57156927999995</v>
      </c>
      <c r="L637" s="1130">
        <v>821.57156927999995</v>
      </c>
      <c r="M637" s="1130">
        <v>821.57156927999995</v>
      </c>
      <c r="N637" s="1130">
        <v>821.57156927999995</v>
      </c>
      <c r="O637" s="1130">
        <v>821.57156927999995</v>
      </c>
    </row>
    <row r="638" spans="1:15">
      <c r="A638" s="119"/>
      <c r="B638" s="331" t="s">
        <v>1196</v>
      </c>
      <c r="C638">
        <v>0</v>
      </c>
      <c r="D638" s="953">
        <v>0</v>
      </c>
      <c r="E638" s="953">
        <v>0</v>
      </c>
      <c r="F638" s="953">
        <v>0</v>
      </c>
      <c r="G638" s="953">
        <v>0</v>
      </c>
      <c r="H638" s="953">
        <v>0</v>
      </c>
      <c r="I638" s="1130">
        <v>639.00010944000007</v>
      </c>
      <c r="J638" s="1130">
        <v>639.00010944000007</v>
      </c>
      <c r="K638" s="1130">
        <v>639.00010944000007</v>
      </c>
      <c r="L638" s="1130">
        <v>639.00010944000007</v>
      </c>
      <c r="M638" s="1130">
        <v>639.00010944000007</v>
      </c>
      <c r="N638" s="1130">
        <v>639.00010944000007</v>
      </c>
      <c r="O638" s="1130">
        <v>639.00010944000007</v>
      </c>
    </row>
    <row r="639" spans="1:15">
      <c r="A639" s="119"/>
      <c r="B639" s="331" t="s">
        <v>1197</v>
      </c>
      <c r="C639">
        <v>0</v>
      </c>
      <c r="D639" s="953">
        <v>0</v>
      </c>
      <c r="E639" s="953">
        <v>0</v>
      </c>
      <c r="F639" s="953">
        <v>0</v>
      </c>
      <c r="G639" s="953">
        <v>0</v>
      </c>
      <c r="H639" s="953">
        <v>0</v>
      </c>
      <c r="I639" s="953">
        <v>0</v>
      </c>
      <c r="J639" s="953">
        <v>0</v>
      </c>
      <c r="K639" s="953">
        <v>0</v>
      </c>
      <c r="L639" s="953">
        <v>0</v>
      </c>
      <c r="M639" s="953">
        <v>0</v>
      </c>
      <c r="N639" s="953">
        <v>0</v>
      </c>
      <c r="O639" s="953">
        <v>0</v>
      </c>
    </row>
    <row r="640" spans="1:15">
      <c r="A640" s="119"/>
      <c r="B640" s="331" t="s">
        <v>1198</v>
      </c>
      <c r="C640">
        <v>0</v>
      </c>
      <c r="D640" s="953">
        <v>0</v>
      </c>
      <c r="E640" s="953">
        <v>0</v>
      </c>
      <c r="F640" s="953">
        <v>0</v>
      </c>
      <c r="G640" s="953">
        <v>0</v>
      </c>
      <c r="H640" s="953">
        <v>0</v>
      </c>
      <c r="I640" s="953">
        <v>0</v>
      </c>
      <c r="J640" s="953">
        <v>0</v>
      </c>
      <c r="K640" s="953">
        <v>0</v>
      </c>
      <c r="L640" s="953">
        <v>0</v>
      </c>
      <c r="M640" s="953">
        <v>0</v>
      </c>
      <c r="N640" s="953">
        <v>0</v>
      </c>
      <c r="O640" s="953">
        <v>0</v>
      </c>
    </row>
    <row r="641" spans="1:15">
      <c r="A641" s="119"/>
      <c r="B641" s="331" t="s">
        <v>1199</v>
      </c>
      <c r="C641">
        <v>0</v>
      </c>
      <c r="D641" s="953">
        <v>0</v>
      </c>
      <c r="E641" s="953">
        <v>0</v>
      </c>
      <c r="F641" s="953">
        <v>0</v>
      </c>
      <c r="G641" s="953">
        <v>0</v>
      </c>
      <c r="H641" s="953">
        <v>0</v>
      </c>
      <c r="I641" s="953">
        <v>0</v>
      </c>
      <c r="J641" s="953">
        <v>0</v>
      </c>
      <c r="K641" s="953">
        <v>0</v>
      </c>
      <c r="L641" s="953">
        <v>0</v>
      </c>
      <c r="M641" s="953">
        <v>0</v>
      </c>
      <c r="N641" s="953">
        <v>0</v>
      </c>
      <c r="O641" s="953">
        <v>0</v>
      </c>
    </row>
    <row r="642" spans="1:15">
      <c r="A642" s="119"/>
      <c r="B642" s="331" t="s">
        <v>1200</v>
      </c>
      <c r="C642">
        <v>0</v>
      </c>
      <c r="D642" s="953">
        <v>0</v>
      </c>
      <c r="E642" s="953">
        <v>0</v>
      </c>
      <c r="F642" s="953">
        <v>0</v>
      </c>
      <c r="G642" s="953">
        <v>0</v>
      </c>
      <c r="H642" s="953">
        <v>0</v>
      </c>
      <c r="I642" s="953">
        <v>0</v>
      </c>
      <c r="J642" s="953">
        <v>0</v>
      </c>
      <c r="K642" s="953">
        <v>0</v>
      </c>
      <c r="L642" s="953">
        <v>0</v>
      </c>
      <c r="M642" s="953">
        <v>0</v>
      </c>
      <c r="N642" s="953">
        <v>0</v>
      </c>
      <c r="O642" s="953">
        <v>0</v>
      </c>
    </row>
    <row r="643" spans="1:15">
      <c r="A643" s="119"/>
      <c r="B643" s="331" t="s">
        <v>1201</v>
      </c>
      <c r="C643">
        <v>0</v>
      </c>
      <c r="D643" s="953">
        <v>0</v>
      </c>
      <c r="E643" s="953">
        <v>0</v>
      </c>
      <c r="F643" s="953">
        <v>0</v>
      </c>
      <c r="G643" s="953">
        <v>0</v>
      </c>
      <c r="H643" s="953">
        <v>0</v>
      </c>
      <c r="I643" s="953">
        <v>0</v>
      </c>
      <c r="J643" s="953">
        <v>0</v>
      </c>
      <c r="K643" s="953">
        <v>0</v>
      </c>
      <c r="L643" s="953">
        <v>0</v>
      </c>
      <c r="M643" s="953">
        <v>0</v>
      </c>
      <c r="N643" s="953">
        <v>0</v>
      </c>
      <c r="O643" s="953">
        <v>0</v>
      </c>
    </row>
    <row r="644" spans="1:15">
      <c r="A644" s="119"/>
      <c r="B644" s="331" t="s">
        <v>1202</v>
      </c>
      <c r="C644">
        <v>0</v>
      </c>
      <c r="D644" s="956">
        <v>1004.1430291199999</v>
      </c>
      <c r="E644" s="956">
        <v>1004.1430291199999</v>
      </c>
      <c r="F644" s="956">
        <v>1004.1430291199999</v>
      </c>
      <c r="G644" s="956">
        <v>1004.1430291199999</v>
      </c>
      <c r="H644" s="956">
        <v>1004.1430291199999</v>
      </c>
      <c r="I644" s="956">
        <v>1004.1430291199999</v>
      </c>
      <c r="J644" s="956">
        <v>1004.1430291199999</v>
      </c>
      <c r="K644" s="956">
        <v>1004.1430291199999</v>
      </c>
      <c r="L644" s="956">
        <v>1004.1430291199999</v>
      </c>
      <c r="M644" s="956">
        <v>1004.1430291199999</v>
      </c>
      <c r="N644" s="956">
        <v>1004.1430291199999</v>
      </c>
      <c r="O644" s="956">
        <v>1004.1430291199999</v>
      </c>
    </row>
    <row r="645" spans="1:15">
      <c r="A645" s="119"/>
      <c r="B645" s="331" t="s">
        <v>1203</v>
      </c>
      <c r="C645">
        <v>0</v>
      </c>
      <c r="D645" s="956">
        <v>1095.4287590399999</v>
      </c>
      <c r="E645" s="956">
        <v>1095.4287590399999</v>
      </c>
      <c r="F645" s="956">
        <v>1095.4287590399999</v>
      </c>
      <c r="G645" s="956">
        <v>1095.4287590399999</v>
      </c>
      <c r="H645" s="956">
        <v>1095.4287590399999</v>
      </c>
      <c r="I645" s="956">
        <v>1095.4287590399999</v>
      </c>
      <c r="J645" s="956">
        <v>1095.4287590399999</v>
      </c>
      <c r="K645" s="956">
        <v>1095.4287590399999</v>
      </c>
      <c r="L645" s="956">
        <v>1095.4287590399999</v>
      </c>
      <c r="M645" s="956">
        <v>1095.4287590399999</v>
      </c>
      <c r="N645" s="956">
        <v>1095.4287590399999</v>
      </c>
      <c r="O645" s="956">
        <v>1095.4287590399999</v>
      </c>
    </row>
    <row r="646" spans="1:15">
      <c r="A646" s="119"/>
      <c r="B646" s="331" t="s">
        <v>1204</v>
      </c>
      <c r="C646">
        <v>0</v>
      </c>
      <c r="D646" s="956">
        <v>1095.4287590399999</v>
      </c>
      <c r="E646" s="956">
        <v>1095.4287590399999</v>
      </c>
      <c r="F646" s="956">
        <v>1095.4287590399999</v>
      </c>
      <c r="G646" s="956">
        <v>1095.4287590399999</v>
      </c>
      <c r="H646" s="956">
        <v>1095.4287590399999</v>
      </c>
      <c r="I646" s="1130">
        <v>1240</v>
      </c>
      <c r="J646" s="1130">
        <v>1240</v>
      </c>
      <c r="K646" s="1130">
        <v>1240</v>
      </c>
      <c r="L646" s="1130">
        <v>1240</v>
      </c>
      <c r="M646" s="1130">
        <v>1240</v>
      </c>
      <c r="N646" s="1130">
        <v>1240</v>
      </c>
      <c r="O646" s="1130">
        <v>1240</v>
      </c>
    </row>
    <row r="647" spans="1:15">
      <c r="A647" s="119"/>
      <c r="B647" s="331" t="s">
        <v>1205</v>
      </c>
      <c r="C647">
        <v>0</v>
      </c>
      <c r="D647" s="956">
        <v>1213.9816550400001</v>
      </c>
      <c r="E647" s="956">
        <v>1213.9816550400001</v>
      </c>
      <c r="F647" s="956">
        <v>1213.9816550400001</v>
      </c>
      <c r="G647" s="956">
        <v>1213.9816550400001</v>
      </c>
      <c r="H647" s="956">
        <v>1213.9816550400001</v>
      </c>
      <c r="I647" s="1130">
        <v>1240</v>
      </c>
      <c r="J647" s="1130">
        <v>1240</v>
      </c>
      <c r="K647" s="1130">
        <v>1240</v>
      </c>
      <c r="L647" s="1130">
        <v>1240</v>
      </c>
      <c r="M647" s="1130">
        <v>1240</v>
      </c>
      <c r="N647" s="1130">
        <v>1240</v>
      </c>
      <c r="O647" s="1130">
        <v>1240</v>
      </c>
    </row>
    <row r="648" spans="1:15">
      <c r="A648" s="119"/>
      <c r="B648" s="331" t="s">
        <v>1206</v>
      </c>
      <c r="C648">
        <v>0</v>
      </c>
      <c r="D648" s="953">
        <v>0</v>
      </c>
      <c r="E648" s="953">
        <v>0</v>
      </c>
      <c r="F648" s="953">
        <v>0</v>
      </c>
      <c r="G648" s="953">
        <v>0</v>
      </c>
      <c r="H648" s="953">
        <v>0</v>
      </c>
      <c r="I648" s="1130">
        <v>1240</v>
      </c>
      <c r="J648" s="1130">
        <v>1240</v>
      </c>
      <c r="K648" s="1130">
        <v>1240</v>
      </c>
      <c r="L648" s="1130">
        <v>1240</v>
      </c>
      <c r="M648" s="1130">
        <v>1240</v>
      </c>
      <c r="N648" s="1130">
        <v>1240</v>
      </c>
      <c r="O648" s="1130">
        <v>1240</v>
      </c>
    </row>
    <row r="649" spans="1:15">
      <c r="A649" s="119"/>
      <c r="B649" s="331" t="s">
        <v>1207</v>
      </c>
      <c r="C649">
        <v>0</v>
      </c>
      <c r="D649" s="953">
        <v>0</v>
      </c>
      <c r="E649" s="953">
        <v>0</v>
      </c>
      <c r="F649" s="953">
        <v>0</v>
      </c>
      <c r="G649" s="953">
        <v>0</v>
      </c>
      <c r="H649" s="953">
        <v>0</v>
      </c>
      <c r="I649" s="1130">
        <v>910.48624128000006</v>
      </c>
      <c r="J649" s="1130">
        <v>910.48624128000006</v>
      </c>
      <c r="K649" s="1130">
        <v>910.48624128000006</v>
      </c>
      <c r="L649" s="1130">
        <v>910.48624128000006</v>
      </c>
      <c r="M649" s="1130">
        <v>910.48624128000006</v>
      </c>
      <c r="N649" s="1130">
        <v>910.48624128000006</v>
      </c>
      <c r="O649" s="1130">
        <v>910.48624128000006</v>
      </c>
    </row>
    <row r="650" spans="1:15">
      <c r="A650" s="119"/>
      <c r="B650" s="331" t="s">
        <v>1208</v>
      </c>
      <c r="C650">
        <v>0</v>
      </c>
      <c r="D650" s="953">
        <v>0</v>
      </c>
      <c r="E650" s="953">
        <v>0</v>
      </c>
      <c r="F650" s="953">
        <v>0</v>
      </c>
      <c r="G650" s="953">
        <v>0</v>
      </c>
      <c r="H650" s="953">
        <v>0</v>
      </c>
      <c r="I650" s="1130">
        <v>708.15596544000016</v>
      </c>
      <c r="J650" s="1130">
        <v>708.15596544000016</v>
      </c>
      <c r="K650" s="1130">
        <v>708.15596544000016</v>
      </c>
      <c r="L650" s="1130">
        <v>708.15596544000016</v>
      </c>
      <c r="M650" s="1130">
        <v>708.15596544000016</v>
      </c>
      <c r="N650" s="1130">
        <v>708.15596544000016</v>
      </c>
      <c r="O650" s="1130">
        <v>708.15596544000016</v>
      </c>
    </row>
    <row r="651" spans="1:15">
      <c r="A651" s="119"/>
      <c r="B651" s="331" t="s">
        <v>1209</v>
      </c>
      <c r="C651">
        <v>0</v>
      </c>
      <c r="D651" s="953">
        <v>0</v>
      </c>
      <c r="E651" s="953">
        <v>0</v>
      </c>
      <c r="F651" s="953">
        <v>0</v>
      </c>
      <c r="G651" s="953">
        <v>0</v>
      </c>
      <c r="H651" s="953">
        <v>0</v>
      </c>
      <c r="I651" s="953">
        <v>0</v>
      </c>
      <c r="J651" s="953">
        <v>0</v>
      </c>
      <c r="K651" s="953">
        <v>0</v>
      </c>
      <c r="L651" s="953">
        <v>0</v>
      </c>
      <c r="M651" s="953">
        <v>0</v>
      </c>
      <c r="N651" s="953">
        <v>0</v>
      </c>
      <c r="O651" s="953">
        <v>0</v>
      </c>
    </row>
    <row r="652" spans="1:15">
      <c r="A652" s="119"/>
      <c r="B652" s="331" t="s">
        <v>1210</v>
      </c>
      <c r="C652">
        <v>0</v>
      </c>
      <c r="D652" s="953">
        <v>0</v>
      </c>
      <c r="E652" s="953">
        <v>0</v>
      </c>
      <c r="F652" s="953">
        <v>0</v>
      </c>
      <c r="G652" s="953">
        <v>0</v>
      </c>
      <c r="H652" s="953">
        <v>0</v>
      </c>
      <c r="I652" s="953">
        <v>0</v>
      </c>
      <c r="J652" s="953">
        <v>0</v>
      </c>
      <c r="K652" s="953">
        <v>0</v>
      </c>
      <c r="L652" s="953">
        <v>0</v>
      </c>
      <c r="M652" s="953">
        <v>0</v>
      </c>
      <c r="N652" s="953">
        <v>0</v>
      </c>
      <c r="O652" s="953">
        <v>0</v>
      </c>
    </row>
    <row r="653" spans="1:15">
      <c r="A653" s="119"/>
      <c r="B653" s="331" t="s">
        <v>1211</v>
      </c>
      <c r="C653">
        <v>0</v>
      </c>
      <c r="D653" s="953">
        <v>0</v>
      </c>
      <c r="E653" s="953">
        <v>0</v>
      </c>
      <c r="F653" s="953">
        <v>0</v>
      </c>
      <c r="G653" s="953">
        <v>0</v>
      </c>
      <c r="H653" s="953">
        <v>0</v>
      </c>
      <c r="I653" s="953">
        <v>0</v>
      </c>
      <c r="J653" s="953">
        <v>0</v>
      </c>
      <c r="K653" s="953">
        <v>0</v>
      </c>
      <c r="L653" s="953">
        <v>0</v>
      </c>
      <c r="M653" s="953">
        <v>0</v>
      </c>
      <c r="N653" s="953">
        <v>0</v>
      </c>
      <c r="O653" s="953">
        <v>0</v>
      </c>
    </row>
    <row r="654" spans="1:15">
      <c r="A654" s="119"/>
      <c r="B654" s="331" t="s">
        <v>1212</v>
      </c>
      <c r="C654">
        <v>1062.2339481600002</v>
      </c>
      <c r="D654" s="956">
        <v>0</v>
      </c>
      <c r="E654" s="956">
        <v>0</v>
      </c>
      <c r="F654" s="956">
        <v>0</v>
      </c>
      <c r="G654" s="956">
        <v>0</v>
      </c>
      <c r="H654" s="956">
        <v>0</v>
      </c>
      <c r="I654" s="956">
        <v>0</v>
      </c>
      <c r="J654" s="956">
        <v>0</v>
      </c>
      <c r="K654" s="956">
        <v>0</v>
      </c>
      <c r="L654" s="956">
        <v>0</v>
      </c>
      <c r="M654" s="956">
        <v>0</v>
      </c>
      <c r="N654" s="956">
        <v>0</v>
      </c>
      <c r="O654" s="956">
        <v>0</v>
      </c>
    </row>
    <row r="655" spans="1:15">
      <c r="A655" s="119"/>
      <c r="B655" s="331" t="s">
        <v>1213</v>
      </c>
      <c r="C655">
        <v>1062.2339481600002</v>
      </c>
      <c r="D655" s="956">
        <v>0</v>
      </c>
      <c r="E655" s="956">
        <v>0</v>
      </c>
      <c r="F655" s="956">
        <v>0</v>
      </c>
      <c r="G655" s="956">
        <v>0</v>
      </c>
      <c r="H655" s="956">
        <v>0</v>
      </c>
      <c r="I655" s="956">
        <v>0</v>
      </c>
      <c r="J655" s="956">
        <v>0</v>
      </c>
      <c r="K655" s="956">
        <v>0</v>
      </c>
      <c r="L655" s="956">
        <v>0</v>
      </c>
      <c r="M655" s="956">
        <v>0</v>
      </c>
      <c r="N655" s="956">
        <v>0</v>
      </c>
      <c r="O655" s="956">
        <v>0</v>
      </c>
    </row>
    <row r="656" spans="1:15">
      <c r="A656" s="119"/>
      <c r="B656" s="331" t="s">
        <v>1214</v>
      </c>
      <c r="C656">
        <v>0</v>
      </c>
      <c r="D656" s="956">
        <v>1112.8165171200001</v>
      </c>
      <c r="E656" s="956">
        <v>1112.8165171200001</v>
      </c>
      <c r="F656" s="956">
        <v>1112.8165171200001</v>
      </c>
      <c r="G656" s="956">
        <v>1112.8165171200001</v>
      </c>
      <c r="H656" s="956">
        <v>1112.8165171200001</v>
      </c>
      <c r="I656" s="956">
        <v>1112.8165171200001</v>
      </c>
      <c r="J656" s="956">
        <v>1112.8165171200001</v>
      </c>
      <c r="K656" s="956">
        <v>1112.8165171200001</v>
      </c>
      <c r="L656" s="956">
        <v>1112.8165171200001</v>
      </c>
      <c r="M656" s="956">
        <v>1112.8165171200001</v>
      </c>
      <c r="N656" s="956">
        <v>1112.8165171200001</v>
      </c>
      <c r="O656" s="956">
        <v>1112.8165171200001</v>
      </c>
    </row>
    <row r="657" spans="1:15">
      <c r="A657" s="119"/>
      <c r="B657" s="331" t="s">
        <v>1215</v>
      </c>
      <c r="C657">
        <v>0</v>
      </c>
      <c r="D657" s="956">
        <v>1213.9816550400001</v>
      </c>
      <c r="E657" s="956">
        <v>1213.9816550400001</v>
      </c>
      <c r="F657" s="956">
        <v>1213.9816550400001</v>
      </c>
      <c r="G657" s="956">
        <v>1213.9816550400001</v>
      </c>
      <c r="H657" s="956">
        <v>1213.9816550400001</v>
      </c>
      <c r="I657" s="1130">
        <v>1240</v>
      </c>
      <c r="J657" s="1130">
        <v>1240</v>
      </c>
      <c r="K657" s="1130">
        <v>1240</v>
      </c>
      <c r="L657" s="1130">
        <v>1240</v>
      </c>
      <c r="M657" s="1130">
        <v>1240</v>
      </c>
      <c r="N657" s="1130">
        <v>1240</v>
      </c>
      <c r="O657" s="1130">
        <v>1240</v>
      </c>
    </row>
    <row r="658" spans="1:15">
      <c r="A658" s="119"/>
      <c r="B658" s="331" t="s">
        <v>1216</v>
      </c>
      <c r="C658">
        <v>0</v>
      </c>
      <c r="D658" s="956">
        <v>1213.9816550400001</v>
      </c>
      <c r="E658" s="956">
        <v>1213.9816550400001</v>
      </c>
      <c r="F658" s="956">
        <v>1213.9816550400001</v>
      </c>
      <c r="G658" s="956">
        <v>1213.9816550400001</v>
      </c>
      <c r="H658" s="956">
        <v>1213.9816550400001</v>
      </c>
      <c r="I658" s="1130">
        <v>1240</v>
      </c>
      <c r="J658" s="1130">
        <v>1240</v>
      </c>
      <c r="K658" s="1130">
        <v>1240</v>
      </c>
      <c r="L658" s="1130">
        <v>1240</v>
      </c>
      <c r="M658" s="1130">
        <v>1240</v>
      </c>
      <c r="N658" s="1130">
        <v>1240</v>
      </c>
      <c r="O658" s="1130">
        <v>1240</v>
      </c>
    </row>
    <row r="659" spans="1:15">
      <c r="A659" s="119"/>
      <c r="B659" s="331" t="s">
        <v>1217</v>
      </c>
      <c r="C659">
        <v>2641.5067139999996</v>
      </c>
      <c r="D659" s="956">
        <v>2145.7950175555925</v>
      </c>
      <c r="E659" s="956">
        <v>2145.7950175555925</v>
      </c>
      <c r="F659" s="956">
        <v>2145.7950175555925</v>
      </c>
      <c r="G659" s="956">
        <v>2145.7950175555925</v>
      </c>
      <c r="H659" s="956">
        <v>2145.7950175555925</v>
      </c>
      <c r="I659" s="956">
        <v>2145.7950175555925</v>
      </c>
      <c r="J659" s="956">
        <v>2145.7950175555925</v>
      </c>
      <c r="K659" s="956">
        <v>2145.7950175555925</v>
      </c>
      <c r="L659" s="956">
        <v>2145.7950175555925</v>
      </c>
      <c r="M659" s="956">
        <v>2145.7950175555925</v>
      </c>
      <c r="N659" s="956">
        <v>2145.7950175555925</v>
      </c>
      <c r="O659" s="956">
        <v>2145.7950175555925</v>
      </c>
    </row>
    <row r="660" spans="1:15">
      <c r="A660" s="119"/>
      <c r="B660" s="331" t="s">
        <v>1218</v>
      </c>
      <c r="C660">
        <v>2641.5067139999996</v>
      </c>
      <c r="D660" s="956">
        <v>2145.7950175555925</v>
      </c>
      <c r="E660" s="956">
        <v>2145.7950175555925</v>
      </c>
      <c r="F660" s="956">
        <v>2145.7950175555925</v>
      </c>
      <c r="G660" s="956">
        <v>2145.7950175555925</v>
      </c>
      <c r="H660" s="956">
        <v>2145.7950175555925</v>
      </c>
      <c r="I660" s="956">
        <v>2145.7950175555925</v>
      </c>
      <c r="J660" s="956">
        <v>2145.7950175555925</v>
      </c>
      <c r="K660" s="956">
        <v>2145.7950175555925</v>
      </c>
      <c r="L660" s="956">
        <v>2145.7950175555925</v>
      </c>
      <c r="M660" s="956">
        <v>2145.7950175555925</v>
      </c>
      <c r="N660" s="956">
        <v>2145.7950175555925</v>
      </c>
      <c r="O660" s="956">
        <v>2145.7950175555925</v>
      </c>
    </row>
    <row r="661" spans="1:15">
      <c r="A661" s="119"/>
      <c r="B661" s="331" t="s">
        <v>1219</v>
      </c>
      <c r="C661">
        <v>2933.982473222979</v>
      </c>
      <c r="D661" s="956">
        <v>3169.8080567999996</v>
      </c>
      <c r="E661" s="956">
        <v>3169.8080567999996</v>
      </c>
      <c r="F661" s="956">
        <v>3169.8080567999996</v>
      </c>
      <c r="G661" s="956">
        <v>3169.8080567999996</v>
      </c>
      <c r="H661" s="956">
        <v>3169.8080567999996</v>
      </c>
      <c r="I661" s="956">
        <v>3169.8080567999996</v>
      </c>
      <c r="J661" s="956">
        <v>3169.8080567999996</v>
      </c>
      <c r="K661" s="956">
        <v>3169.8080567999996</v>
      </c>
      <c r="L661" s="956">
        <v>3169.8080567999996</v>
      </c>
      <c r="M661" s="956">
        <v>3169.8080567999996</v>
      </c>
      <c r="N661" s="956">
        <v>3169.8080567999996</v>
      </c>
      <c r="O661" s="956">
        <v>3169.8080567999996</v>
      </c>
    </row>
    <row r="662" spans="1:15">
      <c r="A662" s="119"/>
      <c r="B662" s="331" t="s">
        <v>1220</v>
      </c>
      <c r="C662">
        <v>3025.3012048192768</v>
      </c>
      <c r="D662" s="956">
        <v>3347.5841510371383</v>
      </c>
      <c r="E662" s="956">
        <v>3347.5841510371383</v>
      </c>
      <c r="F662" s="956">
        <v>3347.5841510371383</v>
      </c>
      <c r="G662" s="956">
        <v>3347.5841510371383</v>
      </c>
      <c r="H662" s="956">
        <v>3347.5841510371383</v>
      </c>
      <c r="I662" s="956">
        <v>3347.5841510371383</v>
      </c>
      <c r="J662" s="956">
        <v>3347.5841510371383</v>
      </c>
      <c r="K662" s="956">
        <v>3347.5841510371383</v>
      </c>
      <c r="L662" s="956">
        <v>3347.5841510371383</v>
      </c>
      <c r="M662" s="956">
        <v>3347.5841510371383</v>
      </c>
      <c r="N662" s="956">
        <v>3347.5841510371383</v>
      </c>
      <c r="O662" s="956">
        <v>3347.5841510371383</v>
      </c>
    </row>
    <row r="663" spans="1:15">
      <c r="A663" s="119"/>
      <c r="B663" s="331" t="s">
        <v>1221</v>
      </c>
      <c r="C663">
        <v>4033.7349397590356</v>
      </c>
      <c r="D663" s="956">
        <v>4226.4107423999994</v>
      </c>
      <c r="E663" s="956">
        <v>4226.4107423999994</v>
      </c>
      <c r="F663" s="956">
        <v>4226.4107423999994</v>
      </c>
      <c r="G663" s="956">
        <v>4226.4107423999994</v>
      </c>
      <c r="H663" s="956">
        <v>4226.4107423999994</v>
      </c>
      <c r="I663" s="956">
        <v>4226.4107423999994</v>
      </c>
      <c r="J663" s="956">
        <v>4226.4107423999994</v>
      </c>
      <c r="K663" s="956">
        <v>4226.4107423999994</v>
      </c>
      <c r="L663" s="956">
        <v>4226.4107423999994</v>
      </c>
      <c r="M663" s="956">
        <v>4226.4107423999994</v>
      </c>
      <c r="N663" s="956">
        <v>4226.4107423999994</v>
      </c>
      <c r="O663" s="956">
        <v>4226.4107423999994</v>
      </c>
    </row>
    <row r="664" spans="1:15">
      <c r="A664" s="119"/>
      <c r="B664" s="331" t="s">
        <v>1222</v>
      </c>
      <c r="C664">
        <v>5042.1686746987953</v>
      </c>
      <c r="D664" s="956">
        <v>5487.742303306728</v>
      </c>
      <c r="E664" s="956">
        <v>5487.742303306728</v>
      </c>
      <c r="F664" s="956">
        <v>5487.742303306728</v>
      </c>
      <c r="G664" s="956">
        <v>5487.742303306728</v>
      </c>
      <c r="H664" s="956">
        <v>5487.742303306728</v>
      </c>
      <c r="I664" s="956">
        <v>5487.742303306728</v>
      </c>
      <c r="J664" s="956">
        <v>5487.742303306728</v>
      </c>
      <c r="K664" s="956">
        <v>5487.742303306728</v>
      </c>
      <c r="L664" s="956">
        <v>5487.742303306728</v>
      </c>
      <c r="M664" s="956">
        <v>5487.742303306728</v>
      </c>
      <c r="N664" s="956">
        <v>5487.742303306728</v>
      </c>
      <c r="O664" s="956">
        <v>5487.742303306728</v>
      </c>
    </row>
    <row r="665" spans="1:15">
      <c r="A665" s="119"/>
      <c r="B665" s="331" t="s">
        <v>1223</v>
      </c>
      <c r="C665">
        <v>5042.1686746987953</v>
      </c>
      <c r="D665" s="956">
        <v>5487.742303306728</v>
      </c>
      <c r="E665" s="956">
        <v>5487.742303306728</v>
      </c>
      <c r="F665" s="956">
        <v>5487.742303306728</v>
      </c>
      <c r="G665" s="956">
        <v>5487.742303306728</v>
      </c>
      <c r="H665" s="956">
        <v>5487.742303306728</v>
      </c>
      <c r="I665" s="956">
        <v>5487.742303306728</v>
      </c>
      <c r="J665" s="956">
        <v>5487.742303306728</v>
      </c>
      <c r="K665" s="956">
        <v>5487.742303306728</v>
      </c>
      <c r="L665" s="956">
        <v>5487.742303306728</v>
      </c>
      <c r="M665" s="956">
        <v>5487.742303306728</v>
      </c>
      <c r="N665" s="956">
        <v>5487.742303306728</v>
      </c>
      <c r="O665" s="956">
        <v>5487.742303306728</v>
      </c>
    </row>
    <row r="666" spans="1:15">
      <c r="A666" s="119"/>
      <c r="B666" s="331" t="s">
        <v>1224</v>
      </c>
      <c r="C666">
        <v>6244.974093264248</v>
      </c>
      <c r="D666" s="956">
        <v>5487.742303306728</v>
      </c>
      <c r="E666" s="956">
        <v>5487.742303306728</v>
      </c>
      <c r="F666" s="956">
        <v>5487.742303306728</v>
      </c>
      <c r="G666" s="956">
        <v>5487.742303306728</v>
      </c>
      <c r="H666" s="956">
        <v>5487.742303306728</v>
      </c>
      <c r="I666" s="956">
        <v>5487.742303306728</v>
      </c>
      <c r="J666" s="956">
        <v>5487.742303306728</v>
      </c>
      <c r="K666" s="956">
        <v>5487.742303306728</v>
      </c>
      <c r="L666" s="956">
        <v>5487.742303306728</v>
      </c>
      <c r="M666" s="956">
        <v>5487.742303306728</v>
      </c>
      <c r="N666" s="956">
        <v>5487.742303306728</v>
      </c>
      <c r="O666" s="956">
        <v>5487.742303306728</v>
      </c>
    </row>
    <row r="667" spans="1:15">
      <c r="A667" s="119"/>
      <c r="B667" s="331" t="s">
        <v>1225</v>
      </c>
      <c r="C667">
        <v>6244.974093264248</v>
      </c>
      <c r="D667" s="956">
        <v>5283.0134279999993</v>
      </c>
      <c r="E667" s="956">
        <v>5283.0134279999993</v>
      </c>
      <c r="F667" s="956">
        <v>5283.0134279999993</v>
      </c>
      <c r="G667" s="956">
        <v>5283.0134279999993</v>
      </c>
      <c r="H667" s="956">
        <v>5283.0134279999993</v>
      </c>
      <c r="I667" s="956">
        <v>5283.0134279999993</v>
      </c>
      <c r="J667" s="956">
        <v>5283.0134279999993</v>
      </c>
      <c r="K667" s="956">
        <v>5283.0134279999993</v>
      </c>
      <c r="L667" s="956">
        <v>5283.0134279999993</v>
      </c>
      <c r="M667" s="956">
        <v>5283.0134279999993</v>
      </c>
      <c r="N667" s="956">
        <v>5283.0134279999993</v>
      </c>
      <c r="O667" s="956">
        <v>5283.0134279999993</v>
      </c>
    </row>
    <row r="668" spans="1:15">
      <c r="A668" s="119"/>
      <c r="B668" s="331" t="s">
        <v>1226</v>
      </c>
      <c r="C668">
        <v>5129.2479108635098</v>
      </c>
      <c r="D668" s="956">
        <v>4334.8616106333075</v>
      </c>
      <c r="E668" s="956">
        <v>4334.8616106333075</v>
      </c>
      <c r="F668" s="956">
        <v>4334.8616106333075</v>
      </c>
      <c r="G668" s="956">
        <v>4334.8616106333075</v>
      </c>
      <c r="H668" s="956">
        <v>4334.8616106333075</v>
      </c>
      <c r="I668" s="956">
        <v>4334.8616106333075</v>
      </c>
      <c r="J668" s="956">
        <v>4334.8616106333075</v>
      </c>
      <c r="K668" s="956">
        <v>4334.8616106333075</v>
      </c>
      <c r="L668" s="956">
        <v>4334.8616106333075</v>
      </c>
      <c r="M668" s="956">
        <v>4334.8616106333075</v>
      </c>
      <c r="N668" s="956">
        <v>4334.8616106333075</v>
      </c>
      <c r="O668" s="956">
        <v>4334.8616106333075</v>
      </c>
    </row>
    <row r="669" spans="1:15">
      <c r="A669" s="119"/>
      <c r="B669" s="331" t="s">
        <v>1227</v>
      </c>
      <c r="C669">
        <v>3025.3012048192768</v>
      </c>
      <c r="D669" s="956">
        <v>3347.5841510371383</v>
      </c>
      <c r="E669" s="956">
        <v>3347.5841510371383</v>
      </c>
      <c r="F669" s="956">
        <v>3347.5841510371383</v>
      </c>
      <c r="G669" s="956">
        <v>3347.5841510371383</v>
      </c>
      <c r="H669" s="956">
        <v>3347.5841510371383</v>
      </c>
      <c r="I669" s="956">
        <v>3347.5841510371383</v>
      </c>
      <c r="J669" s="956">
        <v>3347.5841510371383</v>
      </c>
      <c r="K669" s="956">
        <v>3347.5841510371383</v>
      </c>
      <c r="L669" s="956">
        <v>3347.5841510371383</v>
      </c>
      <c r="M669" s="956">
        <v>3347.5841510371383</v>
      </c>
      <c r="N669" s="956">
        <v>3347.5841510371383</v>
      </c>
      <c r="O669" s="956">
        <v>3347.5841510371383</v>
      </c>
    </row>
    <row r="670" spans="1:15">
      <c r="A670" s="119"/>
      <c r="B670" s="331" t="s">
        <v>1228</v>
      </c>
      <c r="C670">
        <v>3025.3012048192768</v>
      </c>
      <c r="D670" s="956">
        <v>3347.5841510371383</v>
      </c>
      <c r="E670" s="956">
        <v>3347.5841510371383</v>
      </c>
      <c r="F670" s="956">
        <v>3347.5841510371383</v>
      </c>
      <c r="G670" s="956">
        <v>3347.5841510371383</v>
      </c>
      <c r="H670" s="956">
        <v>3347.5841510371383</v>
      </c>
      <c r="I670" s="956">
        <v>3347.5841510371383</v>
      </c>
      <c r="J670" s="956">
        <v>3347.5841510371383</v>
      </c>
      <c r="K670" s="956">
        <v>3347.5841510371383</v>
      </c>
      <c r="L670" s="956">
        <v>3347.5841510371383</v>
      </c>
      <c r="M670" s="956">
        <v>3347.5841510371383</v>
      </c>
      <c r="N670" s="956">
        <v>3347.5841510371383</v>
      </c>
      <c r="O670" s="956">
        <v>3347.5841510371383</v>
      </c>
    </row>
    <row r="671" spans="1:15">
      <c r="A671" s="119"/>
      <c r="B671" s="331" t="s">
        <v>1229</v>
      </c>
      <c r="C671">
        <v>2814.1358365543897</v>
      </c>
      <c r="D671" s="956">
        <v>2157.5488172725832</v>
      </c>
      <c r="E671" s="956">
        <v>2157.5488172725832</v>
      </c>
      <c r="F671" s="956">
        <v>2157.5488172725832</v>
      </c>
      <c r="G671" s="956">
        <v>2157.5488172725832</v>
      </c>
      <c r="H671" s="956">
        <v>2157.5488172725832</v>
      </c>
      <c r="I671" s="1130">
        <v>0</v>
      </c>
      <c r="J671" s="1130">
        <v>0</v>
      </c>
      <c r="K671" s="1130">
        <v>0</v>
      </c>
      <c r="L671" s="1130">
        <v>0</v>
      </c>
      <c r="M671" s="1130">
        <v>0</v>
      </c>
      <c r="N671" s="1130">
        <v>0</v>
      </c>
      <c r="O671" s="1130">
        <v>0</v>
      </c>
    </row>
    <row r="672" spans="1:15">
      <c r="A672" s="119"/>
      <c r="B672" s="331" t="s">
        <v>1230</v>
      </c>
      <c r="C672">
        <v>2814.1358365543897</v>
      </c>
      <c r="D672" s="956">
        <v>2157.5488172725832</v>
      </c>
      <c r="E672" s="956">
        <v>2157.5488172725832</v>
      </c>
      <c r="F672" s="956">
        <v>2157.5488172725832</v>
      </c>
      <c r="G672" s="956">
        <v>2157.5488172725832</v>
      </c>
      <c r="H672" s="956">
        <v>2157.5488172725832</v>
      </c>
      <c r="I672" s="956">
        <v>2157.5488172725832</v>
      </c>
      <c r="J672" s="956">
        <v>2157.5488172725832</v>
      </c>
      <c r="K672" s="956">
        <v>2157.5488172725832</v>
      </c>
      <c r="L672" s="956">
        <v>2157.5488172725832</v>
      </c>
      <c r="M672" s="956">
        <v>2157.5488172725832</v>
      </c>
      <c r="N672" s="956">
        <v>2157.5488172725832</v>
      </c>
      <c r="O672" s="956">
        <v>2157.5488172725832</v>
      </c>
    </row>
    <row r="673" spans="1:15">
      <c r="A673" s="119"/>
      <c r="B673" s="331" t="s">
        <v>1231</v>
      </c>
      <c r="C673">
        <v>2933.1798561151081</v>
      </c>
      <c r="D673" s="956">
        <v>3308.0081135902637</v>
      </c>
      <c r="E673" s="956">
        <v>3308.0081135902637</v>
      </c>
      <c r="F673" s="956">
        <v>3308.0081135902637</v>
      </c>
      <c r="G673" s="956">
        <v>3308.0081135902637</v>
      </c>
      <c r="H673" s="956">
        <v>3308.0081135902637</v>
      </c>
      <c r="I673" s="956">
        <v>3308.0081135902637</v>
      </c>
      <c r="J673" s="956">
        <v>3308.0081135902637</v>
      </c>
      <c r="K673" s="956">
        <v>3308.0081135902637</v>
      </c>
      <c r="L673" s="956">
        <v>3308.0081135902637</v>
      </c>
      <c r="M673" s="956">
        <v>3308.0081135902637</v>
      </c>
      <c r="N673" s="956">
        <v>3308.0081135902637</v>
      </c>
      <c r="O673" s="956">
        <v>3308.0081135902637</v>
      </c>
    </row>
    <row r="674" spans="1:15">
      <c r="A674" s="119"/>
      <c r="B674" s="331" t="s">
        <v>1232</v>
      </c>
      <c r="C674">
        <v>4032.7596439169138</v>
      </c>
      <c r="D674" s="956">
        <v>3361.1871393239903</v>
      </c>
      <c r="E674" s="956">
        <v>3361.1871393239903</v>
      </c>
      <c r="F674" s="956">
        <v>3361.1871393239903</v>
      </c>
      <c r="G674" s="956">
        <v>3361.1871393239903</v>
      </c>
      <c r="H674" s="956">
        <v>3361.1871393239903</v>
      </c>
      <c r="I674" s="956">
        <v>3361.1871393239903</v>
      </c>
      <c r="J674" s="956">
        <v>3361.1871393239903</v>
      </c>
      <c r="K674" s="956">
        <v>3361.1871393239903</v>
      </c>
      <c r="L674" s="956">
        <v>3361.1871393239903</v>
      </c>
      <c r="M674" s="956">
        <v>3361.1871393239903</v>
      </c>
      <c r="N674" s="956">
        <v>3361.1871393239903</v>
      </c>
      <c r="O674" s="956">
        <v>3361.1871393239903</v>
      </c>
    </row>
    <row r="675" spans="1:15">
      <c r="A675" s="119"/>
      <c r="B675" s="331" t="s">
        <v>1233</v>
      </c>
      <c r="C675">
        <v>4032.7596439169138</v>
      </c>
      <c r="D675" s="956">
        <v>4410.6774847870183</v>
      </c>
      <c r="E675" s="956">
        <v>4410.6774847870183</v>
      </c>
      <c r="F675" s="956">
        <v>4410.6774847870183</v>
      </c>
      <c r="G675" s="956">
        <v>4410.6774847870183</v>
      </c>
      <c r="H675" s="956">
        <v>4410.6774847870183</v>
      </c>
      <c r="I675" s="956">
        <v>4410.6774847870183</v>
      </c>
      <c r="J675" s="956">
        <v>4410.6774847870183</v>
      </c>
      <c r="K675" s="956">
        <v>4410.6774847870183</v>
      </c>
      <c r="L675" s="956">
        <v>4410.6774847870183</v>
      </c>
      <c r="M675" s="956">
        <v>4410.6774847870183</v>
      </c>
      <c r="N675" s="956">
        <v>4410.6774847870183</v>
      </c>
      <c r="O675" s="956">
        <v>4410.6774847870183</v>
      </c>
    </row>
    <row r="676" spans="1:15">
      <c r="A676" s="119"/>
      <c r="B676" s="331" t="s">
        <v>1234</v>
      </c>
      <c r="C676">
        <v>5955.3071424000009</v>
      </c>
      <c r="D676" s="956">
        <v>6616.0162271805275</v>
      </c>
      <c r="E676" s="956">
        <v>6616.0162271805275</v>
      </c>
      <c r="F676" s="956">
        <v>6616.0162271805275</v>
      </c>
      <c r="G676" s="956">
        <v>6616.0162271805275</v>
      </c>
      <c r="H676" s="956">
        <v>6616.0162271805275</v>
      </c>
      <c r="I676" s="1130">
        <v>5317.0579029733954</v>
      </c>
      <c r="J676" s="1130">
        <v>5317.0579029733954</v>
      </c>
      <c r="K676" s="1130">
        <v>5317.0579029733954</v>
      </c>
      <c r="L676" s="1130">
        <v>5317.0579029733954</v>
      </c>
      <c r="M676" s="1130">
        <v>5317.0579029733954</v>
      </c>
      <c r="N676" s="1130">
        <v>5317.0579029733954</v>
      </c>
      <c r="O676" s="1130">
        <v>5317.0579029733954</v>
      </c>
    </row>
    <row r="677" spans="1:15">
      <c r="A677" s="119"/>
      <c r="B677" s="331" t="s">
        <v>1235</v>
      </c>
      <c r="C677">
        <v>5955.3071424000009</v>
      </c>
      <c r="D677" s="956">
        <v>6616.0162271805275</v>
      </c>
      <c r="E677" s="956">
        <v>6616.0162271805275</v>
      </c>
      <c r="F677" s="956">
        <v>6616.0162271805275</v>
      </c>
      <c r="G677" s="956">
        <v>6616.0162271805275</v>
      </c>
      <c r="H677" s="956">
        <v>6616.0162271805275</v>
      </c>
      <c r="I677" s="1130">
        <v>10304.431339511373</v>
      </c>
      <c r="J677" s="1130">
        <v>10304.431339511373</v>
      </c>
      <c r="K677" s="1130">
        <v>10304.431339511373</v>
      </c>
      <c r="L677" s="1130">
        <v>10304.431339511373</v>
      </c>
      <c r="M677" s="1130">
        <v>10304.431339511373</v>
      </c>
      <c r="N677" s="1130">
        <v>10304.431339511373</v>
      </c>
      <c r="O677" s="1130">
        <v>10304.431339511373</v>
      </c>
    </row>
    <row r="678" spans="1:15">
      <c r="A678" s="119"/>
      <c r="B678" s="331" t="s">
        <v>1236</v>
      </c>
      <c r="C678">
        <v>7146.3685708800003</v>
      </c>
      <c r="D678" s="956">
        <v>6616.0162271805275</v>
      </c>
      <c r="E678" s="956">
        <v>6616.0162271805275</v>
      </c>
      <c r="F678" s="956">
        <v>6616.0162271805275</v>
      </c>
      <c r="G678" s="956">
        <v>6616.0162271805275</v>
      </c>
      <c r="H678" s="956">
        <v>6616.0162271805275</v>
      </c>
      <c r="I678" s="1130">
        <v>9072.5524147282777</v>
      </c>
      <c r="J678" s="1130">
        <v>9072.5524147282777</v>
      </c>
      <c r="K678" s="1130">
        <v>9072.5524147282777</v>
      </c>
      <c r="L678" s="1130">
        <v>9072.5524147282777</v>
      </c>
      <c r="M678" s="1130">
        <v>9072.5524147282777</v>
      </c>
      <c r="N678" s="1130">
        <v>9072.5524147282777</v>
      </c>
      <c r="O678" s="1130">
        <v>9072.5524147282777</v>
      </c>
    </row>
    <row r="679" spans="1:15">
      <c r="A679" s="119"/>
      <c r="B679" s="331" t="s">
        <v>1237</v>
      </c>
      <c r="C679">
        <v>7146.3685708800003</v>
      </c>
      <c r="D679" s="956">
        <v>5513.3468559837729</v>
      </c>
      <c r="E679" s="956">
        <v>5513.3468559837729</v>
      </c>
      <c r="F679" s="956">
        <v>5513.3468559837729</v>
      </c>
      <c r="G679" s="956">
        <v>5513.3468559837729</v>
      </c>
      <c r="H679" s="956">
        <v>5513.3468559837729</v>
      </c>
      <c r="I679" s="1130">
        <v>6740.4339739615634</v>
      </c>
      <c r="J679" s="1130">
        <v>6740.4339739615634</v>
      </c>
      <c r="K679" s="1130">
        <v>6740.4339739615634</v>
      </c>
      <c r="L679" s="1130">
        <v>6740.4339739615634</v>
      </c>
      <c r="M679" s="1130">
        <v>6740.4339739615634</v>
      </c>
      <c r="N679" s="1130">
        <v>6740.4339739615634</v>
      </c>
      <c r="O679" s="1130">
        <v>6740.4339739615634</v>
      </c>
    </row>
    <row r="680" spans="1:15">
      <c r="A680" s="119"/>
      <c r="B680" s="331" t="s">
        <v>1238</v>
      </c>
      <c r="C680">
        <v>6153.7211855104279</v>
      </c>
      <c r="D680" s="956">
        <v>5359.7764281600003</v>
      </c>
      <c r="E680" s="956">
        <v>5359.7764281600003</v>
      </c>
      <c r="F680" s="956">
        <v>5359.7764281600003</v>
      </c>
      <c r="G680" s="956">
        <v>5359.7764281600003</v>
      </c>
      <c r="H680" s="956">
        <v>5359.7764281600003</v>
      </c>
      <c r="I680" s="1130">
        <v>6740.4339739615634</v>
      </c>
      <c r="J680" s="1130">
        <v>6740.4339739615634</v>
      </c>
      <c r="K680" s="1130">
        <v>6740.4339739615634</v>
      </c>
      <c r="L680" s="1130">
        <v>6740.4339739615634</v>
      </c>
      <c r="M680" s="1130">
        <v>6740.4339739615634</v>
      </c>
      <c r="N680" s="1130">
        <v>6740.4339739615634</v>
      </c>
      <c r="O680" s="1130">
        <v>6740.4339739615634</v>
      </c>
    </row>
    <row r="681" spans="1:15">
      <c r="A681" s="119"/>
      <c r="B681" s="331" t="s">
        <v>1239</v>
      </c>
      <c r="C681">
        <v>4032.7596439169138</v>
      </c>
      <c r="D681" s="956">
        <v>3361.1871393239903</v>
      </c>
      <c r="E681" s="956">
        <v>3361.1871393239903</v>
      </c>
      <c r="F681" s="956">
        <v>3361.1871393239903</v>
      </c>
      <c r="G681" s="956">
        <v>3361.1871393239903</v>
      </c>
      <c r="H681" s="956">
        <v>3361.1871393239903</v>
      </c>
      <c r="I681" s="956">
        <v>3361.1871393239903</v>
      </c>
      <c r="J681" s="956">
        <v>3361.1871393239903</v>
      </c>
      <c r="K681" s="956">
        <v>3361.1871393239903</v>
      </c>
      <c r="L681" s="956">
        <v>3361.1871393239903</v>
      </c>
      <c r="M681" s="956">
        <v>3361.1871393239903</v>
      </c>
      <c r="N681" s="956">
        <v>3361.1871393239903</v>
      </c>
      <c r="O681" s="956">
        <v>3361.1871393239903</v>
      </c>
    </row>
    <row r="682" spans="1:15">
      <c r="A682" s="119"/>
      <c r="B682" s="331" t="s">
        <v>1240</v>
      </c>
      <c r="C682">
        <v>4032.7596439169138</v>
      </c>
      <c r="D682" s="956">
        <v>3361.1871393239903</v>
      </c>
      <c r="E682" s="956">
        <v>3361.1871393239903</v>
      </c>
      <c r="F682" s="956">
        <v>3361.1871393239903</v>
      </c>
      <c r="G682" s="956">
        <v>3361.1871393239903</v>
      </c>
      <c r="H682" s="956">
        <v>3361.1871393239903</v>
      </c>
      <c r="I682" s="1130">
        <v>0</v>
      </c>
      <c r="J682" s="1130">
        <v>0</v>
      </c>
      <c r="K682" s="1130">
        <v>0</v>
      </c>
      <c r="L682" s="1130">
        <v>0</v>
      </c>
      <c r="M682" s="1130">
        <v>0</v>
      </c>
      <c r="N682" s="1130">
        <v>0</v>
      </c>
      <c r="O682" s="1130">
        <v>0</v>
      </c>
    </row>
    <row r="683" spans="1:15">
      <c r="A683" s="119"/>
      <c r="B683" s="331" t="s">
        <v>1241</v>
      </c>
      <c r="C683">
        <v>2854.8212351029251</v>
      </c>
      <c r="D683" s="956">
        <v>3243.7423061140748</v>
      </c>
      <c r="E683" s="956">
        <v>3243.7423061140748</v>
      </c>
      <c r="F683" s="956">
        <v>3243.7423061140748</v>
      </c>
      <c r="G683" s="956">
        <v>3243.7423061140748</v>
      </c>
      <c r="H683" s="956">
        <v>3243.7423061140748</v>
      </c>
      <c r="I683" s="956">
        <v>3243.7423061140748</v>
      </c>
      <c r="J683" s="956">
        <v>3243.7423061140748</v>
      </c>
      <c r="K683" s="956">
        <v>3243.7423061140748</v>
      </c>
      <c r="L683" s="956">
        <v>3243.7423061140748</v>
      </c>
      <c r="M683" s="956">
        <v>3243.7423061140748</v>
      </c>
      <c r="N683" s="956">
        <v>3243.7423061140748</v>
      </c>
      <c r="O683" s="956">
        <v>3243.7423061140748</v>
      </c>
    </row>
    <row r="684" spans="1:15">
      <c r="A684" s="119"/>
      <c r="B684" s="331" t="s">
        <v>1242</v>
      </c>
      <c r="C684">
        <v>2854.8212351029251</v>
      </c>
      <c r="D684" s="956">
        <v>3243.7423061140748</v>
      </c>
      <c r="E684" s="956">
        <v>3243.7423061140748</v>
      </c>
      <c r="F684" s="956">
        <v>3243.7423061140748</v>
      </c>
      <c r="G684" s="956">
        <v>3243.7423061140748</v>
      </c>
      <c r="H684" s="956">
        <v>3243.7423061140748</v>
      </c>
      <c r="I684" s="956">
        <v>3243.7423061140748</v>
      </c>
      <c r="J684" s="956">
        <v>3243.7423061140748</v>
      </c>
      <c r="K684" s="956">
        <v>3243.7423061140748</v>
      </c>
      <c r="L684" s="956">
        <v>3243.7423061140748</v>
      </c>
      <c r="M684" s="956">
        <v>3243.7423061140748</v>
      </c>
      <c r="N684" s="956">
        <v>3243.7423061140748</v>
      </c>
      <c r="O684" s="956">
        <v>3243.7423061140748</v>
      </c>
    </row>
    <row r="685" spans="1:15">
      <c r="A685" s="119"/>
      <c r="B685" s="331" t="s">
        <v>1243</v>
      </c>
      <c r="C685">
        <v>3959.924859110833</v>
      </c>
      <c r="D685" s="956">
        <v>3314.4654088050315</v>
      </c>
      <c r="E685" s="956">
        <v>3314.4654088050315</v>
      </c>
      <c r="F685" s="956">
        <v>3314.4654088050315</v>
      </c>
      <c r="G685" s="956">
        <v>3314.4654088050315</v>
      </c>
      <c r="H685" s="956">
        <v>3314.4654088050315</v>
      </c>
      <c r="I685" s="956">
        <v>3314.4654088050315</v>
      </c>
      <c r="J685" s="956">
        <v>3314.4654088050315</v>
      </c>
      <c r="K685" s="956">
        <v>3314.4654088050315</v>
      </c>
      <c r="L685" s="956">
        <v>3314.4654088050315</v>
      </c>
      <c r="M685" s="956">
        <v>3314.4654088050315</v>
      </c>
      <c r="N685" s="956">
        <v>3314.4654088050315</v>
      </c>
      <c r="O685" s="956">
        <v>3314.4654088050315</v>
      </c>
    </row>
    <row r="686" spans="1:15">
      <c r="A686" s="119"/>
      <c r="B686" s="331" t="s">
        <v>1244</v>
      </c>
      <c r="C686">
        <v>4077.3694390715668</v>
      </c>
      <c r="D686" s="956">
        <v>4489.1998783084882</v>
      </c>
      <c r="E686" s="956">
        <v>4489.1998783084882</v>
      </c>
      <c r="F686" s="956">
        <v>4489.1998783084882</v>
      </c>
      <c r="G686" s="956">
        <v>4489.1998783084882</v>
      </c>
      <c r="H686" s="956">
        <v>4489.1998783084882</v>
      </c>
      <c r="I686" s="956">
        <v>4489.1998783084882</v>
      </c>
      <c r="J686" s="956">
        <v>4489.1998783084882</v>
      </c>
      <c r="K686" s="956">
        <v>4489.1998783084882</v>
      </c>
      <c r="L686" s="956">
        <v>4489.1998783084882</v>
      </c>
      <c r="M686" s="956">
        <v>4489.1998783084882</v>
      </c>
      <c r="N686" s="956">
        <v>4489.1998783084882</v>
      </c>
      <c r="O686" s="956">
        <v>4489.1998783084882</v>
      </c>
    </row>
    <row r="687" spans="1:15">
      <c r="A687" s="119"/>
      <c r="B687" s="331" t="s">
        <v>1245</v>
      </c>
      <c r="C687">
        <v>5096.7117988394575</v>
      </c>
      <c r="D687" s="956">
        <v>5374.3979519999993</v>
      </c>
      <c r="E687" s="956">
        <v>5374.3979519999993</v>
      </c>
      <c r="F687" s="956">
        <v>5374.3979519999993</v>
      </c>
      <c r="G687" s="956">
        <v>5374.3979519999993</v>
      </c>
      <c r="H687" s="956">
        <v>5374.3979519999993</v>
      </c>
      <c r="I687" s="956">
        <v>5374.3979519999993</v>
      </c>
      <c r="J687" s="956">
        <v>5374.3979519999993</v>
      </c>
      <c r="K687" s="956">
        <v>5374.3979519999993</v>
      </c>
      <c r="L687" s="956">
        <v>5374.3979519999993</v>
      </c>
      <c r="M687" s="956">
        <v>5374.3979519999993</v>
      </c>
      <c r="N687" s="956">
        <v>5374.3979519999993</v>
      </c>
      <c r="O687" s="956">
        <v>5374.3979519999993</v>
      </c>
    </row>
    <row r="688" spans="1:15">
      <c r="A688" s="119"/>
      <c r="B688" s="331" t="s">
        <v>1246</v>
      </c>
      <c r="C688">
        <v>6116.0541586073496</v>
      </c>
      <c r="D688" s="956">
        <v>7733.752620545074</v>
      </c>
      <c r="E688" s="956">
        <v>7733.752620545074</v>
      </c>
      <c r="F688" s="956">
        <v>7733.752620545074</v>
      </c>
      <c r="G688" s="956">
        <v>7733.752620545074</v>
      </c>
      <c r="H688" s="956">
        <v>7733.752620545074</v>
      </c>
      <c r="I688" s="956">
        <v>7733.752620545074</v>
      </c>
      <c r="J688" s="956">
        <v>7733.752620545074</v>
      </c>
      <c r="K688" s="956">
        <v>7733.752620545074</v>
      </c>
      <c r="L688" s="956">
        <v>7733.752620545074</v>
      </c>
      <c r="M688" s="956">
        <v>7733.752620545074</v>
      </c>
      <c r="N688" s="956">
        <v>7733.752620545074</v>
      </c>
      <c r="O688" s="956">
        <v>7733.752620545074</v>
      </c>
    </row>
    <row r="689" spans="1:15">
      <c r="A689" s="119"/>
      <c r="B689" s="331" t="s">
        <v>1247</v>
      </c>
      <c r="C689">
        <v>6116.0541586073496</v>
      </c>
      <c r="D689" s="956">
        <v>7733.752620545074</v>
      </c>
      <c r="E689" s="956">
        <v>7733.752620545074</v>
      </c>
      <c r="F689" s="956">
        <v>7733.752620545074</v>
      </c>
      <c r="G689" s="956">
        <v>7733.752620545074</v>
      </c>
      <c r="H689" s="956">
        <v>7733.752620545074</v>
      </c>
      <c r="I689" s="956">
        <v>7733.752620545074</v>
      </c>
      <c r="J689" s="956">
        <v>7733.752620545074</v>
      </c>
      <c r="K689" s="956">
        <v>7733.752620545074</v>
      </c>
      <c r="L689" s="956">
        <v>7733.752620545074</v>
      </c>
      <c r="M689" s="956">
        <v>7733.752620545074</v>
      </c>
      <c r="N689" s="956">
        <v>7733.752620545074</v>
      </c>
      <c r="O689" s="956">
        <v>7733.752620545074</v>
      </c>
    </row>
    <row r="690" spans="1:15">
      <c r="A690" s="119"/>
      <c r="B690" s="331" t="s">
        <v>1248</v>
      </c>
      <c r="C690">
        <v>7353.4883720930229</v>
      </c>
      <c r="D690" s="956">
        <v>7733.752620545074</v>
      </c>
      <c r="E690" s="956">
        <v>7733.752620545074</v>
      </c>
      <c r="F690" s="956">
        <v>7733.752620545074</v>
      </c>
      <c r="G690" s="956">
        <v>7733.752620545074</v>
      </c>
      <c r="H690" s="956">
        <v>7733.752620545074</v>
      </c>
      <c r="I690" s="956">
        <v>7733.752620545074</v>
      </c>
      <c r="J690" s="956">
        <v>7733.752620545074</v>
      </c>
      <c r="K690" s="956">
        <v>7733.752620545074</v>
      </c>
      <c r="L690" s="956">
        <v>7733.752620545074</v>
      </c>
      <c r="M690" s="956">
        <v>7733.752620545074</v>
      </c>
      <c r="N690" s="956">
        <v>7733.752620545074</v>
      </c>
      <c r="O690" s="956">
        <v>7733.752620545074</v>
      </c>
    </row>
    <row r="691" spans="1:15">
      <c r="A691" s="119"/>
      <c r="B691" s="331" t="s">
        <v>1249</v>
      </c>
      <c r="C691">
        <v>7353.4883720930229</v>
      </c>
      <c r="D691" s="956">
        <v>6628.9308176100621</v>
      </c>
      <c r="E691" s="956">
        <v>6628.9308176100621</v>
      </c>
      <c r="F691" s="956">
        <v>6628.9308176100621</v>
      </c>
      <c r="G691" s="956">
        <v>6628.9308176100621</v>
      </c>
      <c r="H691" s="956">
        <v>6628.9308176100621</v>
      </c>
      <c r="I691" s="956">
        <v>6628.9308176100621</v>
      </c>
      <c r="J691" s="956">
        <v>6628.9308176100621</v>
      </c>
      <c r="K691" s="956">
        <v>6628.9308176100621</v>
      </c>
      <c r="L691" s="956">
        <v>6628.9308176100621</v>
      </c>
      <c r="M691" s="956">
        <v>6628.9308176100621</v>
      </c>
      <c r="N691" s="956">
        <v>6628.9308176100621</v>
      </c>
      <c r="O691" s="956">
        <v>6628.9308176100621</v>
      </c>
    </row>
    <row r="692" spans="1:15">
      <c r="A692" s="119"/>
      <c r="B692" s="331" t="s">
        <v>1250</v>
      </c>
      <c r="C692">
        <v>7252.7256478999116</v>
      </c>
      <c r="D692" s="956">
        <v>5457.9976985040275</v>
      </c>
      <c r="E692" s="956">
        <v>5457.9976985040275</v>
      </c>
      <c r="F692" s="956">
        <v>5457.9976985040275</v>
      </c>
      <c r="G692" s="956">
        <v>5457.9976985040275</v>
      </c>
      <c r="H692" s="956">
        <v>5457.9976985040275</v>
      </c>
      <c r="I692" s="956">
        <v>5457.9976985040275</v>
      </c>
      <c r="J692" s="956">
        <v>5457.9976985040275</v>
      </c>
      <c r="K692" s="956">
        <v>5457.9976985040275</v>
      </c>
      <c r="L692" s="956">
        <v>5457.9976985040275</v>
      </c>
      <c r="M692" s="956">
        <v>5457.9976985040275</v>
      </c>
      <c r="N692" s="956">
        <v>5457.9976985040275</v>
      </c>
      <c r="O692" s="956">
        <v>5457.9976985040275</v>
      </c>
    </row>
    <row r="693" spans="1:15">
      <c r="A693" s="119"/>
      <c r="B693" s="331" t="s">
        <v>1251</v>
      </c>
      <c r="C693">
        <v>4077.3694390715668</v>
      </c>
      <c r="D693" s="956">
        <v>4489.1998783084882</v>
      </c>
      <c r="E693" s="956">
        <v>4489.1998783084882</v>
      </c>
      <c r="F693" s="956">
        <v>4489.1998783084882</v>
      </c>
      <c r="G693" s="956">
        <v>4489.1998783084882</v>
      </c>
      <c r="H693" s="956">
        <v>4489.1998783084882</v>
      </c>
      <c r="I693" s="956">
        <v>4489.1998783084882</v>
      </c>
      <c r="J693" s="956">
        <v>4489.1998783084882</v>
      </c>
      <c r="K693" s="956">
        <v>4489.1998783084882</v>
      </c>
      <c r="L693" s="956">
        <v>4489.1998783084882</v>
      </c>
      <c r="M693" s="956">
        <v>4489.1998783084882</v>
      </c>
      <c r="N693" s="956">
        <v>4489.1998783084882</v>
      </c>
      <c r="O693" s="956">
        <v>4489.1998783084882</v>
      </c>
    </row>
    <row r="694" spans="1:15">
      <c r="A694" s="119"/>
      <c r="B694" s="331" t="s">
        <v>1252</v>
      </c>
      <c r="C694">
        <v>4077.3694390715668</v>
      </c>
      <c r="D694" s="956">
        <v>4489.1998783084882</v>
      </c>
      <c r="E694" s="956">
        <v>4489.1998783084882</v>
      </c>
      <c r="F694" s="956">
        <v>4489.1998783084882</v>
      </c>
      <c r="G694" s="956">
        <v>4489.1998783084882</v>
      </c>
      <c r="H694" s="956">
        <v>4489.1998783084882</v>
      </c>
      <c r="I694" s="956">
        <v>4489.1998783084882</v>
      </c>
      <c r="J694" s="956">
        <v>4489.1998783084882</v>
      </c>
      <c r="K694" s="956">
        <v>4489.1998783084882</v>
      </c>
      <c r="L694" s="956">
        <v>4489.1998783084882</v>
      </c>
      <c r="M694" s="956">
        <v>4489.1998783084882</v>
      </c>
      <c r="N694" s="956">
        <v>4489.1998783084882</v>
      </c>
      <c r="O694" s="956">
        <v>4489.1998783084882</v>
      </c>
    </row>
    <row r="695" spans="1:15">
      <c r="A695" s="119"/>
      <c r="B695" s="331" t="s">
        <v>1253</v>
      </c>
      <c r="C695">
        <v>2987.8095238095239</v>
      </c>
      <c r="D695" s="956">
        <v>3228.508206</v>
      </c>
      <c r="E695" s="956">
        <v>3228.508206</v>
      </c>
      <c r="F695" s="956">
        <v>3228.508206</v>
      </c>
      <c r="G695" s="956">
        <v>3228.508206</v>
      </c>
      <c r="H695" s="956">
        <v>3228.508206</v>
      </c>
      <c r="I695" s="956">
        <v>3228.508206</v>
      </c>
      <c r="J695" s="956">
        <v>3228.508206</v>
      </c>
      <c r="K695" s="956">
        <v>3228.508206</v>
      </c>
      <c r="L695" s="956">
        <v>3228.508206</v>
      </c>
      <c r="M695" s="956">
        <v>3228.508206</v>
      </c>
      <c r="N695" s="956">
        <v>3228.508206</v>
      </c>
      <c r="O695" s="956">
        <v>3228.508206</v>
      </c>
    </row>
    <row r="696" spans="1:15">
      <c r="A696" s="119"/>
      <c r="B696" s="331" t="s">
        <v>1254</v>
      </c>
      <c r="C696">
        <v>2987.8095238095239</v>
      </c>
      <c r="D696" s="956">
        <v>3228.508206</v>
      </c>
      <c r="E696" s="956">
        <v>3228.508206</v>
      </c>
      <c r="F696" s="956">
        <v>3228.508206</v>
      </c>
      <c r="G696" s="956">
        <v>3228.508206</v>
      </c>
      <c r="H696" s="956">
        <v>3228.508206</v>
      </c>
      <c r="I696" s="956">
        <v>3228.508206</v>
      </c>
      <c r="J696" s="956">
        <v>3228.508206</v>
      </c>
      <c r="K696" s="956">
        <v>3228.508206</v>
      </c>
      <c r="L696" s="956">
        <v>3228.508206</v>
      </c>
      <c r="M696" s="956">
        <v>3228.508206</v>
      </c>
      <c r="N696" s="956">
        <v>3228.508206</v>
      </c>
      <c r="O696" s="956">
        <v>3228.508206</v>
      </c>
    </row>
    <row r="697" spans="1:15">
      <c r="A697" s="119"/>
      <c r="B697" s="331" t="s">
        <v>1255</v>
      </c>
      <c r="C697">
        <v>3089.1466083150985</v>
      </c>
      <c r="D697" s="956">
        <v>3362.887089090043</v>
      </c>
      <c r="E697" s="956">
        <v>3362.887089090043</v>
      </c>
      <c r="F697" s="956">
        <v>3362.887089090043</v>
      </c>
      <c r="G697" s="956">
        <v>3362.887089090043</v>
      </c>
      <c r="H697" s="956">
        <v>3362.887089090043</v>
      </c>
      <c r="I697" s="956">
        <v>3362.887089090043</v>
      </c>
      <c r="J697" s="956">
        <v>3362.887089090043</v>
      </c>
      <c r="K697" s="956">
        <v>3362.887089090043</v>
      </c>
      <c r="L697" s="956">
        <v>3362.887089090043</v>
      </c>
      <c r="M697" s="956">
        <v>3362.887089090043</v>
      </c>
      <c r="N697" s="956">
        <v>3362.887089090043</v>
      </c>
      <c r="O697" s="956">
        <v>3362.887089090043</v>
      </c>
    </row>
    <row r="698" spans="1:15">
      <c r="A698" s="119"/>
      <c r="B698" s="331" t="s">
        <v>1256</v>
      </c>
      <c r="C698">
        <v>4118.8621444201317</v>
      </c>
      <c r="D698" s="956">
        <v>4483.8494521200573</v>
      </c>
      <c r="E698" s="956">
        <v>4483.8494521200573</v>
      </c>
      <c r="F698" s="956">
        <v>4483.8494521200573</v>
      </c>
      <c r="G698" s="956">
        <v>4483.8494521200573</v>
      </c>
      <c r="H698" s="956">
        <v>4483.8494521200573</v>
      </c>
      <c r="I698" s="956">
        <v>4483.8494521200573</v>
      </c>
      <c r="J698" s="956">
        <v>4483.8494521200573</v>
      </c>
      <c r="K698" s="956">
        <v>4483.8494521200573</v>
      </c>
      <c r="L698" s="956">
        <v>4483.8494521200573</v>
      </c>
      <c r="M698" s="956">
        <v>4483.8494521200573</v>
      </c>
      <c r="N698" s="956">
        <v>4483.8494521200573</v>
      </c>
      <c r="O698" s="956">
        <v>4483.8494521200573</v>
      </c>
    </row>
    <row r="699" spans="1:15">
      <c r="A699" s="119"/>
      <c r="B699" s="331" t="s">
        <v>1257</v>
      </c>
      <c r="C699">
        <v>5148.5776805251644</v>
      </c>
      <c r="D699" s="956">
        <v>4483.8494521200573</v>
      </c>
      <c r="E699" s="956">
        <v>4483.8494521200573</v>
      </c>
      <c r="F699" s="956">
        <v>4483.8494521200573</v>
      </c>
      <c r="G699" s="956">
        <v>4483.8494521200573</v>
      </c>
      <c r="H699" s="956">
        <v>4483.8494521200573</v>
      </c>
      <c r="I699" s="956">
        <v>4483.8494521200573</v>
      </c>
      <c r="J699" s="956">
        <v>4483.8494521200573</v>
      </c>
      <c r="K699" s="956">
        <v>4483.8494521200573</v>
      </c>
      <c r="L699" s="956">
        <v>4483.8494521200573</v>
      </c>
      <c r="M699" s="956">
        <v>4483.8494521200573</v>
      </c>
      <c r="N699" s="956">
        <v>4483.8494521200573</v>
      </c>
      <c r="O699" s="956">
        <v>4483.8494521200573</v>
      </c>
    </row>
    <row r="700" spans="1:15">
      <c r="A700" s="119"/>
      <c r="B700" s="331" t="s">
        <v>1258</v>
      </c>
      <c r="C700">
        <v>6178.2932166301962</v>
      </c>
      <c r="D700" s="956">
        <v>6457.0164119999999</v>
      </c>
      <c r="E700" s="956">
        <v>6457.0164119999999</v>
      </c>
      <c r="F700" s="956">
        <v>6457.0164119999999</v>
      </c>
      <c r="G700" s="956">
        <v>6457.0164119999999</v>
      </c>
      <c r="H700" s="956">
        <v>6457.0164119999999</v>
      </c>
      <c r="I700" s="956">
        <v>6457.0164119999999</v>
      </c>
      <c r="J700" s="956">
        <v>6457.0164119999999</v>
      </c>
      <c r="K700" s="956">
        <v>6457.0164119999999</v>
      </c>
      <c r="L700" s="956">
        <v>6457.0164119999999</v>
      </c>
      <c r="M700" s="956">
        <v>6457.0164119999999</v>
      </c>
      <c r="N700" s="956">
        <v>6457.0164119999999</v>
      </c>
      <c r="O700" s="956">
        <v>6457.0164119999999</v>
      </c>
    </row>
    <row r="701" spans="1:15">
      <c r="A701" s="119"/>
      <c r="B701" s="331" t="s">
        <v>1259</v>
      </c>
      <c r="C701">
        <v>6178.2932166301962</v>
      </c>
      <c r="D701" s="956">
        <v>6667.5854962323692</v>
      </c>
      <c r="E701" s="956">
        <v>6667.5854962323692</v>
      </c>
      <c r="F701" s="956">
        <v>6667.5854962323692</v>
      </c>
      <c r="G701" s="956">
        <v>6667.5854962323692</v>
      </c>
      <c r="H701" s="956">
        <v>6667.5854962323692</v>
      </c>
      <c r="I701" s="956">
        <v>6667.5854962323692</v>
      </c>
      <c r="J701" s="956">
        <v>6667.5854962323692</v>
      </c>
      <c r="K701" s="956">
        <v>6667.5854962323692</v>
      </c>
      <c r="L701" s="956">
        <v>6667.5854962323692</v>
      </c>
      <c r="M701" s="956">
        <v>6667.5854962323692</v>
      </c>
      <c r="N701" s="956">
        <v>6667.5854962323692</v>
      </c>
      <c r="O701" s="956">
        <v>6667.5854962323692</v>
      </c>
    </row>
    <row r="702" spans="1:15">
      <c r="A702" s="119"/>
      <c r="B702" s="331" t="s">
        <v>1260</v>
      </c>
      <c r="C702">
        <v>7311.3326551373348</v>
      </c>
      <c r="D702" s="956">
        <v>7748.4196943999987</v>
      </c>
      <c r="E702" s="956">
        <v>7748.4196943999987</v>
      </c>
      <c r="F702" s="956">
        <v>7748.4196943999987</v>
      </c>
      <c r="G702" s="956">
        <v>7748.4196943999987</v>
      </c>
      <c r="H702" s="956">
        <v>7748.4196943999987</v>
      </c>
      <c r="I702" s="956">
        <v>7748.4196943999987</v>
      </c>
      <c r="J702" s="956">
        <v>7748.4196943999987</v>
      </c>
      <c r="K702" s="956">
        <v>7748.4196943999987</v>
      </c>
      <c r="L702" s="956">
        <v>7748.4196943999987</v>
      </c>
      <c r="M702" s="956">
        <v>7748.4196943999987</v>
      </c>
      <c r="N702" s="956">
        <v>7748.4196943999987</v>
      </c>
      <c r="O702" s="956">
        <v>7748.4196943999987</v>
      </c>
    </row>
    <row r="703" spans="1:15">
      <c r="A703" s="119"/>
      <c r="B703" s="331" t="s">
        <v>1261</v>
      </c>
      <c r="C703">
        <v>7311.3326551373348</v>
      </c>
      <c r="D703" s="956">
        <v>7748.4196943999987</v>
      </c>
      <c r="E703" s="956">
        <v>7748.4196943999987</v>
      </c>
      <c r="F703" s="956">
        <v>7748.4196943999987</v>
      </c>
      <c r="G703" s="956">
        <v>7748.4196943999987</v>
      </c>
      <c r="H703" s="956">
        <v>7748.4196943999987</v>
      </c>
      <c r="I703" s="956">
        <v>7748.4196943999987</v>
      </c>
      <c r="J703" s="956">
        <v>7748.4196943999987</v>
      </c>
      <c r="K703" s="956">
        <v>7748.4196943999987</v>
      </c>
      <c r="L703" s="956">
        <v>7748.4196943999987</v>
      </c>
      <c r="M703" s="956">
        <v>7748.4196943999987</v>
      </c>
      <c r="N703" s="956">
        <v>7748.4196943999987</v>
      </c>
      <c r="O703" s="956">
        <v>7748.4196943999987</v>
      </c>
    </row>
    <row r="704" spans="1:15">
      <c r="A704" s="119"/>
      <c r="B704" s="331" t="s">
        <v>1262</v>
      </c>
      <c r="C704">
        <v>7102.7180531999993</v>
      </c>
      <c r="D704" s="956">
        <v>6784.9874385581652</v>
      </c>
      <c r="E704" s="956">
        <v>6784.9874385581652</v>
      </c>
      <c r="F704" s="956">
        <v>6784.9874385581652</v>
      </c>
      <c r="G704" s="956">
        <v>6784.9874385581652</v>
      </c>
      <c r="H704" s="956">
        <v>6784.9874385581652</v>
      </c>
      <c r="I704" s="956">
        <v>6784.9874385581652</v>
      </c>
      <c r="J704" s="956">
        <v>6784.9874385581652</v>
      </c>
      <c r="K704" s="956">
        <v>6784.9874385581652</v>
      </c>
      <c r="L704" s="956">
        <v>6784.9874385581652</v>
      </c>
      <c r="M704" s="956">
        <v>6784.9874385581652</v>
      </c>
      <c r="N704" s="956">
        <v>6784.9874385581652</v>
      </c>
      <c r="O704" s="956">
        <v>6784.9874385581652</v>
      </c>
    </row>
    <row r="705" spans="1:15">
      <c r="A705" s="119"/>
      <c r="B705" s="331" t="s">
        <v>1263</v>
      </c>
      <c r="C705">
        <v>4118.8621444201317</v>
      </c>
      <c r="D705" s="956">
        <v>4519.9114884000001</v>
      </c>
      <c r="E705" s="956">
        <v>4519.9114884000001</v>
      </c>
      <c r="F705" s="956">
        <v>4519.9114884000001</v>
      </c>
      <c r="G705" s="956">
        <v>4519.9114884000001</v>
      </c>
      <c r="H705" s="956">
        <v>4519.9114884000001</v>
      </c>
      <c r="I705" s="956">
        <v>4519.9114884000001</v>
      </c>
      <c r="J705" s="956">
        <v>4519.9114884000001</v>
      </c>
      <c r="K705" s="956">
        <v>4519.9114884000001</v>
      </c>
      <c r="L705" s="956">
        <v>4519.9114884000001</v>
      </c>
      <c r="M705" s="956">
        <v>4519.9114884000001</v>
      </c>
      <c r="N705" s="956">
        <v>4519.9114884000001</v>
      </c>
      <c r="O705" s="956">
        <v>4519.9114884000001</v>
      </c>
    </row>
    <row r="706" spans="1:15">
      <c r="A706" s="119"/>
      <c r="B706" s="331" t="s">
        <v>1264</v>
      </c>
      <c r="C706">
        <v>3874.2098471999993</v>
      </c>
      <c r="D706" s="956">
        <v>3309.929272009691</v>
      </c>
      <c r="E706" s="956">
        <v>3309.929272009691</v>
      </c>
      <c r="F706" s="956">
        <v>3309.929272009691</v>
      </c>
      <c r="G706" s="956">
        <v>3309.929272009691</v>
      </c>
      <c r="H706" s="956">
        <v>3309.929272009691</v>
      </c>
      <c r="I706" s="956">
        <v>3309.929272009691</v>
      </c>
      <c r="J706" s="956">
        <v>3309.929272009691</v>
      </c>
      <c r="K706" s="956">
        <v>3309.929272009691</v>
      </c>
      <c r="L706" s="956">
        <v>3309.929272009691</v>
      </c>
      <c r="M706" s="956">
        <v>3309.929272009691</v>
      </c>
      <c r="N706" s="956">
        <v>3309.929272009691</v>
      </c>
      <c r="O706" s="956">
        <v>3309.929272009691</v>
      </c>
    </row>
    <row r="707" spans="1:15">
      <c r="A707" s="119"/>
      <c r="B707" s="331" t="s">
        <v>1265</v>
      </c>
      <c r="C707">
        <v>2990.1701493884557</v>
      </c>
      <c r="D707" s="956">
        <v>3336.4320785597379</v>
      </c>
      <c r="E707" s="956">
        <v>3336.4320785597379</v>
      </c>
      <c r="F707" s="956">
        <v>3336.4320785597379</v>
      </c>
      <c r="G707" s="956">
        <v>3336.4320785597379</v>
      </c>
      <c r="H707" s="956">
        <v>3336.4320785597379</v>
      </c>
      <c r="I707" s="956">
        <v>3336.4320785597379</v>
      </c>
      <c r="J707" s="956">
        <v>3336.4320785597379</v>
      </c>
      <c r="K707" s="956">
        <v>3336.4320785597379</v>
      </c>
      <c r="L707" s="956">
        <v>3336.4320785597379</v>
      </c>
      <c r="M707" s="956">
        <v>3336.4320785597379</v>
      </c>
      <c r="N707" s="956">
        <v>3336.4320785597379</v>
      </c>
      <c r="O707" s="956">
        <v>3336.4320785597379</v>
      </c>
    </row>
    <row r="708" spans="1:15">
      <c r="A708" s="119"/>
      <c r="B708" s="331" t="s">
        <v>1266</v>
      </c>
      <c r="C708">
        <v>2990.1701493884557</v>
      </c>
      <c r="D708" s="956">
        <v>3336.4320785597379</v>
      </c>
      <c r="E708" s="956">
        <v>3336.4320785597379</v>
      </c>
      <c r="F708" s="956">
        <v>3336.4320785597379</v>
      </c>
      <c r="G708" s="956">
        <v>3336.4320785597379</v>
      </c>
      <c r="H708" s="956">
        <v>3336.4320785597379</v>
      </c>
      <c r="I708" s="956">
        <v>3336.4320785597379</v>
      </c>
      <c r="J708" s="956">
        <v>3336.4320785597379</v>
      </c>
      <c r="K708" s="956">
        <v>3336.4320785597379</v>
      </c>
      <c r="L708" s="956">
        <v>3336.4320785597379</v>
      </c>
      <c r="M708" s="956">
        <v>3336.4320785597379</v>
      </c>
      <c r="N708" s="956">
        <v>3336.4320785597379</v>
      </c>
      <c r="O708" s="956">
        <v>3336.4320785597379</v>
      </c>
    </row>
    <row r="709" spans="1:15">
      <c r="A709" s="119"/>
      <c r="B709" s="331" t="s">
        <v>1267</v>
      </c>
      <c r="C709">
        <v>3091.2492709669896</v>
      </c>
      <c r="D709" s="956">
        <v>3336.4320785597379</v>
      </c>
      <c r="E709" s="956">
        <v>3336.4320785597379</v>
      </c>
      <c r="F709" s="956">
        <v>3336.4320785597379</v>
      </c>
      <c r="G709" s="956">
        <v>3336.4320785597379</v>
      </c>
      <c r="H709" s="956">
        <v>3336.4320785597379</v>
      </c>
      <c r="I709" s="956">
        <v>3336.4320785597379</v>
      </c>
      <c r="J709" s="956">
        <v>3336.4320785597379</v>
      </c>
      <c r="K709" s="956">
        <v>3336.4320785597379</v>
      </c>
      <c r="L709" s="956">
        <v>3336.4320785597379</v>
      </c>
      <c r="M709" s="956">
        <v>3336.4320785597379</v>
      </c>
      <c r="N709" s="956">
        <v>3336.4320785597379</v>
      </c>
      <c r="O709" s="956">
        <v>3336.4320785597379</v>
      </c>
    </row>
    <row r="710" spans="1:15">
      <c r="A710" s="119"/>
      <c r="B710" s="331" t="s">
        <v>1268</v>
      </c>
      <c r="C710">
        <v>4121.6656946226531</v>
      </c>
      <c r="D710" s="956">
        <v>4448.5761047463175</v>
      </c>
      <c r="E710" s="956">
        <v>4448.5761047463175</v>
      </c>
      <c r="F710" s="956">
        <v>4448.5761047463175</v>
      </c>
      <c r="G710" s="956">
        <v>4448.5761047463175</v>
      </c>
      <c r="H710" s="956">
        <v>4448.5761047463175</v>
      </c>
      <c r="I710" s="956">
        <v>4448.5761047463175</v>
      </c>
      <c r="J710" s="956">
        <v>4448.5761047463175</v>
      </c>
      <c r="K710" s="956">
        <v>4448.5761047463175</v>
      </c>
      <c r="L710" s="956">
        <v>4448.5761047463175</v>
      </c>
      <c r="M710" s="956">
        <v>4448.5761047463175</v>
      </c>
      <c r="N710" s="956">
        <v>4448.5761047463175</v>
      </c>
      <c r="O710" s="956">
        <v>4448.5761047463175</v>
      </c>
    </row>
    <row r="711" spans="1:15">
      <c r="A711" s="119"/>
      <c r="B711" s="331" t="s">
        <v>1269</v>
      </c>
      <c r="C711">
        <v>5152.0821182783166</v>
      </c>
      <c r="D711" s="956">
        <v>4448.5761047463175</v>
      </c>
      <c r="E711" s="956">
        <v>4448.5761047463175</v>
      </c>
      <c r="F711" s="956">
        <v>4448.5761047463175</v>
      </c>
      <c r="G711" s="956">
        <v>4448.5761047463175</v>
      </c>
      <c r="H711" s="956">
        <v>4448.5761047463175</v>
      </c>
      <c r="I711" s="956">
        <v>4448.5761047463175</v>
      </c>
      <c r="J711" s="956">
        <v>4448.5761047463175</v>
      </c>
      <c r="K711" s="956">
        <v>4448.5761047463175</v>
      </c>
      <c r="L711" s="956">
        <v>4448.5761047463175</v>
      </c>
      <c r="M711" s="956">
        <v>4448.5761047463175</v>
      </c>
      <c r="N711" s="956">
        <v>4448.5761047463175</v>
      </c>
      <c r="O711" s="956">
        <v>4448.5761047463175</v>
      </c>
    </row>
    <row r="712" spans="1:15">
      <c r="A712" s="119"/>
      <c r="B712" s="331" t="s">
        <v>1270</v>
      </c>
      <c r="C712">
        <v>6182.4985419339801</v>
      </c>
      <c r="D712" s="956">
        <v>6672.8641571194767</v>
      </c>
      <c r="E712" s="956">
        <v>6672.8641571194767</v>
      </c>
      <c r="F712" s="956">
        <v>6672.8641571194767</v>
      </c>
      <c r="G712" s="956">
        <v>6672.8641571194767</v>
      </c>
      <c r="H712" s="956">
        <v>6672.8641571194767</v>
      </c>
      <c r="I712" s="956">
        <v>6672.8641571194767</v>
      </c>
      <c r="J712" s="956">
        <v>6672.8641571194767</v>
      </c>
      <c r="K712" s="956">
        <v>6672.8641571194767</v>
      </c>
      <c r="L712" s="956">
        <v>6672.8641571194767</v>
      </c>
      <c r="M712" s="956">
        <v>6672.8641571194767</v>
      </c>
      <c r="N712" s="956">
        <v>6672.8641571194767</v>
      </c>
      <c r="O712" s="956">
        <v>6672.8641571194767</v>
      </c>
    </row>
    <row r="713" spans="1:15">
      <c r="A713" s="119"/>
      <c r="B713" s="331" t="s">
        <v>1271</v>
      </c>
      <c r="C713">
        <v>6182.4985419339801</v>
      </c>
      <c r="D713" s="956">
        <v>6672.8641571194767</v>
      </c>
      <c r="E713" s="956">
        <v>6672.8641571194767</v>
      </c>
      <c r="F713" s="956">
        <v>6672.8641571194767</v>
      </c>
      <c r="G713" s="956">
        <v>6672.8641571194767</v>
      </c>
      <c r="H713" s="956">
        <v>6672.8641571194767</v>
      </c>
      <c r="I713" s="956">
        <v>6672.8641571194767</v>
      </c>
      <c r="J713" s="956">
        <v>6672.8641571194767</v>
      </c>
      <c r="K713" s="956">
        <v>6672.8641571194767</v>
      </c>
      <c r="L713" s="956">
        <v>6672.8641571194767</v>
      </c>
      <c r="M713" s="956">
        <v>6672.8641571194767</v>
      </c>
      <c r="N713" s="1398">
        <v>6610.896226415095</v>
      </c>
      <c r="O713" s="1398">
        <v>6610.896226415095</v>
      </c>
    </row>
    <row r="714" spans="1:15">
      <c r="A714" s="119"/>
      <c r="B714" s="331" t="s">
        <v>1272</v>
      </c>
      <c r="C714">
        <v>7315.9596557129762</v>
      </c>
      <c r="D714" s="956">
        <v>6672.8641571194767</v>
      </c>
      <c r="E714" s="956">
        <v>6672.8641571194767</v>
      </c>
      <c r="F714" s="956">
        <v>6672.8641571194767</v>
      </c>
      <c r="G714" s="956">
        <v>6672.8641571194767</v>
      </c>
      <c r="H714" s="956">
        <v>6672.8641571194767</v>
      </c>
      <c r="I714" s="956">
        <v>6672.8641571194767</v>
      </c>
      <c r="J714" s="956">
        <v>6672.8641571194767</v>
      </c>
      <c r="K714" s="956">
        <v>6672.8641571194767</v>
      </c>
      <c r="L714" s="956">
        <v>6672.8641571194767</v>
      </c>
      <c r="M714" s="956">
        <v>6672.8641571194767</v>
      </c>
      <c r="N714" s="956">
        <v>6672.8641571194767</v>
      </c>
      <c r="O714" s="956">
        <v>6672.8641571194767</v>
      </c>
    </row>
    <row r="715" spans="1:15">
      <c r="A715" s="119"/>
      <c r="B715" s="331" t="s">
        <v>1273</v>
      </c>
      <c r="C715">
        <v>7315.9596557129762</v>
      </c>
      <c r="D715" s="956">
        <v>6672.8641571194767</v>
      </c>
      <c r="E715" s="956">
        <v>6672.8641571194767</v>
      </c>
      <c r="F715" s="956">
        <v>6672.8641571194767</v>
      </c>
      <c r="G715" s="956">
        <v>6672.8641571194767</v>
      </c>
      <c r="H715" s="956">
        <v>6672.8641571194767</v>
      </c>
      <c r="I715" s="956">
        <v>6672.8641571194767</v>
      </c>
      <c r="J715" s="956">
        <v>6672.8641571194767</v>
      </c>
      <c r="K715" s="956">
        <v>6672.8641571194767</v>
      </c>
      <c r="L715" s="956">
        <v>6672.8641571194767</v>
      </c>
      <c r="M715" s="956">
        <v>6672.8641571194767</v>
      </c>
      <c r="N715" s="1398">
        <v>6736.0048062481219</v>
      </c>
      <c r="O715" s="1398">
        <v>6736.0048062481219</v>
      </c>
    </row>
    <row r="716" spans="1:15">
      <c r="A716" s="119"/>
      <c r="B716" s="331" t="s">
        <v>1274</v>
      </c>
      <c r="C716">
        <v>7096.7410113600008</v>
      </c>
      <c r="D716" s="956">
        <v>6451.5827376000016</v>
      </c>
      <c r="E716" s="956">
        <v>6451.5827376000016</v>
      </c>
      <c r="F716" s="956">
        <v>6451.5827376000016</v>
      </c>
      <c r="G716" s="956">
        <v>6451.5827376000016</v>
      </c>
      <c r="H716" s="956">
        <v>6451.5827376000016</v>
      </c>
      <c r="I716" s="956">
        <v>6451.5827376000016</v>
      </c>
      <c r="J716" s="956">
        <v>6451.5827376000016</v>
      </c>
      <c r="K716" s="956">
        <v>6451.5827376000016</v>
      </c>
      <c r="L716" s="956">
        <v>6451.5827376000016</v>
      </c>
      <c r="M716" s="956">
        <v>6451.5827376000016</v>
      </c>
      <c r="N716" s="956">
        <v>6451.5827376000016</v>
      </c>
      <c r="O716" s="956">
        <v>6451.5827376000016</v>
      </c>
    </row>
    <row r="717" spans="1:15">
      <c r="A717" s="119"/>
      <c r="B717" s="331" t="s">
        <v>1275</v>
      </c>
      <c r="C717">
        <v>4121.6656946226531</v>
      </c>
      <c r="D717" s="956">
        <v>3336.4320785597379</v>
      </c>
      <c r="E717" s="956">
        <v>3336.4320785597379</v>
      </c>
      <c r="F717" s="956">
        <v>3336.4320785597379</v>
      </c>
      <c r="G717" s="956">
        <v>3336.4320785597379</v>
      </c>
      <c r="H717" s="956">
        <v>3336.4320785597379</v>
      </c>
      <c r="I717" s="956">
        <v>3336.4320785597379</v>
      </c>
      <c r="J717" s="956">
        <v>3336.4320785597379</v>
      </c>
      <c r="K717" s="956">
        <v>3336.4320785597379</v>
      </c>
      <c r="L717" s="956">
        <v>3336.4320785597379</v>
      </c>
      <c r="M717" s="956">
        <v>3336.4320785597379</v>
      </c>
      <c r="N717" s="956">
        <v>3336.4320785597379</v>
      </c>
      <c r="O717" s="956">
        <v>3336.4320785597379</v>
      </c>
    </row>
    <row r="718" spans="1:15">
      <c r="A718" s="119"/>
      <c r="B718" s="331" t="s">
        <v>1276</v>
      </c>
      <c r="C718">
        <v>4121.6656946226531</v>
      </c>
      <c r="D718" s="956">
        <v>4448.5761047463175</v>
      </c>
      <c r="E718" s="956">
        <v>4448.5761047463175</v>
      </c>
      <c r="F718" s="956">
        <v>4448.5761047463175</v>
      </c>
      <c r="G718" s="956">
        <v>4448.5761047463175</v>
      </c>
      <c r="H718" s="956">
        <v>4448.5761047463175</v>
      </c>
      <c r="I718" s="956">
        <v>4448.5761047463175</v>
      </c>
      <c r="J718" s="956">
        <v>4448.5761047463175</v>
      </c>
      <c r="K718" s="956">
        <v>4448.5761047463175</v>
      </c>
      <c r="L718" s="956">
        <v>4448.5761047463175</v>
      </c>
      <c r="M718" s="956">
        <v>4448.5761047463175</v>
      </c>
      <c r="N718" s="956">
        <v>4448.5761047463175</v>
      </c>
      <c r="O718" s="956">
        <v>4448.5761047463175</v>
      </c>
    </row>
    <row r="719" spans="1:15">
      <c r="A719" s="119"/>
      <c r="B719" s="331" t="s">
        <v>1277</v>
      </c>
      <c r="C719">
        <v>2979.6456841311724</v>
      </c>
      <c r="D719" s="956">
        <v>3243.7423061140748</v>
      </c>
      <c r="E719" s="956">
        <v>3243.7423061140748</v>
      </c>
      <c r="F719" s="956">
        <v>3243.7423061140748</v>
      </c>
      <c r="G719" s="956">
        <v>3243.7423061140748</v>
      </c>
      <c r="H719" s="956">
        <v>3243.7423061140748</v>
      </c>
      <c r="I719" s="956">
        <v>3243.7423061140748</v>
      </c>
      <c r="J719" s="956">
        <v>3243.7423061140748</v>
      </c>
      <c r="K719" s="956">
        <v>3243.7423061140748</v>
      </c>
      <c r="L719" s="956">
        <v>3243.7423061140748</v>
      </c>
      <c r="M719" s="956">
        <v>3243.7423061140748</v>
      </c>
      <c r="N719" s="956">
        <v>3243.7423061140748</v>
      </c>
      <c r="O719" s="956">
        <v>3243.7423061140748</v>
      </c>
    </row>
    <row r="720" spans="1:15">
      <c r="A720" s="119"/>
      <c r="B720" s="331" t="s">
        <v>1278</v>
      </c>
      <c r="C720">
        <v>2979.6456841311724</v>
      </c>
      <c r="D720" s="956">
        <v>3243.7423061140748</v>
      </c>
      <c r="E720" s="956">
        <v>3243.7423061140748</v>
      </c>
      <c r="F720" s="956">
        <v>3243.7423061140748</v>
      </c>
      <c r="G720" s="956">
        <v>3243.7423061140748</v>
      </c>
      <c r="H720" s="956">
        <v>3243.7423061140748</v>
      </c>
      <c r="I720" s="956">
        <v>3243.7423061140748</v>
      </c>
      <c r="J720" s="956">
        <v>3243.7423061140748</v>
      </c>
      <c r="K720" s="956">
        <v>3243.7423061140748</v>
      </c>
      <c r="L720" s="956">
        <v>3243.7423061140748</v>
      </c>
      <c r="M720" s="956">
        <v>3243.7423061140748</v>
      </c>
      <c r="N720" s="956">
        <v>3243.7423061140748</v>
      </c>
      <c r="O720" s="956">
        <v>3243.7423061140748</v>
      </c>
    </row>
    <row r="721" spans="1:15">
      <c r="A721" s="119"/>
      <c r="B721" s="331" t="s">
        <v>1279</v>
      </c>
      <c r="C721">
        <v>4030.7984639999995</v>
      </c>
      <c r="D721" s="956">
        <v>3314.4654088050315</v>
      </c>
      <c r="E721" s="956">
        <v>3314.4654088050315</v>
      </c>
      <c r="F721" s="956">
        <v>3314.4654088050315</v>
      </c>
      <c r="G721" s="956">
        <v>3314.4654088050315</v>
      </c>
      <c r="H721" s="956">
        <v>3314.4654088050315</v>
      </c>
      <c r="I721" s="956">
        <v>3314.4654088050315</v>
      </c>
      <c r="J721" s="956">
        <v>3314.4654088050315</v>
      </c>
      <c r="K721" s="956">
        <v>3314.4654088050315</v>
      </c>
      <c r="L721" s="956">
        <v>3314.4654088050315</v>
      </c>
      <c r="M721" s="956">
        <v>3314.4654088050315</v>
      </c>
      <c r="N721" s="956">
        <v>3314.4654088050315</v>
      </c>
      <c r="O721" s="956">
        <v>3314.4654088050315</v>
      </c>
    </row>
    <row r="722" spans="1:15">
      <c r="A722" s="119"/>
      <c r="B722" s="331" t="s">
        <v>1280</v>
      </c>
      <c r="C722">
        <v>4109.1617933723192</v>
      </c>
      <c r="D722" s="956">
        <v>4419.287211740042</v>
      </c>
      <c r="E722" s="956">
        <v>4419.287211740042</v>
      </c>
      <c r="F722" s="956">
        <v>4419.287211740042</v>
      </c>
      <c r="G722" s="956">
        <v>4419.287211740042</v>
      </c>
      <c r="H722" s="956">
        <v>4419.287211740042</v>
      </c>
      <c r="I722" s="956">
        <v>4419.287211740042</v>
      </c>
      <c r="J722" s="956">
        <v>4419.287211740042</v>
      </c>
      <c r="K722" s="956">
        <v>4419.287211740042</v>
      </c>
      <c r="L722" s="956">
        <v>4419.287211740042</v>
      </c>
      <c r="M722" s="956">
        <v>4419.287211740042</v>
      </c>
      <c r="N722" s="956">
        <v>4419.287211740042</v>
      </c>
      <c r="O722" s="956">
        <v>4419.287211740042</v>
      </c>
    </row>
    <row r="723" spans="1:15">
      <c r="A723" s="119"/>
      <c r="B723" s="331" t="s">
        <v>1281</v>
      </c>
      <c r="C723">
        <v>5136.4522417153994</v>
      </c>
      <c r="D723" s="956">
        <v>5374.3979519999993</v>
      </c>
      <c r="E723" s="956">
        <v>5374.3979519999993</v>
      </c>
      <c r="F723" s="956">
        <v>5374.3979519999993</v>
      </c>
      <c r="G723" s="956">
        <v>5374.3979519999993</v>
      </c>
      <c r="H723" s="956">
        <v>5374.3979519999993</v>
      </c>
      <c r="I723" s="956">
        <v>5374.3979519999993</v>
      </c>
      <c r="J723" s="956">
        <v>5374.3979519999993</v>
      </c>
      <c r="K723" s="956">
        <v>5374.3979519999993</v>
      </c>
      <c r="L723" s="956">
        <v>5374.3979519999993</v>
      </c>
      <c r="M723" s="956">
        <v>5374.3979519999993</v>
      </c>
      <c r="N723" s="956">
        <v>5374.3979519999993</v>
      </c>
      <c r="O723" s="956">
        <v>5374.3979519999993</v>
      </c>
    </row>
    <row r="724" spans="1:15">
      <c r="A724" s="119"/>
      <c r="B724" s="331" t="s">
        <v>1282</v>
      </c>
      <c r="C724">
        <v>6163.7426900584796</v>
      </c>
      <c r="D724" s="956">
        <v>6557.4450435503941</v>
      </c>
      <c r="E724" s="956">
        <v>6557.4450435503941</v>
      </c>
      <c r="F724" s="956">
        <v>6557.4450435503941</v>
      </c>
      <c r="G724" s="956">
        <v>6557.4450435503941</v>
      </c>
      <c r="H724" s="956">
        <v>6557.4450435503941</v>
      </c>
      <c r="I724" s="956">
        <v>6557.4450435503941</v>
      </c>
      <c r="J724" s="956">
        <v>6557.4450435503941</v>
      </c>
      <c r="K724" s="956">
        <v>6557.4450435503941</v>
      </c>
      <c r="L724" s="956">
        <v>6557.4450435503941</v>
      </c>
      <c r="M724" s="956">
        <v>6557.4450435503941</v>
      </c>
      <c r="N724" s="956">
        <v>6557.4450435503941</v>
      </c>
      <c r="O724" s="956">
        <v>6557.4450435503941</v>
      </c>
    </row>
    <row r="725" spans="1:15">
      <c r="A725" s="119"/>
      <c r="B725" s="331" t="s">
        <v>1283</v>
      </c>
      <c r="C725">
        <v>6163.7426900584796</v>
      </c>
      <c r="D725" s="956">
        <v>6563.8799773542187</v>
      </c>
      <c r="E725" s="956">
        <v>6563.8799773542187</v>
      </c>
      <c r="F725" s="956">
        <v>6563.8799773542187</v>
      </c>
      <c r="G725" s="956">
        <v>6563.8799773542187</v>
      </c>
      <c r="H725" s="956">
        <v>6563.8799773542187</v>
      </c>
      <c r="I725" s="956">
        <v>6563.8799773542187</v>
      </c>
      <c r="J725" s="956">
        <v>6563.8799773542187</v>
      </c>
      <c r="K725" s="956">
        <v>6563.8799773542187</v>
      </c>
      <c r="L725" s="956">
        <v>6563.8799773542187</v>
      </c>
      <c r="M725" s="956">
        <v>6563.8799773542187</v>
      </c>
      <c r="N725" s="956">
        <v>6563.8799773542187</v>
      </c>
      <c r="O725" s="956">
        <v>6563.8799773542187</v>
      </c>
    </row>
    <row r="726" spans="1:15">
      <c r="A726" s="119"/>
      <c r="B726" s="331" t="s">
        <v>1284</v>
      </c>
      <c r="C726">
        <v>7295.3197099538565</v>
      </c>
      <c r="D726" s="956">
        <v>7804.6544428772904</v>
      </c>
      <c r="E726" s="956">
        <v>7804.6544428772904</v>
      </c>
      <c r="F726" s="956">
        <v>7804.6544428772904</v>
      </c>
      <c r="G726" s="956">
        <v>7804.6544428772904</v>
      </c>
      <c r="H726" s="956">
        <v>7804.6544428772904</v>
      </c>
      <c r="I726" s="956">
        <v>7804.6544428772904</v>
      </c>
      <c r="J726" s="956">
        <v>7804.6544428772904</v>
      </c>
      <c r="K726" s="956">
        <v>7804.6544428772904</v>
      </c>
      <c r="L726" s="956">
        <v>7804.6544428772904</v>
      </c>
      <c r="M726" s="956">
        <v>7804.6544428772904</v>
      </c>
      <c r="N726" s="956">
        <v>7804.6544428772904</v>
      </c>
      <c r="O726" s="956">
        <v>7804.6544428772904</v>
      </c>
    </row>
    <row r="727" spans="1:15">
      <c r="A727" s="119"/>
      <c r="B727" s="331" t="s">
        <v>1285</v>
      </c>
      <c r="C727">
        <v>7295.3197099538565</v>
      </c>
      <c r="D727" s="956">
        <v>7876.868327402135</v>
      </c>
      <c r="E727" s="956">
        <v>7876.868327402135</v>
      </c>
      <c r="F727" s="956">
        <v>7876.868327402135</v>
      </c>
      <c r="G727" s="956">
        <v>7876.868327402135</v>
      </c>
      <c r="H727" s="956">
        <v>7876.868327402135</v>
      </c>
      <c r="I727" s="956">
        <v>7876.868327402135</v>
      </c>
      <c r="J727" s="956">
        <v>7876.868327402135</v>
      </c>
      <c r="K727" s="956">
        <v>7876.868327402135</v>
      </c>
      <c r="L727" s="956">
        <v>7876.868327402135</v>
      </c>
      <c r="M727" s="956">
        <v>7876.868327402135</v>
      </c>
      <c r="N727" s="956">
        <v>7876.868327402135</v>
      </c>
      <c r="O727" s="956">
        <v>7876.868327402135</v>
      </c>
    </row>
    <row r="728" spans="1:15">
      <c r="A728" s="119"/>
      <c r="B728" s="331" t="s">
        <v>1286</v>
      </c>
      <c r="C728">
        <v>7191.0331384015599</v>
      </c>
      <c r="D728" s="956">
        <v>6695.2839268527423</v>
      </c>
      <c r="E728" s="956">
        <v>6695.2839268527423</v>
      </c>
      <c r="F728" s="956">
        <v>6695.2839268527423</v>
      </c>
      <c r="G728" s="956">
        <v>6695.2839268527423</v>
      </c>
      <c r="H728" s="956">
        <v>6695.2839268527423</v>
      </c>
      <c r="I728" s="956">
        <v>6695.2839268527423</v>
      </c>
      <c r="J728" s="956">
        <v>6695.2839268527423</v>
      </c>
      <c r="K728" s="956">
        <v>6695.2839268527423</v>
      </c>
      <c r="L728" s="956">
        <v>6695.2839268527423</v>
      </c>
      <c r="M728" s="956">
        <v>6695.2839268527423</v>
      </c>
      <c r="N728" s="956">
        <v>6695.2839268527423</v>
      </c>
      <c r="O728" s="956">
        <v>6695.2839268527423</v>
      </c>
    </row>
    <row r="729" spans="1:15">
      <c r="A729" s="119"/>
      <c r="B729" s="331" t="s">
        <v>1287</v>
      </c>
      <c r="C729">
        <v>4109.1617933723192</v>
      </c>
      <c r="D729" s="956">
        <v>4489.1998783084882</v>
      </c>
      <c r="E729" s="956">
        <v>4489.1998783084882</v>
      </c>
      <c r="F729" s="956">
        <v>4489.1998783084882</v>
      </c>
      <c r="G729" s="956">
        <v>4489.1998783084882</v>
      </c>
      <c r="H729" s="956">
        <v>4489.1998783084882</v>
      </c>
      <c r="I729" s="956">
        <v>4489.1998783084882</v>
      </c>
      <c r="J729" s="956">
        <v>4489.1998783084882</v>
      </c>
      <c r="K729" s="956">
        <v>4489.1998783084882</v>
      </c>
      <c r="L729" s="956">
        <v>4489.1998783084882</v>
      </c>
      <c r="M729" s="956">
        <v>4489.1998783084882</v>
      </c>
      <c r="N729" s="956">
        <v>4489.1998783084882</v>
      </c>
      <c r="O729" s="956">
        <v>4489.1998783084882</v>
      </c>
    </row>
    <row r="730" spans="1:15">
      <c r="A730" s="119"/>
      <c r="B730" s="331" t="s">
        <v>1288</v>
      </c>
      <c r="C730">
        <v>4109.1617933723192</v>
      </c>
      <c r="D730" s="956">
        <v>3255.3191489361702</v>
      </c>
      <c r="E730" s="956">
        <v>3255.3191489361702</v>
      </c>
      <c r="F730" s="956">
        <v>3255.3191489361702</v>
      </c>
      <c r="G730" s="956">
        <v>3255.3191489361702</v>
      </c>
      <c r="H730" s="956">
        <v>3255.3191489361702</v>
      </c>
      <c r="I730" s="956">
        <v>3255.3191489361702</v>
      </c>
      <c r="J730" s="956">
        <v>3255.3191489361702</v>
      </c>
      <c r="K730" s="956">
        <v>3255.3191489361702</v>
      </c>
      <c r="L730" s="956">
        <v>3255.3191489361702</v>
      </c>
      <c r="M730" s="956">
        <v>3255.3191489361702</v>
      </c>
      <c r="N730" s="956">
        <v>3255.3191489361702</v>
      </c>
      <c r="O730" s="956">
        <v>3255.3191489361702</v>
      </c>
    </row>
    <row r="731" spans="1:15">
      <c r="A731" s="119"/>
      <c r="B731" s="331" t="s">
        <v>1289</v>
      </c>
      <c r="C731">
        <v>229.29779424000026</v>
      </c>
      <c r="D731" s="956">
        <v>307.37513080000099</v>
      </c>
      <c r="E731" s="956">
        <v>307.37513080000099</v>
      </c>
      <c r="F731" s="956">
        <v>307.37513080000099</v>
      </c>
      <c r="G731" s="956">
        <v>307.37513080000099</v>
      </c>
      <c r="H731" s="956">
        <v>307.37513080000099</v>
      </c>
      <c r="I731" s="1130">
        <v>80.080313520000345</v>
      </c>
      <c r="J731" s="1130">
        <v>80.080313520000345</v>
      </c>
      <c r="K731" s="1130">
        <v>80.080313520000345</v>
      </c>
      <c r="L731" s="1130">
        <v>80.080313520000345</v>
      </c>
      <c r="M731" s="1130">
        <v>80.080313520000345</v>
      </c>
      <c r="N731" s="1130">
        <v>80.080313520000345</v>
      </c>
      <c r="O731" s="1130">
        <v>80.080313520000345</v>
      </c>
    </row>
    <row r="732" spans="1:15">
      <c r="A732" s="119"/>
      <c r="B732" s="331" t="s">
        <v>1290</v>
      </c>
      <c r="C732">
        <v>0</v>
      </c>
      <c r="D732" s="956">
        <v>401.84457295999891</v>
      </c>
      <c r="E732" s="956">
        <v>401.84457295999891</v>
      </c>
      <c r="F732" s="956">
        <v>401.84457295999891</v>
      </c>
      <c r="G732" s="956">
        <v>401.84457295999891</v>
      </c>
      <c r="H732" s="956">
        <v>401.84457295999891</v>
      </c>
      <c r="I732" s="1130">
        <v>782.59112127999833</v>
      </c>
      <c r="J732" s="1130">
        <v>782.59112127999833</v>
      </c>
      <c r="K732" s="1130">
        <v>782.59112127999833</v>
      </c>
      <c r="L732" s="1130">
        <v>782.59112127999833</v>
      </c>
      <c r="M732" s="1130">
        <v>782.59112127999833</v>
      </c>
      <c r="N732" s="1130">
        <v>782.59112127999833</v>
      </c>
      <c r="O732" s="1130">
        <v>782.59112127999833</v>
      </c>
    </row>
    <row r="733" spans="1:15">
      <c r="A733" s="119"/>
      <c r="B733" s="331" t="s">
        <v>1291</v>
      </c>
      <c r="C733">
        <v>0</v>
      </c>
      <c r="D733" s="956">
        <v>138.78046272000029</v>
      </c>
      <c r="E733" s="956">
        <v>138.78046272000029</v>
      </c>
      <c r="F733" s="956">
        <v>138.78046272000029</v>
      </c>
      <c r="G733" s="956">
        <v>138.78046272000029</v>
      </c>
      <c r="H733" s="956">
        <v>138.78046272000029</v>
      </c>
      <c r="I733" s="1130">
        <v>1046.9776270399998</v>
      </c>
      <c r="J733" s="1130">
        <v>1046.9776270399998</v>
      </c>
      <c r="K733" s="1130">
        <v>1046.9776270399998</v>
      </c>
      <c r="L733" s="1130">
        <v>1046.9776270399998</v>
      </c>
      <c r="M733" s="1130">
        <v>1046.9776270399998</v>
      </c>
      <c r="N733" s="1130">
        <v>1046.9776270399998</v>
      </c>
      <c r="O733" s="1130">
        <v>1046.9776270399998</v>
      </c>
    </row>
    <row r="734" spans="1:15">
      <c r="A734" s="119"/>
      <c r="B734" s="331" t="s">
        <v>1292</v>
      </c>
      <c r="C734">
        <v>0</v>
      </c>
      <c r="D734" s="953">
        <v>0</v>
      </c>
      <c r="E734" s="953">
        <v>0</v>
      </c>
      <c r="F734" s="953">
        <v>0</v>
      </c>
      <c r="G734" s="953">
        <v>0</v>
      </c>
      <c r="H734" s="953">
        <v>0</v>
      </c>
      <c r="I734" s="1130">
        <v>966.21673207999993</v>
      </c>
      <c r="J734" s="1130">
        <v>966.21673207999993</v>
      </c>
      <c r="K734" s="1130">
        <v>966.21673207999993</v>
      </c>
      <c r="L734" s="1130">
        <v>966.21673207999993</v>
      </c>
      <c r="M734" s="1130">
        <v>966.21673207999993</v>
      </c>
      <c r="N734" s="1130">
        <v>966.21673207999993</v>
      </c>
      <c r="O734" s="1130">
        <v>966.21673207999993</v>
      </c>
    </row>
    <row r="735" spans="1:15">
      <c r="A735" s="119"/>
      <c r="B735" s="331" t="s">
        <v>1293</v>
      </c>
      <c r="C735">
        <v>0</v>
      </c>
      <c r="D735" s="956">
        <v>185.04061696000099</v>
      </c>
      <c r="E735" s="956">
        <v>185.04061696000099</v>
      </c>
      <c r="F735" s="956">
        <v>185.04061696000099</v>
      </c>
      <c r="G735" s="956">
        <v>185.04061696000099</v>
      </c>
      <c r="H735" s="956">
        <v>185.04061696000099</v>
      </c>
      <c r="I735" s="1130">
        <v>1145.982842880001</v>
      </c>
      <c r="J735" s="1130">
        <v>1145.982842880001</v>
      </c>
      <c r="K735" s="1130">
        <v>1145.982842880001</v>
      </c>
      <c r="L735" s="1130">
        <v>1145.982842880001</v>
      </c>
      <c r="M735" s="1130">
        <v>1145.982842880001</v>
      </c>
      <c r="N735" s="1130">
        <v>1145.982842880001</v>
      </c>
      <c r="O735" s="1130">
        <v>1145.982842880001</v>
      </c>
    </row>
    <row r="736" spans="1:15">
      <c r="A736" s="119"/>
      <c r="B736" s="331" t="s">
        <v>1294</v>
      </c>
      <c r="C736">
        <v>0</v>
      </c>
      <c r="D736" s="956">
        <v>466.57303671999944</v>
      </c>
      <c r="E736" s="956">
        <v>466.57303671999944</v>
      </c>
      <c r="F736" s="956">
        <v>466.57303671999944</v>
      </c>
      <c r="G736" s="956">
        <v>466.57303671999944</v>
      </c>
      <c r="H736" s="956">
        <v>466.57303671999944</v>
      </c>
      <c r="I736" s="1130">
        <v>751.39636935999806</v>
      </c>
      <c r="J736" s="1130">
        <v>751.39636935999806</v>
      </c>
      <c r="K736" s="1130">
        <v>751.39636935999806</v>
      </c>
      <c r="L736" s="1130">
        <v>751.39636935999806</v>
      </c>
      <c r="M736" s="1130">
        <v>751.39636935999806</v>
      </c>
      <c r="N736" s="1130">
        <v>751.39636935999806</v>
      </c>
      <c r="O736" s="1130">
        <v>751.39636935999806</v>
      </c>
    </row>
    <row r="737" spans="1:15">
      <c r="A737" s="119"/>
      <c r="B737" s="331" t="s">
        <v>1295</v>
      </c>
      <c r="C737">
        <v>0</v>
      </c>
      <c r="D737" s="956">
        <v>401.84457295999891</v>
      </c>
      <c r="E737" s="956">
        <v>401.84457295999891</v>
      </c>
      <c r="F737" s="956">
        <v>401.84457295999891</v>
      </c>
      <c r="G737" s="956">
        <v>401.84457295999891</v>
      </c>
      <c r="H737" s="956">
        <v>401.84457295999891</v>
      </c>
      <c r="I737" s="1130">
        <v>782.59112127999833</v>
      </c>
      <c r="J737" s="1130">
        <v>782.59112127999833</v>
      </c>
      <c r="K737" s="1130">
        <v>782.59112127999833</v>
      </c>
      <c r="L737" s="1130">
        <v>782.59112127999833</v>
      </c>
      <c r="M737" s="1130">
        <v>782.59112127999833</v>
      </c>
      <c r="N737" s="1130">
        <v>782.59112127999833</v>
      </c>
      <c r="O737" s="1130">
        <v>782.59112127999833</v>
      </c>
    </row>
    <row r="738" spans="1:15">
      <c r="A738" s="119"/>
      <c r="B738" s="331" t="s">
        <v>1296</v>
      </c>
      <c r="C738">
        <v>0</v>
      </c>
      <c r="D738" s="956">
        <v>378.73926360000041</v>
      </c>
      <c r="E738" s="956">
        <v>378.73926360000041</v>
      </c>
      <c r="F738" s="956">
        <v>378.73926360000041</v>
      </c>
      <c r="G738" s="956">
        <v>378.73926360000041</v>
      </c>
      <c r="H738" s="956">
        <v>378.73926360000041</v>
      </c>
      <c r="I738" s="1130">
        <v>1044.3091445600003</v>
      </c>
      <c r="J738" s="1130">
        <v>1044.3091445600003</v>
      </c>
      <c r="K738" s="1130">
        <v>1044.3091445600003</v>
      </c>
      <c r="L738" s="1130">
        <v>1044.3091445600003</v>
      </c>
      <c r="M738" s="1130">
        <v>1044.3091445600003</v>
      </c>
      <c r="N738" s="1130">
        <v>1044.3091445600003</v>
      </c>
      <c r="O738" s="1130">
        <v>1044.3091445600003</v>
      </c>
    </row>
    <row r="739" spans="1:15">
      <c r="A739" s="119"/>
      <c r="B739" s="331" t="s">
        <v>1297</v>
      </c>
      <c r="C739">
        <v>0</v>
      </c>
      <c r="D739" s="956">
        <v>678.60861488000228</v>
      </c>
      <c r="E739" s="956">
        <v>678.60861488000228</v>
      </c>
      <c r="F739" s="956">
        <v>678.60861488000228</v>
      </c>
      <c r="G739" s="956">
        <v>678.60861488000228</v>
      </c>
      <c r="H739" s="956">
        <v>678.60861488000228</v>
      </c>
      <c r="I739" s="1130">
        <v>952.88293520000298</v>
      </c>
      <c r="J739" s="1130">
        <v>952.88293520000298</v>
      </c>
      <c r="K739" s="1130">
        <v>952.88293520000298</v>
      </c>
      <c r="L739" s="1130">
        <v>952.88293520000298</v>
      </c>
      <c r="M739" s="1130">
        <v>952.88293520000298</v>
      </c>
      <c r="N739" s="1130">
        <v>952.88293520000298</v>
      </c>
      <c r="O739" s="1130">
        <v>952.88293520000298</v>
      </c>
    </row>
    <row r="740" spans="1:15">
      <c r="A740" s="119"/>
      <c r="B740" s="331" t="s">
        <v>1298</v>
      </c>
      <c r="C740">
        <v>126.79275280000002</v>
      </c>
      <c r="D740" s="956">
        <v>137.62821256000097</v>
      </c>
      <c r="E740" s="956">
        <v>137.62821256000097</v>
      </c>
      <c r="F740" s="956">
        <v>137.62821256000097</v>
      </c>
      <c r="G740" s="956">
        <v>137.62821256000097</v>
      </c>
      <c r="H740" s="956">
        <v>137.62821256000097</v>
      </c>
      <c r="I740" s="1130">
        <v>565.35426391999863</v>
      </c>
      <c r="J740" s="1130">
        <v>565.35426391999863</v>
      </c>
      <c r="K740" s="1130">
        <v>565.35426391999863</v>
      </c>
      <c r="L740" s="1130">
        <v>565.35426391999863</v>
      </c>
      <c r="M740" s="1130">
        <v>565.35426391999863</v>
      </c>
      <c r="N740" s="1130">
        <v>565.35426391999863</v>
      </c>
      <c r="O740" s="1130">
        <v>565.35426391999863</v>
      </c>
    </row>
    <row r="741" spans="1:15">
      <c r="A741" s="119"/>
      <c r="B741" s="331" t="s">
        <v>1299</v>
      </c>
      <c r="C741">
        <v>0</v>
      </c>
      <c r="D741" s="956">
        <v>255.97184840000045</v>
      </c>
      <c r="E741" s="956">
        <v>255.97184840000045</v>
      </c>
      <c r="F741" s="956">
        <v>255.97184840000045</v>
      </c>
      <c r="G741" s="956">
        <v>255.97184840000045</v>
      </c>
      <c r="H741" s="956">
        <v>255.97184840000045</v>
      </c>
      <c r="I741" s="956">
        <v>255.97184840000045</v>
      </c>
      <c r="J741" s="956">
        <v>255.97184840000045</v>
      </c>
      <c r="K741" s="956">
        <v>255.97184840000045</v>
      </c>
      <c r="L741" s="956">
        <v>255.97184840000045</v>
      </c>
      <c r="M741" s="956">
        <v>255.97184840000045</v>
      </c>
      <c r="N741" s="956">
        <v>255.97184840000045</v>
      </c>
      <c r="O741" s="956">
        <v>255.97184840000045</v>
      </c>
    </row>
    <row r="742" spans="1:15">
      <c r="A742" s="119"/>
      <c r="B742" s="331" t="s">
        <v>1300</v>
      </c>
      <c r="C742">
        <v>162.75157480000053</v>
      </c>
      <c r="D742" s="956">
        <v>227.29481727999882</v>
      </c>
      <c r="E742" s="956">
        <v>227.29481727999882</v>
      </c>
      <c r="F742" s="956">
        <v>227.29481727999882</v>
      </c>
      <c r="G742" s="956">
        <v>227.29481727999882</v>
      </c>
      <c r="H742" s="956">
        <v>227.29481727999882</v>
      </c>
      <c r="I742" s="1130">
        <v>0</v>
      </c>
      <c r="J742" s="1130">
        <v>0</v>
      </c>
      <c r="K742" s="1130">
        <v>0</v>
      </c>
      <c r="L742" s="1130">
        <v>0</v>
      </c>
      <c r="M742" s="1130">
        <v>0</v>
      </c>
      <c r="N742" s="1130">
        <v>0</v>
      </c>
      <c r="O742" s="1130">
        <v>0</v>
      </c>
    </row>
    <row r="743" spans="1:15">
      <c r="A743" s="119"/>
      <c r="B743" s="331" t="s">
        <v>1301</v>
      </c>
      <c r="C743">
        <v>0</v>
      </c>
      <c r="D743" s="956">
        <v>144.57124096000007</v>
      </c>
      <c r="E743" s="956">
        <v>144.57124096000007</v>
      </c>
      <c r="F743" s="956">
        <v>144.57124096000007</v>
      </c>
      <c r="G743" s="956">
        <v>144.57124096000007</v>
      </c>
      <c r="H743" s="956">
        <v>144.57124096000007</v>
      </c>
      <c r="I743" s="1130">
        <v>0</v>
      </c>
      <c r="J743" s="1130">
        <v>0</v>
      </c>
      <c r="K743" s="1130">
        <v>0</v>
      </c>
      <c r="L743" s="1130">
        <v>0</v>
      </c>
      <c r="M743" s="1130">
        <v>0</v>
      </c>
      <c r="N743" s="1130">
        <v>0</v>
      </c>
      <c r="O743" s="1130">
        <v>0</v>
      </c>
    </row>
    <row r="744" spans="1:15">
      <c r="A744" s="119"/>
      <c r="B744" s="331" t="s">
        <v>1302</v>
      </c>
      <c r="C744">
        <v>0</v>
      </c>
      <c r="D744" s="953">
        <v>0</v>
      </c>
      <c r="E744" s="953">
        <v>0</v>
      </c>
      <c r="F744" s="953">
        <v>0</v>
      </c>
      <c r="G744" s="953">
        <v>0</v>
      </c>
      <c r="H744" s="953">
        <v>0</v>
      </c>
      <c r="I744" s="1130">
        <v>597.23182040000029</v>
      </c>
      <c r="J744" s="1130">
        <v>597.23182040000029</v>
      </c>
      <c r="K744" s="1130">
        <v>597.23182040000029</v>
      </c>
      <c r="L744" s="1130">
        <v>597.23182040000029</v>
      </c>
      <c r="M744" s="1130">
        <v>597.23182040000029</v>
      </c>
      <c r="N744" s="1130">
        <v>597.23182040000029</v>
      </c>
      <c r="O744" s="1130">
        <v>597.23182040000029</v>
      </c>
    </row>
    <row r="745" spans="1:15">
      <c r="A745" s="119"/>
      <c r="B745" s="331" t="s">
        <v>1303</v>
      </c>
      <c r="C745">
        <v>0</v>
      </c>
      <c r="D745" s="953">
        <v>0</v>
      </c>
      <c r="E745" s="953">
        <v>0</v>
      </c>
      <c r="F745" s="953">
        <v>0</v>
      </c>
      <c r="G745" s="953">
        <v>0</v>
      </c>
      <c r="H745" s="953">
        <v>0</v>
      </c>
      <c r="I745" s="1130">
        <v>1369.3924545600003</v>
      </c>
      <c r="J745" s="1130">
        <v>1369.3924545600003</v>
      </c>
      <c r="K745" s="1130">
        <v>1369.3924545600003</v>
      </c>
      <c r="L745" s="1130">
        <v>1369.3924545600003</v>
      </c>
      <c r="M745" s="1130">
        <v>1369.3924545600003</v>
      </c>
      <c r="N745" s="1130">
        <v>1369.3924545600003</v>
      </c>
      <c r="O745" s="1130">
        <v>1369.3924545600003</v>
      </c>
    </row>
    <row r="746" spans="1:15">
      <c r="A746" s="119"/>
      <c r="B746" s="331" t="s">
        <v>1304</v>
      </c>
      <c r="C746">
        <v>0</v>
      </c>
      <c r="D746" s="953">
        <v>0</v>
      </c>
      <c r="E746" s="953">
        <v>0</v>
      </c>
      <c r="F746" s="953">
        <v>0</v>
      </c>
      <c r="G746" s="953">
        <v>0</v>
      </c>
      <c r="H746" s="953">
        <v>0</v>
      </c>
      <c r="I746" s="1130">
        <v>1443.5621101200013</v>
      </c>
      <c r="J746" s="1130">
        <v>1443.5621101200013</v>
      </c>
      <c r="K746" s="1130">
        <v>1443.5621101200013</v>
      </c>
      <c r="L746" s="1130">
        <v>1443.5621101200013</v>
      </c>
      <c r="M746" s="1130">
        <v>1443.5621101200013</v>
      </c>
      <c r="N746" s="1130">
        <v>1443.5621101200013</v>
      </c>
      <c r="O746" s="1130">
        <v>1443.5621101200013</v>
      </c>
    </row>
    <row r="747" spans="1:15">
      <c r="A747" s="119"/>
      <c r="B747" s="331" t="s">
        <v>1305</v>
      </c>
      <c r="C747">
        <v>0</v>
      </c>
      <c r="D747" s="953">
        <v>0</v>
      </c>
      <c r="E747" s="953">
        <v>0</v>
      </c>
      <c r="F747" s="953">
        <v>0</v>
      </c>
      <c r="G747" s="953">
        <v>0</v>
      </c>
      <c r="H747" s="953">
        <v>0</v>
      </c>
      <c r="I747" s="1130">
        <v>1323.7495896</v>
      </c>
      <c r="J747" s="1130">
        <v>1323.7495896</v>
      </c>
      <c r="K747" s="1130">
        <v>1323.7495896</v>
      </c>
      <c r="L747" s="1130">
        <v>1323.7495896</v>
      </c>
      <c r="M747" s="1130">
        <v>1323.7495896</v>
      </c>
      <c r="N747" s="1130">
        <v>1323.7495896</v>
      </c>
      <c r="O747" s="1130">
        <v>1323.7495896</v>
      </c>
    </row>
    <row r="748" spans="1:15">
      <c r="A748" s="119"/>
      <c r="B748" s="331" t="s">
        <v>1306</v>
      </c>
      <c r="C748">
        <v>115.40690879999966</v>
      </c>
      <c r="D748" s="956">
        <v>0</v>
      </c>
      <c r="E748" s="956">
        <v>0</v>
      </c>
      <c r="F748" s="956">
        <v>0</v>
      </c>
      <c r="G748" s="956">
        <v>0</v>
      </c>
      <c r="H748" s="956">
        <v>0</v>
      </c>
      <c r="I748" s="1130">
        <v>728.45505715999752</v>
      </c>
      <c r="J748" s="1130">
        <v>728.45505715999752</v>
      </c>
      <c r="K748" s="1130">
        <v>728.45505715999752</v>
      </c>
      <c r="L748" s="1130">
        <v>728.45505715999752</v>
      </c>
      <c r="M748" s="1130">
        <v>728.45505715999752</v>
      </c>
      <c r="N748" s="1130">
        <v>728.45505715999752</v>
      </c>
      <c r="O748" s="1130">
        <v>728.45505715999752</v>
      </c>
    </row>
    <row r="749" spans="1:15">
      <c r="A749" s="119"/>
      <c r="B749" s="331" t="s">
        <v>1307</v>
      </c>
      <c r="C749">
        <v>115.40690879999966</v>
      </c>
      <c r="D749" s="956">
        <v>232.08890072000213</v>
      </c>
      <c r="E749" s="956">
        <v>232.08890072000213</v>
      </c>
      <c r="F749" s="956">
        <v>232.08890072000213</v>
      </c>
      <c r="G749" s="956">
        <v>232.08890072000213</v>
      </c>
      <c r="H749" s="956">
        <v>232.08890072000213</v>
      </c>
      <c r="I749" s="1130">
        <v>443.18715116000021</v>
      </c>
      <c r="J749" s="1361">
        <v>443.18715116000385</v>
      </c>
      <c r="K749" s="1361">
        <v>443.18715116000385</v>
      </c>
      <c r="L749" s="1361">
        <v>443.18715116000385</v>
      </c>
      <c r="M749" s="1361">
        <v>443.18715116000385</v>
      </c>
      <c r="N749" s="1398">
        <v>443.18715116000021</v>
      </c>
      <c r="O749" s="1398">
        <v>443.18715116000021</v>
      </c>
    </row>
    <row r="750" spans="1:15">
      <c r="A750" s="119"/>
      <c r="B750" s="331" t="s">
        <v>1308</v>
      </c>
      <c r="C750">
        <v>164.34548032000021</v>
      </c>
      <c r="D750" s="956">
        <v>76.106943519997003</v>
      </c>
      <c r="E750" s="956">
        <v>76.106943519997003</v>
      </c>
      <c r="F750" s="956">
        <v>76.106943519997003</v>
      </c>
      <c r="G750" s="956">
        <v>76.106943519997003</v>
      </c>
      <c r="H750" s="956">
        <v>76.106943519997003</v>
      </c>
      <c r="I750" s="1130">
        <v>901.55308872000023</v>
      </c>
      <c r="J750" s="1130">
        <v>901.55308872000023</v>
      </c>
      <c r="K750" s="1130">
        <v>901.55308872000023</v>
      </c>
      <c r="L750" s="1130">
        <v>901.55308872000023</v>
      </c>
      <c r="M750" s="1130">
        <v>901.55308872000023</v>
      </c>
      <c r="N750" s="1130">
        <v>901.55308872000023</v>
      </c>
      <c r="O750" s="1130">
        <v>901.55308872000023</v>
      </c>
    </row>
    <row r="751" spans="1:15">
      <c r="A751" s="119"/>
      <c r="B751" s="331" t="s">
        <v>1309</v>
      </c>
      <c r="C751">
        <v>164.34548032000021</v>
      </c>
      <c r="D751" s="956">
        <v>311.96391439999934</v>
      </c>
      <c r="E751" s="956">
        <v>311.96391439999934</v>
      </c>
      <c r="F751" s="956">
        <v>311.96391439999934</v>
      </c>
      <c r="G751" s="956">
        <v>311.96391439999934</v>
      </c>
      <c r="H751" s="956">
        <v>311.96391439999934</v>
      </c>
      <c r="I751" s="1130">
        <v>311.9639143999957</v>
      </c>
      <c r="J751" s="1130">
        <v>311.9639143999957</v>
      </c>
      <c r="K751" s="1130">
        <v>311.9639143999957</v>
      </c>
      <c r="L751" s="1130">
        <v>311.9639143999957</v>
      </c>
      <c r="M751" s="1130">
        <v>311.9639143999957</v>
      </c>
      <c r="N751" s="1398">
        <v>311.96391439999934</v>
      </c>
      <c r="O751" s="1398">
        <v>311.96391439999934</v>
      </c>
    </row>
    <row r="752" spans="1:15">
      <c r="A752" s="119"/>
      <c r="B752" s="331" t="s">
        <v>1310</v>
      </c>
      <c r="C752">
        <v>139.80338427999959</v>
      </c>
      <c r="D752" s="956">
        <v>754.20272547999775</v>
      </c>
      <c r="E752" s="956">
        <v>754.20272547999775</v>
      </c>
      <c r="F752" s="956">
        <v>754.20272547999775</v>
      </c>
      <c r="G752" s="956">
        <v>754.20272547999775</v>
      </c>
      <c r="H752" s="956">
        <v>754.20272547999775</v>
      </c>
      <c r="I752" s="1130">
        <v>655.67570923999665</v>
      </c>
      <c r="J752" s="1130">
        <v>655.67570923999665</v>
      </c>
      <c r="K752" s="1130">
        <v>655.67570923999665</v>
      </c>
      <c r="L752" s="1130">
        <v>655.67570923999665</v>
      </c>
      <c r="M752" s="1130">
        <v>655.67570923999665</v>
      </c>
      <c r="N752" s="1130">
        <v>655.67570923999665</v>
      </c>
      <c r="O752" s="1130">
        <v>655.67570923999665</v>
      </c>
    </row>
    <row r="753" spans="1:15">
      <c r="A753" s="119"/>
      <c r="B753" s="331" t="s">
        <v>1311</v>
      </c>
      <c r="C753">
        <v>0</v>
      </c>
      <c r="D753" s="956">
        <v>144.57124096000007</v>
      </c>
      <c r="E753" s="956">
        <v>144.57124096000007</v>
      </c>
      <c r="F753" s="956">
        <v>144.57124096000007</v>
      </c>
      <c r="G753" s="956">
        <v>144.57124096000007</v>
      </c>
      <c r="H753" s="956">
        <v>144.57124096000007</v>
      </c>
      <c r="I753" s="1130">
        <v>625.75861100000111</v>
      </c>
      <c r="J753" s="1130">
        <v>625.75861100000111</v>
      </c>
      <c r="K753" s="1130">
        <v>625.75861100000111</v>
      </c>
      <c r="L753" s="1130">
        <v>625.75861100000111</v>
      </c>
      <c r="M753" s="1130">
        <v>625.75861100000111</v>
      </c>
      <c r="N753" s="1130">
        <v>625.75861100000111</v>
      </c>
      <c r="O753" s="1130">
        <v>625.75861100000111</v>
      </c>
    </row>
    <row r="754" spans="1:15">
      <c r="A754" s="119"/>
      <c r="B754" s="331" t="s">
        <v>1312</v>
      </c>
      <c r="C754">
        <v>0</v>
      </c>
      <c r="D754" s="956">
        <v>144.57124096000007</v>
      </c>
      <c r="E754" s="956">
        <v>144.57124096000007</v>
      </c>
      <c r="F754" s="956">
        <v>144.57124096000007</v>
      </c>
      <c r="G754" s="956">
        <v>144.57124096000007</v>
      </c>
      <c r="H754" s="956">
        <v>144.57124096000007</v>
      </c>
      <c r="I754" s="1130">
        <v>0</v>
      </c>
      <c r="J754" s="1130">
        <v>0</v>
      </c>
      <c r="K754" s="1130">
        <v>0</v>
      </c>
      <c r="L754" s="1130">
        <v>0</v>
      </c>
      <c r="M754" s="1130">
        <v>0</v>
      </c>
      <c r="N754" s="1130">
        <v>0</v>
      </c>
      <c r="O754" s="1130">
        <v>0</v>
      </c>
    </row>
    <row r="755" spans="1:15">
      <c r="A755" s="119"/>
      <c r="B755" s="331" t="s">
        <v>1313</v>
      </c>
      <c r="C755">
        <v>0</v>
      </c>
      <c r="D755" s="956">
        <v>26.018344959999013</v>
      </c>
      <c r="E755" s="956">
        <v>26.018344959999013</v>
      </c>
      <c r="F755" s="956">
        <v>26.018344959999013</v>
      </c>
      <c r="G755" s="956">
        <v>26.018344959999013</v>
      </c>
      <c r="H755" s="956">
        <v>26.018344959999013</v>
      </c>
      <c r="I755" s="1130">
        <v>0</v>
      </c>
      <c r="J755" s="1130">
        <v>0</v>
      </c>
      <c r="K755" s="1130">
        <v>0</v>
      </c>
      <c r="L755" s="1130">
        <v>0</v>
      </c>
      <c r="M755" s="1130">
        <v>0</v>
      </c>
      <c r="N755" s="1130">
        <v>0</v>
      </c>
      <c r="O755" s="1130">
        <v>0</v>
      </c>
    </row>
    <row r="756" spans="1:15">
      <c r="A756" s="119"/>
      <c r="B756" s="331" t="s">
        <v>1314</v>
      </c>
      <c r="C756">
        <v>0</v>
      </c>
      <c r="D756" s="953">
        <v>0</v>
      </c>
      <c r="E756" s="953">
        <v>0</v>
      </c>
      <c r="F756" s="953">
        <v>0</v>
      </c>
      <c r="G756" s="953">
        <v>0</v>
      </c>
      <c r="H756" s="953">
        <v>0</v>
      </c>
      <c r="I756" s="1130">
        <v>266.28554751999945</v>
      </c>
      <c r="J756" s="1130">
        <v>266.28554751999945</v>
      </c>
      <c r="K756" s="1130">
        <v>266.28554751999945</v>
      </c>
      <c r="L756" s="1130">
        <v>266.28554751999945</v>
      </c>
      <c r="M756" s="1130">
        <v>266.28554751999945</v>
      </c>
      <c r="N756" s="1130">
        <v>266.28554751999945</v>
      </c>
      <c r="O756" s="1130">
        <v>266.28554751999945</v>
      </c>
    </row>
    <row r="757" spans="1:15">
      <c r="A757" s="119"/>
      <c r="B757" s="331" t="s">
        <v>1315</v>
      </c>
      <c r="C757">
        <v>94.589148160001059</v>
      </c>
      <c r="D757" s="956">
        <v>0</v>
      </c>
      <c r="E757" s="956">
        <v>0</v>
      </c>
      <c r="F757" s="956">
        <v>0</v>
      </c>
      <c r="G757" s="956">
        <v>0</v>
      </c>
      <c r="H757" s="956">
        <v>0</v>
      </c>
      <c r="I757" s="1130">
        <v>1114.9976985600006</v>
      </c>
      <c r="J757" s="1130">
        <v>1114.9976985600006</v>
      </c>
      <c r="K757" s="1130">
        <v>1114.9976985600006</v>
      </c>
      <c r="L757" s="1130">
        <v>1114.9976985600006</v>
      </c>
      <c r="M757" s="1130">
        <v>1114.9976985600006</v>
      </c>
      <c r="N757" s="1130">
        <v>1114.9976985600006</v>
      </c>
      <c r="O757" s="1130">
        <v>1114.9976985600006</v>
      </c>
    </row>
    <row r="758" spans="1:15">
      <c r="A758" s="119"/>
      <c r="B758" s="331" t="s">
        <v>1316</v>
      </c>
      <c r="C758">
        <v>0</v>
      </c>
      <c r="D758" s="953">
        <v>0</v>
      </c>
      <c r="E758" s="953">
        <v>0</v>
      </c>
      <c r="F758" s="953">
        <v>0</v>
      </c>
      <c r="G758" s="953">
        <v>0</v>
      </c>
      <c r="H758" s="953">
        <v>0</v>
      </c>
      <c r="I758" s="1130">
        <v>1684.7786598400016</v>
      </c>
      <c r="J758" s="1130">
        <v>1684.7786598400016</v>
      </c>
      <c r="K758" s="1130">
        <v>1684.7786598400016</v>
      </c>
      <c r="L758" s="1130">
        <v>1684.7786598400016</v>
      </c>
      <c r="M758" s="1130">
        <v>1684.7786598400016</v>
      </c>
      <c r="N758" s="1130">
        <v>1684.7786598400016</v>
      </c>
      <c r="O758" s="1130">
        <v>1684.7786598400016</v>
      </c>
    </row>
    <row r="759" spans="1:15">
      <c r="A759" s="119"/>
      <c r="B759" s="331" t="s">
        <v>1317</v>
      </c>
      <c r="C759">
        <v>0</v>
      </c>
      <c r="D759" s="956">
        <v>336.05730304000099</v>
      </c>
      <c r="E759" s="956">
        <v>336.05730304000099</v>
      </c>
      <c r="F759" s="956">
        <v>336.05730304000099</v>
      </c>
      <c r="G759" s="956">
        <v>336.05730304000099</v>
      </c>
      <c r="H759" s="956">
        <v>336.05730304000099</v>
      </c>
      <c r="I759" s="1130">
        <v>1400.472432640001</v>
      </c>
      <c r="J759" s="1130">
        <v>1400.472432640001</v>
      </c>
      <c r="K759" s="1130">
        <v>1400.472432640001</v>
      </c>
      <c r="L759" s="1130">
        <v>1400.472432640001</v>
      </c>
      <c r="M759" s="1130">
        <v>1400.472432640001</v>
      </c>
      <c r="N759" s="1130">
        <v>1400.472432640001</v>
      </c>
      <c r="O759" s="1130">
        <v>1400.472432640001</v>
      </c>
    </row>
    <row r="760" spans="1:15">
      <c r="A760" s="119"/>
      <c r="B760" s="331" t="s">
        <v>1318</v>
      </c>
      <c r="C760">
        <v>0</v>
      </c>
      <c r="D760" s="956">
        <v>38.663987199997791</v>
      </c>
      <c r="E760" s="956">
        <v>38.663987199997791</v>
      </c>
      <c r="F760" s="956">
        <v>38.663987199997791</v>
      </c>
      <c r="G760" s="956">
        <v>38.663987199997791</v>
      </c>
      <c r="H760" s="956">
        <v>38.663987199997791</v>
      </c>
      <c r="I760" s="1130">
        <v>418.76031487999717</v>
      </c>
      <c r="J760" s="1130">
        <v>418.76031487999717</v>
      </c>
      <c r="K760" s="1130">
        <v>418.76031487999717</v>
      </c>
      <c r="L760" s="1130">
        <v>418.76031487999717</v>
      </c>
      <c r="M760" s="1130">
        <v>418.76031487999717</v>
      </c>
      <c r="N760" s="1130">
        <v>418.76031487999717</v>
      </c>
      <c r="O760" s="1130">
        <v>418.76031487999717</v>
      </c>
    </row>
    <row r="761" spans="1:15">
      <c r="A761" s="119"/>
      <c r="B761" s="331" t="s">
        <v>1319</v>
      </c>
      <c r="C761">
        <v>0</v>
      </c>
      <c r="D761" s="956">
        <v>38.663987200001429</v>
      </c>
      <c r="E761" s="956">
        <v>38.663987200001429</v>
      </c>
      <c r="F761" s="956">
        <v>38.663987200001429</v>
      </c>
      <c r="G761" s="956">
        <v>38.663987200001429</v>
      </c>
      <c r="H761" s="956">
        <v>38.663987200001429</v>
      </c>
      <c r="I761" s="1130">
        <v>444.051599360002</v>
      </c>
      <c r="J761" s="1130">
        <v>444.051599360002</v>
      </c>
      <c r="K761" s="1130">
        <v>444.051599360002</v>
      </c>
      <c r="L761" s="1130">
        <v>444.051599360002</v>
      </c>
      <c r="M761" s="1130">
        <v>444.051599360002</v>
      </c>
      <c r="N761" s="1130">
        <v>444.051599360002</v>
      </c>
      <c r="O761" s="1130">
        <v>444.051599360002</v>
      </c>
    </row>
    <row r="762" spans="1:15">
      <c r="A762" s="119"/>
      <c r="B762" s="331" t="s">
        <v>1320</v>
      </c>
      <c r="C762">
        <v>279.65825023999787</v>
      </c>
      <c r="D762" s="956">
        <v>0</v>
      </c>
      <c r="E762" s="956">
        <v>0</v>
      </c>
      <c r="F762" s="956">
        <v>0</v>
      </c>
      <c r="G762" s="956">
        <v>0</v>
      </c>
      <c r="H762" s="956">
        <v>0</v>
      </c>
      <c r="I762" s="1130">
        <v>266.28554751999764</v>
      </c>
      <c r="J762" s="1130">
        <v>266.28554751999764</v>
      </c>
      <c r="K762" s="1130">
        <v>266.28554751999764</v>
      </c>
      <c r="L762" s="1130">
        <v>266.28554751999764</v>
      </c>
      <c r="M762" s="1130">
        <v>266.28554751999764</v>
      </c>
      <c r="N762" s="1130">
        <v>266.28554751999764</v>
      </c>
      <c r="O762" s="1130">
        <v>266.28554751999764</v>
      </c>
    </row>
    <row r="763" spans="1:15">
      <c r="A763" s="119"/>
      <c r="B763" s="331" t="s">
        <v>1321</v>
      </c>
      <c r="C763">
        <v>279.65825023999787</v>
      </c>
      <c r="D763" s="956">
        <v>127.18348287999834</v>
      </c>
      <c r="E763" s="956">
        <v>127.18348287999834</v>
      </c>
      <c r="F763" s="956">
        <v>127.18348287999834</v>
      </c>
      <c r="G763" s="956">
        <v>127.18348287999834</v>
      </c>
      <c r="H763" s="956">
        <v>127.18348287999834</v>
      </c>
      <c r="I763" s="956">
        <v>127.18348287999834</v>
      </c>
      <c r="J763" s="956">
        <v>127.18348287999834</v>
      </c>
      <c r="K763" s="956">
        <v>127.18348287999834</v>
      </c>
      <c r="L763" s="956">
        <v>127.18348287999834</v>
      </c>
      <c r="M763" s="956">
        <v>127.18348287999834</v>
      </c>
      <c r="N763" s="956">
        <v>127.18348287999834</v>
      </c>
      <c r="O763" s="956">
        <v>127.18348287999834</v>
      </c>
    </row>
    <row r="764" spans="1:15">
      <c r="A764" s="119"/>
      <c r="B764" s="331" t="s">
        <v>1322</v>
      </c>
      <c r="C764">
        <v>196.73451520000162</v>
      </c>
      <c r="D764" s="956">
        <v>184.81593344000066</v>
      </c>
      <c r="E764" s="956">
        <v>184.81593344000066</v>
      </c>
      <c r="F764" s="956">
        <v>184.81593344000066</v>
      </c>
      <c r="G764" s="956">
        <v>184.81593344000066</v>
      </c>
      <c r="H764" s="956">
        <v>184.81593344000066</v>
      </c>
      <c r="I764" s="956">
        <v>184.81593344000066</v>
      </c>
      <c r="J764" s="956">
        <v>184.81593344000066</v>
      </c>
      <c r="K764" s="956">
        <v>184.81593344000066</v>
      </c>
      <c r="L764" s="956">
        <v>184.81593344000066</v>
      </c>
      <c r="M764" s="956">
        <v>184.81593344000066</v>
      </c>
      <c r="N764" s="956">
        <v>184.81593344000066</v>
      </c>
      <c r="O764" s="956">
        <v>184.81593344000066</v>
      </c>
    </row>
    <row r="765" spans="1:15">
      <c r="A765" s="119"/>
      <c r="B765" s="331" t="s">
        <v>1323</v>
      </c>
      <c r="C765">
        <v>0</v>
      </c>
      <c r="D765" s="956">
        <v>26.018344959999013</v>
      </c>
      <c r="E765" s="956">
        <v>26.018344959999013</v>
      </c>
      <c r="F765" s="956">
        <v>26.018344959999013</v>
      </c>
      <c r="G765" s="956">
        <v>26.018344959999013</v>
      </c>
      <c r="H765" s="956">
        <v>26.018344959999013</v>
      </c>
      <c r="I765" s="1130">
        <v>886.64907775999745</v>
      </c>
      <c r="J765" s="1130">
        <v>886.64907775999745</v>
      </c>
      <c r="K765" s="1130">
        <v>886.64907775999745</v>
      </c>
      <c r="L765" s="1130">
        <v>886.64907775999745</v>
      </c>
      <c r="M765" s="1130">
        <v>886.64907775999745</v>
      </c>
      <c r="N765" s="1130">
        <v>886.64907775999745</v>
      </c>
      <c r="O765" s="1130">
        <v>886.64907775999745</v>
      </c>
    </row>
    <row r="766" spans="1:15">
      <c r="A766" s="119"/>
      <c r="B766" s="331" t="s">
        <v>1324</v>
      </c>
      <c r="C766">
        <v>0</v>
      </c>
      <c r="D766" s="956">
        <v>26.018344959999013</v>
      </c>
      <c r="E766" s="956">
        <v>26.018344959999013</v>
      </c>
      <c r="F766" s="956">
        <v>26.018344959999013</v>
      </c>
      <c r="G766" s="956">
        <v>26.018344959999013</v>
      </c>
      <c r="H766" s="956">
        <v>26.018344959999013</v>
      </c>
      <c r="I766" s="1130">
        <v>886.64907775999745</v>
      </c>
      <c r="J766" s="1130">
        <v>886.64907775999745</v>
      </c>
      <c r="K766" s="1130">
        <v>886.64907775999745</v>
      </c>
      <c r="L766" s="1130">
        <v>886.64907775999745</v>
      </c>
      <c r="M766" s="1130">
        <v>886.64907775999745</v>
      </c>
      <c r="N766" s="1130">
        <v>886.64907775999745</v>
      </c>
      <c r="O766" s="1130">
        <v>886.64907775999745</v>
      </c>
    </row>
    <row r="768" spans="1:15">
      <c r="A768" s="119">
        <v>6.21</v>
      </c>
      <c r="B768" s="333" t="s">
        <v>442</v>
      </c>
      <c r="D768" s="953"/>
      <c r="E768" s="953"/>
      <c r="F768" s="953"/>
      <c r="G768" s="953"/>
      <c r="H768" s="953"/>
      <c r="I768" s="953"/>
      <c r="J768" s="953"/>
      <c r="K768" s="953"/>
      <c r="L768" s="953"/>
      <c r="M768" s="953"/>
      <c r="N768" s="953"/>
      <c r="O768" s="953"/>
    </row>
    <row r="769" spans="1:15">
      <c r="A769" s="119"/>
      <c r="B769" s="333" t="s">
        <v>1325</v>
      </c>
      <c r="C769">
        <v>7.0000000000000007E-2</v>
      </c>
      <c r="D769" s="956">
        <v>0.06</v>
      </c>
      <c r="E769" s="956">
        <v>0.06</v>
      </c>
      <c r="F769" s="956">
        <v>0.06</v>
      </c>
      <c r="G769" s="956">
        <v>0.06</v>
      </c>
      <c r="H769" s="956">
        <v>0.06</v>
      </c>
      <c r="I769" s="956">
        <v>0.06</v>
      </c>
      <c r="J769" s="956">
        <v>0.06</v>
      </c>
      <c r="K769" s="956">
        <v>0.06</v>
      </c>
      <c r="L769" s="956">
        <v>0.06</v>
      </c>
      <c r="M769" s="956">
        <v>0.06</v>
      </c>
      <c r="N769" s="956">
        <v>0.06</v>
      </c>
      <c r="O769" s="956">
        <v>0.06</v>
      </c>
    </row>
    <row r="770" spans="1:15">
      <c r="A770" s="119"/>
      <c r="B770" s="333" t="s">
        <v>1326</v>
      </c>
      <c r="C770">
        <v>7.0000000000000007E-2</v>
      </c>
      <c r="D770" s="956">
        <v>0.06</v>
      </c>
      <c r="E770" s="956">
        <v>0.06</v>
      </c>
      <c r="F770" s="956">
        <v>0.06</v>
      </c>
      <c r="G770" s="956">
        <v>0.06</v>
      </c>
      <c r="H770" s="956">
        <v>0.06</v>
      </c>
      <c r="I770" s="956">
        <v>0.06</v>
      </c>
      <c r="J770" s="956">
        <v>0.06</v>
      </c>
      <c r="K770" s="956">
        <v>0.06</v>
      </c>
      <c r="L770" s="956">
        <v>0.06</v>
      </c>
      <c r="M770" s="956">
        <v>0.06</v>
      </c>
      <c r="N770" s="956">
        <v>0.06</v>
      </c>
      <c r="O770" s="956">
        <v>0.06</v>
      </c>
    </row>
    <row r="771" spans="1:15">
      <c r="A771" s="119"/>
      <c r="B771" s="333" t="s">
        <v>1327</v>
      </c>
      <c r="C771">
        <v>7.0000000000000007E-2</v>
      </c>
      <c r="D771" s="956">
        <v>0.06</v>
      </c>
      <c r="E771" s="956">
        <v>0.06</v>
      </c>
      <c r="F771" s="956">
        <v>0.06</v>
      </c>
      <c r="G771" s="956">
        <v>0.06</v>
      </c>
      <c r="H771" s="956">
        <v>0.06</v>
      </c>
      <c r="I771" s="956">
        <v>0.06</v>
      </c>
      <c r="J771" s="956">
        <v>0.06</v>
      </c>
      <c r="K771" s="956">
        <v>0.06</v>
      </c>
      <c r="L771" s="956">
        <v>0.06</v>
      </c>
      <c r="M771" s="956">
        <v>0.06</v>
      </c>
      <c r="N771" s="956">
        <v>0.06</v>
      </c>
      <c r="O771" s="956">
        <v>0.06</v>
      </c>
    </row>
    <row r="772" spans="1:15">
      <c r="A772" s="119"/>
      <c r="B772" s="333" t="s">
        <v>1328</v>
      </c>
      <c r="C772">
        <v>7.0000000000000007E-2</v>
      </c>
      <c r="D772" s="956">
        <v>0.06</v>
      </c>
      <c r="E772" s="956">
        <v>0.06</v>
      </c>
      <c r="F772" s="956">
        <v>0.06</v>
      </c>
      <c r="G772" s="956">
        <v>0.06</v>
      </c>
      <c r="H772" s="956">
        <v>0.06</v>
      </c>
      <c r="I772" s="956">
        <v>0.06</v>
      </c>
      <c r="J772" s="956">
        <v>0.06</v>
      </c>
      <c r="K772" s="956">
        <v>0.06</v>
      </c>
      <c r="L772" s="956">
        <v>0.06</v>
      </c>
      <c r="M772" s="956">
        <v>0.06</v>
      </c>
      <c r="N772" s="956">
        <v>0.06</v>
      </c>
      <c r="O772" s="956">
        <v>0.06</v>
      </c>
    </row>
    <row r="773" spans="1:15">
      <c r="A773" s="119"/>
      <c r="B773" s="333" t="s">
        <v>1329</v>
      </c>
      <c r="C773">
        <v>0.08</v>
      </c>
      <c r="D773" s="953">
        <v>0.08</v>
      </c>
      <c r="E773" s="953">
        <v>0.08</v>
      </c>
      <c r="F773" s="953">
        <v>0.08</v>
      </c>
      <c r="G773" s="953">
        <v>0.08</v>
      </c>
      <c r="H773" s="953">
        <v>0.08</v>
      </c>
      <c r="I773" s="953">
        <v>0.08</v>
      </c>
      <c r="J773" s="953">
        <v>0.08</v>
      </c>
      <c r="K773" s="953">
        <v>0.08</v>
      </c>
      <c r="L773" s="953">
        <v>0.08</v>
      </c>
      <c r="M773" s="953">
        <v>0.08</v>
      </c>
      <c r="N773" s="953">
        <v>0.08</v>
      </c>
      <c r="O773" s="953">
        <v>0.08</v>
      </c>
    </row>
    <row r="774" spans="1:15">
      <c r="A774" s="119"/>
      <c r="B774" s="333" t="s">
        <v>1330</v>
      </c>
      <c r="C774">
        <v>0.1</v>
      </c>
      <c r="D774" s="956">
        <v>0.12</v>
      </c>
      <c r="E774" s="956">
        <v>0.12</v>
      </c>
      <c r="F774" s="956">
        <v>0.12</v>
      </c>
      <c r="G774" s="956">
        <v>0.12</v>
      </c>
      <c r="H774" s="956">
        <v>0.12</v>
      </c>
      <c r="I774" s="956">
        <v>0.12</v>
      </c>
      <c r="J774" s="956">
        <v>0.12</v>
      </c>
      <c r="K774" s="956">
        <v>0.12</v>
      </c>
      <c r="L774" s="956">
        <v>0.12</v>
      </c>
      <c r="M774" s="956">
        <v>0.12</v>
      </c>
      <c r="N774" s="956">
        <v>0.12</v>
      </c>
      <c r="O774" s="956">
        <v>0.12</v>
      </c>
    </row>
    <row r="775" spans="1:15">
      <c r="A775" s="119"/>
      <c r="B775" s="333" t="s">
        <v>1331</v>
      </c>
      <c r="C775">
        <v>0.1</v>
      </c>
      <c r="D775" s="956">
        <v>0.12</v>
      </c>
      <c r="E775" s="956">
        <v>0.12</v>
      </c>
      <c r="F775" s="956">
        <v>0.12</v>
      </c>
      <c r="G775" s="956">
        <v>0.12</v>
      </c>
      <c r="H775" s="956">
        <v>0.12</v>
      </c>
      <c r="I775" s="956">
        <v>0.12</v>
      </c>
      <c r="J775" s="956">
        <v>0.12</v>
      </c>
      <c r="K775" s="956">
        <v>0.12</v>
      </c>
      <c r="L775" s="956">
        <v>0.12</v>
      </c>
      <c r="M775" s="956">
        <v>0.12</v>
      </c>
      <c r="N775" s="956">
        <v>0.12</v>
      </c>
      <c r="O775" s="956">
        <v>0.12</v>
      </c>
    </row>
    <row r="776" spans="1:15">
      <c r="A776" s="119"/>
      <c r="B776" s="333" t="s">
        <v>1332</v>
      </c>
      <c r="C776">
        <v>0.1</v>
      </c>
      <c r="D776" s="956">
        <v>0.12</v>
      </c>
      <c r="E776" s="956">
        <v>0.12</v>
      </c>
      <c r="F776" s="956">
        <v>0.12</v>
      </c>
      <c r="G776" s="956">
        <v>0.12</v>
      </c>
      <c r="H776" s="956">
        <v>0.12</v>
      </c>
      <c r="I776" s="956">
        <v>0.12</v>
      </c>
      <c r="J776" s="956">
        <v>0.12</v>
      </c>
      <c r="K776" s="956">
        <v>0.12</v>
      </c>
      <c r="L776" s="956">
        <v>0.12</v>
      </c>
      <c r="M776" s="956">
        <v>0.12</v>
      </c>
      <c r="N776" s="956">
        <v>0.12</v>
      </c>
      <c r="O776" s="956">
        <v>0.12</v>
      </c>
    </row>
    <row r="777" spans="1:15">
      <c r="A777" s="119"/>
      <c r="B777" s="333" t="s">
        <v>1333</v>
      </c>
      <c r="C777">
        <v>0.1</v>
      </c>
      <c r="D777" s="953">
        <v>0.1</v>
      </c>
      <c r="E777" s="953">
        <v>0.1</v>
      </c>
      <c r="F777" s="953">
        <v>0.1</v>
      </c>
      <c r="G777" s="953">
        <v>0.1</v>
      </c>
      <c r="H777" s="953">
        <v>0.1</v>
      </c>
      <c r="I777" s="953">
        <v>0.1</v>
      </c>
      <c r="J777" s="953">
        <v>0.1</v>
      </c>
      <c r="K777" s="953">
        <v>0.1</v>
      </c>
      <c r="L777" s="953">
        <v>0.1</v>
      </c>
      <c r="M777" s="953">
        <v>0.1</v>
      </c>
      <c r="N777" s="953">
        <v>0.1</v>
      </c>
      <c r="O777" s="953">
        <v>0.1</v>
      </c>
    </row>
    <row r="778" spans="1:15">
      <c r="A778" s="119"/>
      <c r="B778" s="333" t="s">
        <v>1334</v>
      </c>
      <c r="C778">
        <v>0.1</v>
      </c>
      <c r="D778" s="953">
        <v>0.1</v>
      </c>
      <c r="E778" s="953">
        <v>0.1</v>
      </c>
      <c r="F778" s="953">
        <v>0.1</v>
      </c>
      <c r="G778" s="953">
        <v>0.1</v>
      </c>
      <c r="H778" s="953">
        <v>0.1</v>
      </c>
      <c r="I778" s="953">
        <v>0.1</v>
      </c>
      <c r="J778" s="953">
        <v>0.1</v>
      </c>
      <c r="K778" s="953">
        <v>0.1</v>
      </c>
      <c r="L778" s="953">
        <v>0.1</v>
      </c>
      <c r="M778" s="953">
        <v>0.1</v>
      </c>
      <c r="N778" s="953">
        <v>0.1</v>
      </c>
      <c r="O778" s="953">
        <v>0.1</v>
      </c>
    </row>
    <row r="779" spans="1:15">
      <c r="A779" s="119"/>
      <c r="B779" s="333" t="s">
        <v>1335</v>
      </c>
      <c r="C779">
        <v>7.0000000000000007E-2</v>
      </c>
      <c r="D779" s="956">
        <v>0.06</v>
      </c>
      <c r="E779" s="956">
        <v>0.06</v>
      </c>
      <c r="F779" s="956">
        <v>0.06</v>
      </c>
      <c r="G779" s="956">
        <v>0.06</v>
      </c>
      <c r="H779" s="956">
        <v>0.06</v>
      </c>
      <c r="I779" s="956">
        <v>0.06</v>
      </c>
      <c r="J779" s="956">
        <v>0.06</v>
      </c>
      <c r="K779" s="956">
        <v>0.06</v>
      </c>
      <c r="L779" s="956">
        <v>0.06</v>
      </c>
      <c r="M779" s="956">
        <v>0.06</v>
      </c>
      <c r="N779" s="956">
        <v>0.06</v>
      </c>
      <c r="O779" s="956">
        <v>0.06</v>
      </c>
    </row>
    <row r="780" spans="1:15">
      <c r="A780" s="119"/>
      <c r="B780" s="333" t="s">
        <v>1336</v>
      </c>
      <c r="C780">
        <v>7.0000000000000007E-2</v>
      </c>
      <c r="D780" s="956">
        <v>0.06</v>
      </c>
      <c r="E780" s="956">
        <v>0.06</v>
      </c>
      <c r="F780" s="956">
        <v>0.06</v>
      </c>
      <c r="G780" s="956">
        <v>0.06</v>
      </c>
      <c r="H780" s="956">
        <v>0.06</v>
      </c>
      <c r="I780" s="956">
        <v>0.06</v>
      </c>
      <c r="J780" s="956">
        <v>0.06</v>
      </c>
      <c r="K780" s="956">
        <v>0.06</v>
      </c>
      <c r="L780" s="956">
        <v>0.06</v>
      </c>
      <c r="M780" s="956">
        <v>0.06</v>
      </c>
      <c r="N780" s="956">
        <v>0.06</v>
      </c>
      <c r="O780" s="956">
        <v>0.06</v>
      </c>
    </row>
    <row r="781" spans="1:15">
      <c r="A781" s="119"/>
      <c r="B781" s="333" t="s">
        <v>1337</v>
      </c>
      <c r="C781">
        <v>0.06</v>
      </c>
      <c r="D781" s="953">
        <v>0.06</v>
      </c>
      <c r="E781" s="953">
        <v>0.06</v>
      </c>
      <c r="F781" s="953">
        <v>0.06</v>
      </c>
      <c r="G781" s="953">
        <v>0.06</v>
      </c>
      <c r="H781" s="953">
        <v>0.06</v>
      </c>
      <c r="I781" s="953">
        <v>0.06</v>
      </c>
      <c r="J781" s="953">
        <v>0.06</v>
      </c>
      <c r="K781" s="953">
        <v>0.06</v>
      </c>
      <c r="L781" s="953">
        <v>0.06</v>
      </c>
      <c r="M781" s="953">
        <v>0.06</v>
      </c>
      <c r="N781" s="953">
        <v>0.06</v>
      </c>
      <c r="O781" s="953">
        <v>0.06</v>
      </c>
    </row>
    <row r="782" spans="1:15">
      <c r="A782" s="119"/>
      <c r="B782" s="333" t="s">
        <v>1338</v>
      </c>
      <c r="C782">
        <v>0.06</v>
      </c>
      <c r="D782" s="953">
        <v>0.06</v>
      </c>
      <c r="E782" s="953">
        <v>0.06</v>
      </c>
      <c r="F782" s="953">
        <v>0.06</v>
      </c>
      <c r="G782" s="953">
        <v>0.06</v>
      </c>
      <c r="H782" s="953">
        <v>0.06</v>
      </c>
      <c r="I782" s="953">
        <v>0.06</v>
      </c>
      <c r="J782" s="953">
        <v>0.06</v>
      </c>
      <c r="K782" s="953">
        <v>0.06</v>
      </c>
      <c r="L782" s="953">
        <v>0.06</v>
      </c>
      <c r="M782" s="953">
        <v>0.06</v>
      </c>
      <c r="N782" s="953">
        <v>0.06</v>
      </c>
      <c r="O782" s="953">
        <v>0.06</v>
      </c>
    </row>
    <row r="783" spans="1:15">
      <c r="A783" s="119"/>
      <c r="B783" s="333" t="s">
        <v>1339</v>
      </c>
      <c r="C783">
        <v>0.06</v>
      </c>
      <c r="D783" s="953">
        <v>0.06</v>
      </c>
      <c r="E783" s="953">
        <v>0.06</v>
      </c>
      <c r="F783" s="953">
        <v>0.06</v>
      </c>
      <c r="G783" s="953">
        <v>0.06</v>
      </c>
      <c r="H783" s="953">
        <v>0.06</v>
      </c>
      <c r="I783" s="953">
        <v>0.06</v>
      </c>
      <c r="J783" s="953">
        <v>0.06</v>
      </c>
      <c r="K783" s="953">
        <v>0.06</v>
      </c>
      <c r="L783" s="953">
        <v>0.06</v>
      </c>
      <c r="M783" s="953">
        <v>0.06</v>
      </c>
      <c r="N783" s="953">
        <v>0.06</v>
      </c>
      <c r="O783" s="953">
        <v>0.06</v>
      </c>
    </row>
    <row r="784" spans="1:15">
      <c r="A784" s="119"/>
      <c r="B784" s="333" t="s">
        <v>1340</v>
      </c>
      <c r="C784">
        <v>7.0000000000000007E-2</v>
      </c>
      <c r="D784" s="953">
        <v>7.0000000000000007E-2</v>
      </c>
      <c r="E784" s="953">
        <v>7.0000000000000007E-2</v>
      </c>
      <c r="F784" s="953">
        <v>7.0000000000000007E-2</v>
      </c>
      <c r="G784" s="953">
        <v>7.0000000000000007E-2</v>
      </c>
      <c r="H784" s="953">
        <v>7.0000000000000007E-2</v>
      </c>
      <c r="I784" s="953">
        <v>7.0000000000000007E-2</v>
      </c>
      <c r="J784" s="953">
        <v>7.0000000000000007E-2</v>
      </c>
      <c r="K784" s="953">
        <v>7.0000000000000007E-2</v>
      </c>
      <c r="L784" s="953">
        <v>7.0000000000000007E-2</v>
      </c>
      <c r="M784" s="953">
        <v>7.0000000000000007E-2</v>
      </c>
      <c r="N784" s="953">
        <v>7.0000000000000007E-2</v>
      </c>
      <c r="O784" s="953">
        <v>7.0000000000000007E-2</v>
      </c>
    </row>
    <row r="785" spans="1:15">
      <c r="A785" s="119"/>
      <c r="B785" s="333" t="s">
        <v>1341</v>
      </c>
      <c r="C785">
        <v>0.08</v>
      </c>
      <c r="D785" s="953">
        <v>0.08</v>
      </c>
      <c r="E785" s="953">
        <v>0.08</v>
      </c>
      <c r="F785" s="953">
        <v>0.08</v>
      </c>
      <c r="G785" s="953">
        <v>0.08</v>
      </c>
      <c r="H785" s="953">
        <v>0.08</v>
      </c>
      <c r="I785" s="953">
        <v>0.08</v>
      </c>
      <c r="J785" s="953">
        <v>0.08</v>
      </c>
      <c r="K785" s="953">
        <v>0.08</v>
      </c>
      <c r="L785" s="953">
        <v>0.08</v>
      </c>
      <c r="M785" s="953">
        <v>0.08</v>
      </c>
      <c r="N785" s="953">
        <v>0.08</v>
      </c>
      <c r="O785" s="953">
        <v>0.08</v>
      </c>
    </row>
    <row r="786" spans="1:15">
      <c r="A786" s="119"/>
      <c r="B786" s="333" t="s">
        <v>1342</v>
      </c>
      <c r="C786">
        <v>0.1</v>
      </c>
      <c r="D786" s="956">
        <v>0.11</v>
      </c>
      <c r="E786" s="956">
        <v>0.11</v>
      </c>
      <c r="F786" s="956">
        <v>0.11</v>
      </c>
      <c r="G786" s="956">
        <v>0.11</v>
      </c>
      <c r="H786" s="956">
        <v>0.11</v>
      </c>
      <c r="I786" s="956">
        <v>0.11</v>
      </c>
      <c r="J786" s="956">
        <v>0.11</v>
      </c>
      <c r="K786" s="956">
        <v>0.11</v>
      </c>
      <c r="L786" s="956">
        <v>0.11</v>
      </c>
      <c r="M786" s="956">
        <v>0.11</v>
      </c>
      <c r="N786" s="956">
        <v>0.11</v>
      </c>
      <c r="O786" s="956">
        <v>0.11</v>
      </c>
    </row>
    <row r="787" spans="1:15">
      <c r="A787" s="119"/>
      <c r="B787" s="333" t="s">
        <v>1343</v>
      </c>
      <c r="C787">
        <v>0.1</v>
      </c>
      <c r="D787" s="956">
        <v>0.12</v>
      </c>
      <c r="E787" s="956">
        <v>0.12</v>
      </c>
      <c r="F787" s="956">
        <v>0.12</v>
      </c>
      <c r="G787" s="956">
        <v>0.12</v>
      </c>
      <c r="H787" s="956">
        <v>0.12</v>
      </c>
      <c r="I787" s="956">
        <v>0.12</v>
      </c>
      <c r="J787" s="956">
        <v>0.12</v>
      </c>
      <c r="K787" s="956">
        <v>0.12</v>
      </c>
      <c r="L787" s="956">
        <v>0.12</v>
      </c>
      <c r="M787" s="956">
        <v>0.12</v>
      </c>
      <c r="N787" s="956">
        <v>0.12</v>
      </c>
      <c r="O787" s="956">
        <v>0.12</v>
      </c>
    </row>
    <row r="788" spans="1:15">
      <c r="A788" s="119"/>
      <c r="B788" s="333" t="s">
        <v>1344</v>
      </c>
      <c r="C788">
        <v>0.11</v>
      </c>
      <c r="D788" s="953">
        <v>0.11</v>
      </c>
      <c r="E788" s="953">
        <v>0.11</v>
      </c>
      <c r="F788" s="953">
        <v>0.11</v>
      </c>
      <c r="G788" s="953">
        <v>0.11</v>
      </c>
      <c r="H788" s="953">
        <v>0.11</v>
      </c>
      <c r="I788" s="953">
        <v>0.11</v>
      </c>
      <c r="J788" s="953">
        <v>0.11</v>
      </c>
      <c r="K788" s="953">
        <v>0.11</v>
      </c>
      <c r="L788" s="953">
        <v>0.11</v>
      </c>
      <c r="M788" s="953">
        <v>0.11</v>
      </c>
      <c r="N788" s="953">
        <v>0.11</v>
      </c>
      <c r="O788" s="953">
        <v>0.11</v>
      </c>
    </row>
    <row r="789" spans="1:15">
      <c r="A789" s="119"/>
      <c r="B789" s="333" t="s">
        <v>1345</v>
      </c>
      <c r="C789">
        <v>0.11</v>
      </c>
      <c r="D789" s="956">
        <v>0.1</v>
      </c>
      <c r="E789" s="956">
        <v>0.1</v>
      </c>
      <c r="F789" s="956">
        <v>0.1</v>
      </c>
      <c r="G789" s="956">
        <v>0.1</v>
      </c>
      <c r="H789" s="956">
        <v>0.1</v>
      </c>
      <c r="I789" s="956">
        <v>0.1</v>
      </c>
      <c r="J789" s="956">
        <v>0.1</v>
      </c>
      <c r="K789" s="956">
        <v>0.1</v>
      </c>
      <c r="L789" s="956">
        <v>0.1</v>
      </c>
      <c r="M789" s="956">
        <v>0.1</v>
      </c>
      <c r="N789" s="956">
        <v>0.1</v>
      </c>
      <c r="O789" s="956">
        <v>0.1</v>
      </c>
    </row>
    <row r="790" spans="1:15">
      <c r="A790" s="119"/>
      <c r="B790" s="333" t="s">
        <v>1346</v>
      </c>
      <c r="C790">
        <v>0.11</v>
      </c>
      <c r="D790" s="956">
        <v>0.1</v>
      </c>
      <c r="E790" s="956">
        <v>0.1</v>
      </c>
      <c r="F790" s="956">
        <v>0.1</v>
      </c>
      <c r="G790" s="956">
        <v>0.1</v>
      </c>
      <c r="H790" s="956">
        <v>0.1</v>
      </c>
      <c r="I790" s="956">
        <v>0.1</v>
      </c>
      <c r="J790" s="956">
        <v>0.1</v>
      </c>
      <c r="K790" s="956">
        <v>0.1</v>
      </c>
      <c r="L790" s="956">
        <v>0.1</v>
      </c>
      <c r="M790" s="956">
        <v>0.1</v>
      </c>
      <c r="N790" s="956">
        <v>0.1</v>
      </c>
      <c r="O790" s="956">
        <v>0.1</v>
      </c>
    </row>
    <row r="791" spans="1:15">
      <c r="A791" s="119"/>
      <c r="B791" s="333" t="s">
        <v>1347</v>
      </c>
      <c r="C791">
        <v>7.0000000000000007E-2</v>
      </c>
      <c r="D791" s="956">
        <v>0.06</v>
      </c>
      <c r="E791" s="956">
        <v>0.06</v>
      </c>
      <c r="F791" s="956">
        <v>0.06</v>
      </c>
      <c r="G791" s="956">
        <v>0.06</v>
      </c>
      <c r="H791" s="956">
        <v>0.06</v>
      </c>
      <c r="I791" s="956">
        <v>0.06</v>
      </c>
      <c r="J791" s="956">
        <v>0.06</v>
      </c>
      <c r="K791" s="956">
        <v>0.06</v>
      </c>
      <c r="L791" s="956">
        <v>0.06</v>
      </c>
      <c r="M791" s="956">
        <v>0.06</v>
      </c>
      <c r="N791" s="956">
        <v>0.06</v>
      </c>
      <c r="O791" s="956">
        <v>0.06</v>
      </c>
    </row>
    <row r="792" spans="1:15">
      <c r="A792" s="119"/>
      <c r="B792" s="333" t="s">
        <v>1348</v>
      </c>
      <c r="C792">
        <v>7.0000000000000007E-2</v>
      </c>
      <c r="D792" s="953">
        <v>7.0000000000000007E-2</v>
      </c>
      <c r="E792" s="953">
        <v>7.0000000000000007E-2</v>
      </c>
      <c r="F792" s="953">
        <v>7.0000000000000007E-2</v>
      </c>
      <c r="G792" s="953">
        <v>7.0000000000000007E-2</v>
      </c>
      <c r="H792" s="953">
        <v>7.0000000000000007E-2</v>
      </c>
      <c r="I792" s="953">
        <v>7.0000000000000007E-2</v>
      </c>
      <c r="J792" s="953">
        <v>7.0000000000000007E-2</v>
      </c>
      <c r="K792" s="953">
        <v>7.0000000000000007E-2</v>
      </c>
      <c r="L792" s="953">
        <v>7.0000000000000007E-2</v>
      </c>
      <c r="M792" s="953">
        <v>7.0000000000000007E-2</v>
      </c>
      <c r="N792" s="953">
        <v>7.0000000000000007E-2</v>
      </c>
      <c r="O792" s="953">
        <v>7.0000000000000007E-2</v>
      </c>
    </row>
    <row r="793" spans="1:15">
      <c r="A793" s="119"/>
      <c r="B793" s="333" t="s">
        <v>1349</v>
      </c>
      <c r="C793">
        <v>0.05</v>
      </c>
      <c r="D793" s="953">
        <v>0.05</v>
      </c>
      <c r="E793" s="953">
        <v>0.05</v>
      </c>
      <c r="F793" s="953">
        <v>0.05</v>
      </c>
      <c r="G793" s="953">
        <v>0.05</v>
      </c>
      <c r="H793" s="953">
        <v>0.05</v>
      </c>
      <c r="I793" s="1130">
        <v>0.03</v>
      </c>
      <c r="J793" s="1130">
        <v>0.03</v>
      </c>
      <c r="K793" s="1130">
        <v>0.03</v>
      </c>
      <c r="L793" s="1130">
        <v>0.03</v>
      </c>
      <c r="M793" s="1130">
        <v>0.03</v>
      </c>
      <c r="N793" s="1130">
        <v>0.03</v>
      </c>
      <c r="O793" s="1130">
        <v>0.03</v>
      </c>
    </row>
    <row r="794" spans="1:15">
      <c r="A794" s="119"/>
      <c r="B794" s="333" t="s">
        <v>1350</v>
      </c>
      <c r="C794">
        <v>0.05</v>
      </c>
      <c r="D794" s="953">
        <v>0.05</v>
      </c>
      <c r="E794" s="953">
        <v>0.05</v>
      </c>
      <c r="F794" s="953">
        <v>0.05</v>
      </c>
      <c r="G794" s="953">
        <v>0.05</v>
      </c>
      <c r="H794" s="953">
        <v>0.05</v>
      </c>
      <c r="I794" s="1130">
        <v>0.04</v>
      </c>
      <c r="J794" s="1130">
        <v>0.04</v>
      </c>
      <c r="K794" s="1130">
        <v>0.04</v>
      </c>
      <c r="L794" s="1130">
        <v>0.04</v>
      </c>
      <c r="M794" s="1130">
        <v>0.04</v>
      </c>
      <c r="N794" s="1130">
        <v>0.04</v>
      </c>
      <c r="O794" s="1130">
        <v>0.04</v>
      </c>
    </row>
    <row r="795" spans="1:15">
      <c r="A795" s="119"/>
      <c r="B795" s="333" t="s">
        <v>1351</v>
      </c>
      <c r="C795">
        <v>0.06</v>
      </c>
      <c r="D795" s="953">
        <v>0.06</v>
      </c>
      <c r="E795" s="953">
        <v>0.06</v>
      </c>
      <c r="F795" s="953">
        <v>0.06</v>
      </c>
      <c r="G795" s="953">
        <v>0.06</v>
      </c>
      <c r="H795" s="953">
        <v>0.06</v>
      </c>
      <c r="I795" s="953">
        <v>0.06</v>
      </c>
      <c r="J795" s="953">
        <v>0.06</v>
      </c>
      <c r="K795" s="953">
        <v>0.06</v>
      </c>
      <c r="L795" s="953">
        <v>0.06</v>
      </c>
      <c r="M795" s="953">
        <v>0.06</v>
      </c>
      <c r="N795" s="953">
        <v>0.06</v>
      </c>
      <c r="O795" s="953">
        <v>0.06</v>
      </c>
    </row>
    <row r="796" spans="1:15">
      <c r="A796" s="119"/>
      <c r="B796" s="333" t="s">
        <v>1352</v>
      </c>
      <c r="C796">
        <v>7.0000000000000007E-2</v>
      </c>
      <c r="D796" s="953">
        <v>7.0000000000000007E-2</v>
      </c>
      <c r="E796" s="953">
        <v>7.0000000000000007E-2</v>
      </c>
      <c r="F796" s="953">
        <v>7.0000000000000007E-2</v>
      </c>
      <c r="G796" s="953">
        <v>7.0000000000000007E-2</v>
      </c>
      <c r="H796" s="953">
        <v>7.0000000000000007E-2</v>
      </c>
      <c r="I796" s="953">
        <v>7.0000000000000007E-2</v>
      </c>
      <c r="J796" s="953">
        <v>7.0000000000000007E-2</v>
      </c>
      <c r="K796" s="953">
        <v>7.0000000000000007E-2</v>
      </c>
      <c r="L796" s="953">
        <v>7.0000000000000007E-2</v>
      </c>
      <c r="M796" s="953">
        <v>7.0000000000000007E-2</v>
      </c>
      <c r="N796" s="953">
        <v>7.0000000000000007E-2</v>
      </c>
      <c r="O796" s="953">
        <v>7.0000000000000007E-2</v>
      </c>
    </row>
    <row r="797" spans="1:15">
      <c r="A797" s="119"/>
      <c r="B797" s="333" t="s">
        <v>1353</v>
      </c>
      <c r="C797">
        <v>0.08</v>
      </c>
      <c r="D797" s="953">
        <v>0.08</v>
      </c>
      <c r="E797" s="953">
        <v>0.08</v>
      </c>
      <c r="F797" s="953">
        <v>0.08</v>
      </c>
      <c r="G797" s="953">
        <v>0.08</v>
      </c>
      <c r="H797" s="953">
        <v>0.08</v>
      </c>
      <c r="I797" s="953">
        <v>0.08</v>
      </c>
      <c r="J797" s="953">
        <v>0.08</v>
      </c>
      <c r="K797" s="953">
        <v>0.08</v>
      </c>
      <c r="L797" s="953">
        <v>0.08</v>
      </c>
      <c r="M797" s="953">
        <v>0.08</v>
      </c>
      <c r="N797" s="953">
        <v>0.08</v>
      </c>
      <c r="O797" s="953">
        <v>0.08</v>
      </c>
    </row>
    <row r="798" spans="1:15">
      <c r="A798" s="119"/>
      <c r="B798" s="333" t="s">
        <v>1354</v>
      </c>
      <c r="C798">
        <v>0.1</v>
      </c>
      <c r="D798" s="956">
        <v>0.08</v>
      </c>
      <c r="E798" s="956">
        <v>0.08</v>
      </c>
      <c r="F798" s="956">
        <v>0.08</v>
      </c>
      <c r="G798" s="956">
        <v>0.08</v>
      </c>
      <c r="H798" s="956">
        <v>0.08</v>
      </c>
      <c r="I798" s="956">
        <v>0.08</v>
      </c>
      <c r="J798" s="956">
        <v>0.08</v>
      </c>
      <c r="K798" s="956">
        <v>0.08</v>
      </c>
      <c r="L798" s="956">
        <v>0.08</v>
      </c>
      <c r="M798" s="956">
        <v>0.08</v>
      </c>
      <c r="N798" s="956">
        <v>0.08</v>
      </c>
      <c r="O798" s="956">
        <v>0.08</v>
      </c>
    </row>
    <row r="799" spans="1:15">
      <c r="A799" s="119"/>
      <c r="B799" s="333" t="s">
        <v>1355</v>
      </c>
      <c r="C799">
        <v>0.1</v>
      </c>
      <c r="D799" s="956">
        <v>0.12</v>
      </c>
      <c r="E799" s="956">
        <v>0.12</v>
      </c>
      <c r="F799" s="956">
        <v>0.12</v>
      </c>
      <c r="G799" s="956">
        <v>0.12</v>
      </c>
      <c r="H799" s="956">
        <v>0.12</v>
      </c>
      <c r="I799" s="1130">
        <v>0.22</v>
      </c>
      <c r="J799" s="1130">
        <v>0.22</v>
      </c>
      <c r="K799" s="1130">
        <v>0.22</v>
      </c>
      <c r="L799" s="1130">
        <v>0.22</v>
      </c>
      <c r="M799" s="1130">
        <v>0.22</v>
      </c>
      <c r="N799" s="1130">
        <v>0.22</v>
      </c>
      <c r="O799" s="1130">
        <v>0.22</v>
      </c>
    </row>
    <row r="800" spans="1:15">
      <c r="A800" s="119"/>
      <c r="B800" s="333" t="s">
        <v>1356</v>
      </c>
      <c r="C800">
        <v>0.12</v>
      </c>
      <c r="D800" s="953">
        <v>0.12</v>
      </c>
      <c r="E800" s="953">
        <v>0.12</v>
      </c>
      <c r="F800" s="953">
        <v>0.12</v>
      </c>
      <c r="G800" s="953">
        <v>0.12</v>
      </c>
      <c r="H800" s="953">
        <v>0.12</v>
      </c>
      <c r="I800" s="953">
        <v>0.12</v>
      </c>
      <c r="J800" s="953">
        <v>0.12</v>
      </c>
      <c r="K800" s="953">
        <v>0.12</v>
      </c>
      <c r="L800" s="953">
        <v>0.12</v>
      </c>
      <c r="M800" s="953">
        <v>0.12</v>
      </c>
      <c r="N800" s="953">
        <v>0.12</v>
      </c>
      <c r="O800" s="953">
        <v>0.12</v>
      </c>
    </row>
    <row r="801" spans="1:15">
      <c r="A801" s="119"/>
      <c r="B801" s="333" t="s">
        <v>1357</v>
      </c>
      <c r="C801">
        <v>0.12</v>
      </c>
      <c r="D801" s="953">
        <v>0.12</v>
      </c>
      <c r="E801" s="953">
        <v>0.12</v>
      </c>
      <c r="F801" s="953">
        <v>0.12</v>
      </c>
      <c r="G801" s="953">
        <v>0.12</v>
      </c>
      <c r="H801" s="953">
        <v>0.12</v>
      </c>
      <c r="I801" s="953">
        <v>0.12</v>
      </c>
      <c r="J801" s="953">
        <v>0.12</v>
      </c>
      <c r="K801" s="953">
        <v>0.12</v>
      </c>
      <c r="L801" s="953">
        <v>0.12</v>
      </c>
      <c r="M801" s="953">
        <v>0.12</v>
      </c>
      <c r="N801" s="953">
        <v>0.12</v>
      </c>
      <c r="O801" s="953">
        <v>0.12</v>
      </c>
    </row>
    <row r="802" spans="1:15">
      <c r="A802" s="119"/>
      <c r="B802" s="333" t="s">
        <v>1358</v>
      </c>
      <c r="C802">
        <v>0.11</v>
      </c>
      <c r="D802" s="953">
        <v>0.11</v>
      </c>
      <c r="E802" s="953">
        <v>0.11</v>
      </c>
      <c r="F802" s="953">
        <v>0.11</v>
      </c>
      <c r="G802" s="953">
        <v>0.11</v>
      </c>
      <c r="H802" s="953">
        <v>0.11</v>
      </c>
      <c r="I802" s="953">
        <v>0.11</v>
      </c>
      <c r="J802" s="953">
        <v>0.11</v>
      </c>
      <c r="K802" s="953">
        <v>0.11</v>
      </c>
      <c r="L802" s="953">
        <v>0.11</v>
      </c>
      <c r="M802" s="953">
        <v>0.11</v>
      </c>
      <c r="N802" s="953">
        <v>0.11</v>
      </c>
      <c r="O802" s="953">
        <v>0.11</v>
      </c>
    </row>
    <row r="803" spans="1:15">
      <c r="A803" s="119"/>
      <c r="B803" s="333" t="s">
        <v>1359</v>
      </c>
      <c r="C803">
        <v>7.0000000000000007E-2</v>
      </c>
      <c r="D803" s="953">
        <v>7.0000000000000007E-2</v>
      </c>
      <c r="E803" s="953">
        <v>7.0000000000000007E-2</v>
      </c>
      <c r="F803" s="953">
        <v>7.0000000000000007E-2</v>
      </c>
      <c r="G803" s="953">
        <v>7.0000000000000007E-2</v>
      </c>
      <c r="H803" s="953">
        <v>7.0000000000000007E-2</v>
      </c>
      <c r="I803" s="1130">
        <v>0.03</v>
      </c>
      <c r="J803" s="1130">
        <v>0.03</v>
      </c>
      <c r="K803" s="1130">
        <v>0.03</v>
      </c>
      <c r="L803" s="1130">
        <v>0.03</v>
      </c>
      <c r="M803" s="1130">
        <v>0.03</v>
      </c>
      <c r="N803" s="1130">
        <v>0.03</v>
      </c>
      <c r="O803" s="1130">
        <v>0.03</v>
      </c>
    </row>
    <row r="804" spans="1:15">
      <c r="A804" s="119"/>
      <c r="B804" s="333" t="s">
        <v>1360</v>
      </c>
      <c r="C804">
        <v>7.0000000000000007E-2</v>
      </c>
      <c r="D804" s="953">
        <v>7.0000000000000007E-2</v>
      </c>
      <c r="E804" s="953">
        <v>7.0000000000000007E-2</v>
      </c>
      <c r="F804" s="953">
        <v>7.0000000000000007E-2</v>
      </c>
      <c r="G804" s="953">
        <v>7.0000000000000007E-2</v>
      </c>
      <c r="H804" s="953">
        <v>7.0000000000000007E-2</v>
      </c>
      <c r="I804" s="1130">
        <v>0.04</v>
      </c>
      <c r="J804" s="1130">
        <v>0.04</v>
      </c>
      <c r="K804" s="1130">
        <v>0.04</v>
      </c>
      <c r="L804" s="1130">
        <v>0.04</v>
      </c>
      <c r="M804" s="1130">
        <v>0.04</v>
      </c>
      <c r="N804" s="1130">
        <v>0.04</v>
      </c>
      <c r="O804" s="1130">
        <v>0.04</v>
      </c>
    </row>
    <row r="805" spans="1:15">
      <c r="A805" s="119"/>
      <c r="B805" s="333" t="s">
        <v>1361</v>
      </c>
      <c r="C805">
        <v>0.05</v>
      </c>
      <c r="D805" s="953">
        <v>0.05</v>
      </c>
      <c r="E805" s="953">
        <v>0.05</v>
      </c>
      <c r="F805" s="953">
        <v>0.05</v>
      </c>
      <c r="G805" s="953">
        <v>0.05</v>
      </c>
      <c r="H805" s="953">
        <v>0.05</v>
      </c>
      <c r="I805" s="1130">
        <v>0</v>
      </c>
      <c r="J805" s="1130">
        <v>0</v>
      </c>
      <c r="K805" s="1130">
        <v>0</v>
      </c>
      <c r="L805" s="1130">
        <v>0</v>
      </c>
      <c r="M805" s="1130">
        <v>0</v>
      </c>
      <c r="N805" s="1130">
        <v>0</v>
      </c>
      <c r="O805" s="1130">
        <v>0</v>
      </c>
    </row>
    <row r="806" spans="1:15">
      <c r="A806" s="119"/>
      <c r="B806" s="333" t="s">
        <v>1362</v>
      </c>
      <c r="C806">
        <v>0.05</v>
      </c>
      <c r="D806" s="953">
        <v>0.05</v>
      </c>
      <c r="E806" s="953">
        <v>0.05</v>
      </c>
      <c r="F806" s="953">
        <v>0.05</v>
      </c>
      <c r="G806" s="953">
        <v>0.05</v>
      </c>
      <c r="H806" s="953">
        <v>0.05</v>
      </c>
      <c r="I806" s="1130">
        <v>0.02</v>
      </c>
      <c r="J806" s="1130">
        <v>0.02</v>
      </c>
      <c r="K806" s="1130">
        <v>0.02</v>
      </c>
      <c r="L806" s="1130">
        <v>0.02</v>
      </c>
      <c r="M806" s="1130">
        <v>0.02</v>
      </c>
      <c r="N806" s="1130">
        <v>0.02</v>
      </c>
      <c r="O806" s="1130">
        <v>0.02</v>
      </c>
    </row>
    <row r="807" spans="1:15">
      <c r="A807" s="119"/>
      <c r="B807" s="333" t="s">
        <v>1363</v>
      </c>
      <c r="C807">
        <v>0.06</v>
      </c>
      <c r="D807" s="953">
        <v>0.06</v>
      </c>
      <c r="E807" s="953">
        <v>0.06</v>
      </c>
      <c r="F807" s="953">
        <v>0.06</v>
      </c>
      <c r="G807" s="953">
        <v>0.06</v>
      </c>
      <c r="H807" s="953">
        <v>0.06</v>
      </c>
      <c r="I807" s="1130">
        <v>0.03</v>
      </c>
      <c r="J807" s="1130">
        <v>0.03</v>
      </c>
      <c r="K807" s="1130">
        <v>0.03</v>
      </c>
      <c r="L807" s="1130">
        <v>0.03</v>
      </c>
      <c r="M807" s="1130">
        <v>0.03</v>
      </c>
      <c r="N807" s="1130">
        <v>0.03</v>
      </c>
      <c r="O807" s="1130">
        <v>0.03</v>
      </c>
    </row>
    <row r="808" spans="1:15">
      <c r="A808" s="119"/>
      <c r="B808" s="333" t="s">
        <v>1364</v>
      </c>
      <c r="C808">
        <v>7.0000000000000007E-2</v>
      </c>
      <c r="D808" s="953">
        <v>7.0000000000000007E-2</v>
      </c>
      <c r="E808" s="953">
        <v>7.0000000000000007E-2</v>
      </c>
      <c r="F808" s="953">
        <v>7.0000000000000007E-2</v>
      </c>
      <c r="G808" s="953">
        <v>7.0000000000000007E-2</v>
      </c>
      <c r="H808" s="953">
        <v>7.0000000000000007E-2</v>
      </c>
      <c r="I808" s="953">
        <v>7.0000000000000007E-2</v>
      </c>
      <c r="J808" s="953">
        <v>7.0000000000000007E-2</v>
      </c>
      <c r="K808" s="953">
        <v>7.0000000000000007E-2</v>
      </c>
      <c r="L808" s="953">
        <v>7.0000000000000007E-2</v>
      </c>
      <c r="M808" s="953">
        <v>7.0000000000000007E-2</v>
      </c>
      <c r="N808" s="953">
        <v>7.0000000000000007E-2</v>
      </c>
      <c r="O808" s="953">
        <v>7.0000000000000007E-2</v>
      </c>
    </row>
    <row r="809" spans="1:15">
      <c r="A809" s="119"/>
      <c r="B809" s="333" t="s">
        <v>1365</v>
      </c>
      <c r="C809">
        <v>0.08</v>
      </c>
      <c r="D809" s="953">
        <v>0.08</v>
      </c>
      <c r="E809" s="953">
        <v>0.08</v>
      </c>
      <c r="F809" s="953">
        <v>0.08</v>
      </c>
      <c r="G809" s="953">
        <v>0.08</v>
      </c>
      <c r="H809" s="953">
        <v>0.08</v>
      </c>
      <c r="I809" s="953">
        <v>0.08</v>
      </c>
      <c r="J809" s="953">
        <v>0.08</v>
      </c>
      <c r="K809" s="953">
        <v>0.08</v>
      </c>
      <c r="L809" s="953">
        <v>0.08</v>
      </c>
      <c r="M809" s="953">
        <v>0.08</v>
      </c>
      <c r="N809" s="953">
        <v>0.08</v>
      </c>
      <c r="O809" s="953">
        <v>0.08</v>
      </c>
    </row>
    <row r="810" spans="1:15">
      <c r="A810" s="119"/>
      <c r="B810" s="333" t="s">
        <v>1366</v>
      </c>
      <c r="C810">
        <v>0.1</v>
      </c>
      <c r="D810" s="953">
        <v>0.1</v>
      </c>
      <c r="E810" s="953">
        <v>0.1</v>
      </c>
      <c r="F810" s="953">
        <v>0.1</v>
      </c>
      <c r="G810" s="953">
        <v>0.1</v>
      </c>
      <c r="H810" s="953">
        <v>0.1</v>
      </c>
      <c r="I810" s="1130">
        <v>0.17</v>
      </c>
      <c r="J810" s="1130">
        <v>0.17</v>
      </c>
      <c r="K810" s="1130">
        <v>0.17</v>
      </c>
      <c r="L810" s="1130">
        <v>0.17</v>
      </c>
      <c r="M810" s="1130">
        <v>0.17</v>
      </c>
      <c r="N810" s="1130">
        <v>0.17</v>
      </c>
      <c r="O810" s="1130">
        <v>0.17</v>
      </c>
    </row>
    <row r="811" spans="1:15">
      <c r="A811" s="119"/>
      <c r="B811" s="333" t="s">
        <v>1367</v>
      </c>
      <c r="C811">
        <v>0.1</v>
      </c>
      <c r="D811" s="953">
        <v>0.1</v>
      </c>
      <c r="E811" s="953">
        <v>0.1</v>
      </c>
      <c r="F811" s="953">
        <v>0.1</v>
      </c>
      <c r="G811" s="953">
        <v>0.1</v>
      </c>
      <c r="H811" s="953">
        <v>0.1</v>
      </c>
      <c r="I811" s="1130">
        <v>0.22</v>
      </c>
      <c r="J811" s="1130">
        <v>0.22</v>
      </c>
      <c r="K811" s="1130">
        <v>0.22</v>
      </c>
      <c r="L811" s="1130">
        <v>0.22</v>
      </c>
      <c r="M811" s="1130">
        <v>0.22</v>
      </c>
      <c r="N811" s="1130">
        <v>0.22</v>
      </c>
      <c r="O811" s="1130">
        <v>0.22</v>
      </c>
    </row>
    <row r="812" spans="1:15">
      <c r="A812" s="119"/>
      <c r="B812" s="333" t="s">
        <v>1368</v>
      </c>
      <c r="C812">
        <v>0.12</v>
      </c>
      <c r="D812" s="953">
        <v>0.12</v>
      </c>
      <c r="E812" s="953">
        <v>0.12</v>
      </c>
      <c r="F812" s="953">
        <v>0.12</v>
      </c>
      <c r="G812" s="953">
        <v>0.12</v>
      </c>
      <c r="H812" s="953">
        <v>0.12</v>
      </c>
      <c r="I812" s="1130">
        <v>0.22</v>
      </c>
      <c r="J812" s="1130">
        <v>0.22</v>
      </c>
      <c r="K812" s="1130">
        <v>0.22</v>
      </c>
      <c r="L812" s="1130">
        <v>0.22</v>
      </c>
      <c r="M812" s="1130">
        <v>0.22</v>
      </c>
      <c r="N812" s="1130">
        <v>0.22</v>
      </c>
      <c r="O812" s="1130">
        <v>0.22</v>
      </c>
    </row>
    <row r="813" spans="1:15">
      <c r="A813" s="119"/>
      <c r="B813" s="333" t="s">
        <v>1369</v>
      </c>
      <c r="C813">
        <v>0.12</v>
      </c>
      <c r="D813" s="953">
        <v>0.12</v>
      </c>
      <c r="E813" s="953">
        <v>0.12</v>
      </c>
      <c r="F813" s="953">
        <v>0.12</v>
      </c>
      <c r="G813" s="953">
        <v>0.12</v>
      </c>
      <c r="H813" s="953">
        <v>0.12</v>
      </c>
      <c r="I813" s="1130">
        <v>0.14000000000000001</v>
      </c>
      <c r="J813" s="1130">
        <v>0.14000000000000001</v>
      </c>
      <c r="K813" s="1130">
        <v>0.14000000000000001</v>
      </c>
      <c r="L813" s="1130">
        <v>0.14000000000000001</v>
      </c>
      <c r="M813" s="1130">
        <v>0.14000000000000001</v>
      </c>
      <c r="N813" s="1130">
        <v>0.14000000000000001</v>
      </c>
      <c r="O813" s="1130">
        <v>0.14000000000000001</v>
      </c>
    </row>
    <row r="814" spans="1:15">
      <c r="A814" s="119"/>
      <c r="B814" s="333" t="s">
        <v>1370</v>
      </c>
      <c r="C814">
        <v>0.11</v>
      </c>
      <c r="D814" s="953">
        <v>0.11</v>
      </c>
      <c r="E814" s="953">
        <v>0.11</v>
      </c>
      <c r="F814" s="953">
        <v>0.11</v>
      </c>
      <c r="G814" s="953">
        <v>0.11</v>
      </c>
      <c r="H814" s="953">
        <v>0.11</v>
      </c>
      <c r="I814" s="1130">
        <v>0.02</v>
      </c>
      <c r="J814" s="1130">
        <v>0.02</v>
      </c>
      <c r="K814" s="1130">
        <v>0.02</v>
      </c>
      <c r="L814" s="1130">
        <v>0.02</v>
      </c>
      <c r="M814" s="1130">
        <v>0.02</v>
      </c>
      <c r="N814" s="1130">
        <v>0.02</v>
      </c>
      <c r="O814" s="1130">
        <v>0.02</v>
      </c>
    </row>
    <row r="815" spans="1:15">
      <c r="A815" s="119"/>
      <c r="B815" s="333" t="s">
        <v>1371</v>
      </c>
      <c r="C815">
        <v>7.0000000000000007E-2</v>
      </c>
      <c r="D815" s="953">
        <v>7.0000000000000007E-2</v>
      </c>
      <c r="E815" s="953">
        <v>7.0000000000000007E-2</v>
      </c>
      <c r="F815" s="953">
        <v>7.0000000000000007E-2</v>
      </c>
      <c r="G815" s="953">
        <v>7.0000000000000007E-2</v>
      </c>
      <c r="H815" s="953">
        <v>7.0000000000000007E-2</v>
      </c>
      <c r="I815" s="1130">
        <v>0.03</v>
      </c>
      <c r="J815" s="1130">
        <v>0.03</v>
      </c>
      <c r="K815" s="1130">
        <v>0.03</v>
      </c>
      <c r="L815" s="1130">
        <v>0.03</v>
      </c>
      <c r="M815" s="1130">
        <v>0.03</v>
      </c>
      <c r="N815" s="1130">
        <v>0.03</v>
      </c>
      <c r="O815" s="1130">
        <v>0.03</v>
      </c>
    </row>
    <row r="816" spans="1:15">
      <c r="A816" s="119"/>
      <c r="B816" s="333" t="s">
        <v>1372</v>
      </c>
      <c r="C816">
        <v>7.0000000000000007E-2</v>
      </c>
      <c r="D816" s="953">
        <v>7.0000000000000007E-2</v>
      </c>
      <c r="E816" s="953">
        <v>7.0000000000000007E-2</v>
      </c>
      <c r="F816" s="953">
        <v>7.0000000000000007E-2</v>
      </c>
      <c r="G816" s="953">
        <v>7.0000000000000007E-2</v>
      </c>
      <c r="H816" s="953">
        <v>7.0000000000000007E-2</v>
      </c>
      <c r="I816" s="1130">
        <v>0</v>
      </c>
      <c r="J816" s="1130">
        <v>0</v>
      </c>
      <c r="K816" s="1130">
        <v>0</v>
      </c>
      <c r="L816" s="1130">
        <v>0</v>
      </c>
      <c r="M816" s="1130">
        <v>0</v>
      </c>
      <c r="N816" s="1130">
        <v>0</v>
      </c>
      <c r="O816" s="1130">
        <v>0</v>
      </c>
    </row>
    <row r="817" spans="1:15">
      <c r="A817" s="119"/>
      <c r="B817" s="333" t="s">
        <v>1373</v>
      </c>
      <c r="C817">
        <v>0.05</v>
      </c>
      <c r="D817" s="956">
        <v>0.12</v>
      </c>
      <c r="E817" s="956">
        <v>0.12</v>
      </c>
      <c r="F817" s="956">
        <v>0.12</v>
      </c>
      <c r="G817" s="956">
        <v>0.12</v>
      </c>
      <c r="H817" s="956">
        <v>0.12</v>
      </c>
      <c r="I817" s="956">
        <v>0.12</v>
      </c>
      <c r="J817" s="956">
        <v>0.12</v>
      </c>
      <c r="K817" s="956">
        <v>0.12</v>
      </c>
      <c r="L817" s="956">
        <v>0.12</v>
      </c>
      <c r="M817" s="956">
        <v>0.12</v>
      </c>
      <c r="N817" s="956">
        <v>0.12</v>
      </c>
      <c r="O817" s="956">
        <v>0.12</v>
      </c>
    </row>
    <row r="818" spans="1:15">
      <c r="A818" s="119"/>
      <c r="B818" s="333" t="s">
        <v>1374</v>
      </c>
      <c r="C818">
        <v>0.05</v>
      </c>
      <c r="D818" s="956">
        <v>7.0000000000000007E-2</v>
      </c>
      <c r="E818" s="956">
        <v>7.0000000000000007E-2</v>
      </c>
      <c r="F818" s="956">
        <v>7.0000000000000007E-2</v>
      </c>
      <c r="G818" s="956">
        <v>7.0000000000000007E-2</v>
      </c>
      <c r="H818" s="956">
        <v>7.0000000000000007E-2</v>
      </c>
      <c r="I818" s="956">
        <v>7.0000000000000007E-2</v>
      </c>
      <c r="J818" s="956">
        <v>7.0000000000000007E-2</v>
      </c>
      <c r="K818" s="956">
        <v>7.0000000000000007E-2</v>
      </c>
      <c r="L818" s="956">
        <v>7.0000000000000007E-2</v>
      </c>
      <c r="M818" s="956">
        <v>7.0000000000000007E-2</v>
      </c>
      <c r="N818" s="956">
        <v>7.0000000000000007E-2</v>
      </c>
      <c r="O818" s="956">
        <v>7.0000000000000007E-2</v>
      </c>
    </row>
    <row r="819" spans="1:15">
      <c r="A819" s="119"/>
      <c r="B819" s="333" t="s">
        <v>1375</v>
      </c>
      <c r="C819">
        <v>0.06</v>
      </c>
      <c r="D819" s="956">
        <v>7.0000000000000007E-2</v>
      </c>
      <c r="E819" s="956">
        <v>7.0000000000000007E-2</v>
      </c>
      <c r="F819" s="956">
        <v>7.0000000000000007E-2</v>
      </c>
      <c r="G819" s="956">
        <v>7.0000000000000007E-2</v>
      </c>
      <c r="H819" s="956">
        <v>7.0000000000000007E-2</v>
      </c>
      <c r="I819" s="956">
        <v>7.0000000000000007E-2</v>
      </c>
      <c r="J819" s="956">
        <v>7.0000000000000007E-2</v>
      </c>
      <c r="K819" s="956">
        <v>7.0000000000000007E-2</v>
      </c>
      <c r="L819" s="956">
        <v>7.0000000000000007E-2</v>
      </c>
      <c r="M819" s="956">
        <v>7.0000000000000007E-2</v>
      </c>
      <c r="N819" s="956">
        <v>7.0000000000000007E-2</v>
      </c>
      <c r="O819" s="956">
        <v>7.0000000000000007E-2</v>
      </c>
    </row>
    <row r="820" spans="1:15">
      <c r="A820" s="119"/>
      <c r="B820" s="333" t="s">
        <v>1376</v>
      </c>
      <c r="C820">
        <v>7.0000000000000007E-2</v>
      </c>
      <c r="D820" s="953">
        <v>7.0000000000000007E-2</v>
      </c>
      <c r="E820" s="953">
        <v>7.0000000000000007E-2</v>
      </c>
      <c r="F820" s="953">
        <v>7.0000000000000007E-2</v>
      </c>
      <c r="G820" s="953">
        <v>7.0000000000000007E-2</v>
      </c>
      <c r="H820" s="953">
        <v>7.0000000000000007E-2</v>
      </c>
      <c r="I820" s="953">
        <v>7.0000000000000007E-2</v>
      </c>
      <c r="J820" s="953">
        <v>7.0000000000000007E-2</v>
      </c>
      <c r="K820" s="953">
        <v>7.0000000000000007E-2</v>
      </c>
      <c r="L820" s="953">
        <v>7.0000000000000007E-2</v>
      </c>
      <c r="M820" s="953">
        <v>7.0000000000000007E-2</v>
      </c>
      <c r="N820" s="953">
        <v>7.0000000000000007E-2</v>
      </c>
      <c r="O820" s="953">
        <v>7.0000000000000007E-2</v>
      </c>
    </row>
    <row r="821" spans="1:15">
      <c r="A821" s="119"/>
      <c r="B821" s="333" t="s">
        <v>1377</v>
      </c>
      <c r="C821">
        <v>0.08</v>
      </c>
      <c r="D821" s="956">
        <v>0.06</v>
      </c>
      <c r="E821" s="956">
        <v>0.06</v>
      </c>
      <c r="F821" s="956">
        <v>0.06</v>
      </c>
      <c r="G821" s="956">
        <v>0.06</v>
      </c>
      <c r="H821" s="956">
        <v>0.06</v>
      </c>
      <c r="I821" s="956">
        <v>0.06</v>
      </c>
      <c r="J821" s="956">
        <v>0.06</v>
      </c>
      <c r="K821" s="956">
        <v>0.06</v>
      </c>
      <c r="L821" s="956">
        <v>0.06</v>
      </c>
      <c r="M821" s="956">
        <v>0.06</v>
      </c>
      <c r="N821" s="956">
        <v>0.06</v>
      </c>
      <c r="O821" s="956">
        <v>0.06</v>
      </c>
    </row>
    <row r="822" spans="1:15">
      <c r="A822" s="119"/>
      <c r="B822" s="333" t="s">
        <v>1378</v>
      </c>
      <c r="C822">
        <v>0.1</v>
      </c>
      <c r="D822" s="956">
        <v>0.05</v>
      </c>
      <c r="E822" s="956">
        <v>0.05</v>
      </c>
      <c r="F822" s="956">
        <v>0.05</v>
      </c>
      <c r="G822" s="956">
        <v>0.05</v>
      </c>
      <c r="H822" s="956">
        <v>0.05</v>
      </c>
      <c r="I822" s="956">
        <v>0.05</v>
      </c>
      <c r="J822" s="956">
        <v>0.05</v>
      </c>
      <c r="K822" s="956">
        <v>0.05</v>
      </c>
      <c r="L822" s="956">
        <v>0.05</v>
      </c>
      <c r="M822" s="956">
        <v>0.05</v>
      </c>
      <c r="N822" s="956">
        <v>0.05</v>
      </c>
      <c r="O822" s="956">
        <v>0.05</v>
      </c>
    </row>
    <row r="823" spans="1:15">
      <c r="A823" s="119"/>
      <c r="B823" s="333" t="s">
        <v>1379</v>
      </c>
      <c r="C823">
        <v>0.1</v>
      </c>
      <c r="D823" s="956">
        <v>0.06</v>
      </c>
      <c r="E823" s="956">
        <v>0.06</v>
      </c>
      <c r="F823" s="956">
        <v>0.06</v>
      </c>
      <c r="G823" s="956">
        <v>0.06</v>
      </c>
      <c r="H823" s="956">
        <v>0.06</v>
      </c>
      <c r="I823" s="956">
        <v>0.06</v>
      </c>
      <c r="J823" s="956">
        <v>0.06</v>
      </c>
      <c r="K823" s="956">
        <v>0.06</v>
      </c>
      <c r="L823" s="956">
        <v>0.06</v>
      </c>
      <c r="M823" s="956">
        <v>0.06</v>
      </c>
      <c r="N823" s="956">
        <v>0.06</v>
      </c>
      <c r="O823" s="956">
        <v>0.06</v>
      </c>
    </row>
    <row r="824" spans="1:15">
      <c r="A824" s="119"/>
      <c r="B824" s="333" t="s">
        <v>1380</v>
      </c>
      <c r="C824">
        <v>0.12</v>
      </c>
      <c r="D824" s="956">
        <v>7.0000000000000007E-2</v>
      </c>
      <c r="E824" s="956">
        <v>7.0000000000000007E-2</v>
      </c>
      <c r="F824" s="956">
        <v>7.0000000000000007E-2</v>
      </c>
      <c r="G824" s="956">
        <v>7.0000000000000007E-2</v>
      </c>
      <c r="H824" s="956">
        <v>7.0000000000000007E-2</v>
      </c>
      <c r="I824" s="956">
        <v>7.0000000000000007E-2</v>
      </c>
      <c r="J824" s="956">
        <v>7.0000000000000007E-2</v>
      </c>
      <c r="K824" s="956">
        <v>7.0000000000000007E-2</v>
      </c>
      <c r="L824" s="956">
        <v>7.0000000000000007E-2</v>
      </c>
      <c r="M824" s="956">
        <v>7.0000000000000007E-2</v>
      </c>
      <c r="N824" s="956">
        <v>7.0000000000000007E-2</v>
      </c>
      <c r="O824" s="956">
        <v>7.0000000000000007E-2</v>
      </c>
    </row>
    <row r="825" spans="1:15">
      <c r="A825" s="119"/>
      <c r="B825" s="333" t="s">
        <v>1381</v>
      </c>
      <c r="C825">
        <v>0.12</v>
      </c>
      <c r="D825" s="956">
        <v>0.08</v>
      </c>
      <c r="E825" s="956">
        <v>0.08</v>
      </c>
      <c r="F825" s="956">
        <v>0.08</v>
      </c>
      <c r="G825" s="956">
        <v>0.08</v>
      </c>
      <c r="H825" s="956">
        <v>0.08</v>
      </c>
      <c r="I825" s="956">
        <v>0.08</v>
      </c>
      <c r="J825" s="956">
        <v>0.08</v>
      </c>
      <c r="K825" s="956">
        <v>0.08</v>
      </c>
      <c r="L825" s="956">
        <v>0.08</v>
      </c>
      <c r="M825" s="956">
        <v>0.08</v>
      </c>
      <c r="N825" s="956">
        <v>0.08</v>
      </c>
      <c r="O825" s="956">
        <v>0.08</v>
      </c>
    </row>
    <row r="826" spans="1:15">
      <c r="A826" s="119"/>
      <c r="B826" s="333" t="s">
        <v>1382</v>
      </c>
      <c r="C826">
        <v>0.11</v>
      </c>
      <c r="D826" s="953">
        <v>0.11</v>
      </c>
      <c r="E826" s="953">
        <v>0.11</v>
      </c>
      <c r="F826" s="953">
        <v>0.11</v>
      </c>
      <c r="G826" s="953">
        <v>0.11</v>
      </c>
      <c r="H826" s="953">
        <v>0.11</v>
      </c>
      <c r="I826" s="953">
        <v>0.11</v>
      </c>
      <c r="J826" s="953">
        <v>0.11</v>
      </c>
      <c r="K826" s="953">
        <v>0.11</v>
      </c>
      <c r="L826" s="953">
        <v>0.11</v>
      </c>
      <c r="M826" s="953">
        <v>0.11</v>
      </c>
      <c r="N826" s="953">
        <v>0.11</v>
      </c>
      <c r="O826" s="953">
        <v>0.11</v>
      </c>
    </row>
    <row r="827" spans="1:15">
      <c r="A827" s="119"/>
      <c r="B827" s="333" t="s">
        <v>1383</v>
      </c>
      <c r="C827">
        <v>7.0000000000000007E-2</v>
      </c>
      <c r="D827" s="956">
        <v>0.12</v>
      </c>
      <c r="E827" s="956">
        <v>0.12</v>
      </c>
      <c r="F827" s="956">
        <v>0.12</v>
      </c>
      <c r="G827" s="956">
        <v>0.12</v>
      </c>
      <c r="H827" s="956">
        <v>0.12</v>
      </c>
      <c r="I827" s="956">
        <v>0.12</v>
      </c>
      <c r="J827" s="956">
        <v>0.12</v>
      </c>
      <c r="K827" s="956">
        <v>0.12</v>
      </c>
      <c r="L827" s="956">
        <v>0.12</v>
      </c>
      <c r="M827" s="956">
        <v>0.12</v>
      </c>
      <c r="N827" s="956">
        <v>0.12</v>
      </c>
      <c r="O827" s="956">
        <v>0.12</v>
      </c>
    </row>
    <row r="828" spans="1:15">
      <c r="A828" s="119"/>
      <c r="B828" s="333" t="s">
        <v>1384</v>
      </c>
      <c r="C828">
        <v>7.0000000000000007E-2</v>
      </c>
      <c r="D828" s="956">
        <v>0.12</v>
      </c>
      <c r="E828" s="956">
        <v>0.12</v>
      </c>
      <c r="F828" s="956">
        <v>0.12</v>
      </c>
      <c r="G828" s="956">
        <v>0.12</v>
      </c>
      <c r="H828" s="956">
        <v>0.12</v>
      </c>
      <c r="I828" s="956">
        <v>0.12</v>
      </c>
      <c r="J828" s="956">
        <v>0.12</v>
      </c>
      <c r="K828" s="956">
        <v>0.12</v>
      </c>
      <c r="L828" s="956">
        <v>0.12</v>
      </c>
      <c r="M828" s="956">
        <v>0.12</v>
      </c>
      <c r="N828" s="956">
        <v>0.12</v>
      </c>
      <c r="O828" s="956">
        <v>0.12</v>
      </c>
    </row>
    <row r="829" spans="1:15">
      <c r="A829" s="119"/>
      <c r="B829" s="333" t="s">
        <v>1385</v>
      </c>
      <c r="C829">
        <v>0.05</v>
      </c>
      <c r="D829" s="956">
        <v>0.12</v>
      </c>
      <c r="E829" s="956">
        <v>0.12</v>
      </c>
      <c r="F829" s="956">
        <v>0.12</v>
      </c>
      <c r="G829" s="956">
        <v>0.12</v>
      </c>
      <c r="H829" s="956">
        <v>0.12</v>
      </c>
      <c r="I829" s="1130">
        <v>0.18</v>
      </c>
      <c r="J829" s="1130">
        <v>0.18</v>
      </c>
      <c r="K829" s="1130">
        <v>0.18</v>
      </c>
      <c r="L829" s="1130">
        <v>0.18</v>
      </c>
      <c r="M829" s="1130">
        <v>0.18</v>
      </c>
      <c r="N829" s="1130">
        <v>0.18</v>
      </c>
      <c r="O829" s="1130">
        <v>0.18</v>
      </c>
    </row>
    <row r="830" spans="1:15">
      <c r="A830" s="119"/>
      <c r="B830" s="333" t="s">
        <v>1386</v>
      </c>
      <c r="C830">
        <v>0.05</v>
      </c>
      <c r="D830" s="956">
        <v>7.0000000000000007E-2</v>
      </c>
      <c r="E830" s="956">
        <v>7.0000000000000007E-2</v>
      </c>
      <c r="F830" s="956">
        <v>7.0000000000000007E-2</v>
      </c>
      <c r="G830" s="956">
        <v>7.0000000000000007E-2</v>
      </c>
      <c r="H830" s="956">
        <v>7.0000000000000007E-2</v>
      </c>
      <c r="I830" s="1130">
        <v>0.11</v>
      </c>
      <c r="J830" s="1130">
        <v>0.11</v>
      </c>
      <c r="K830" s="1130">
        <v>0.11</v>
      </c>
      <c r="L830" s="1130">
        <v>0.11</v>
      </c>
      <c r="M830" s="1130">
        <v>0.11</v>
      </c>
      <c r="N830" s="1130">
        <v>0.11</v>
      </c>
      <c r="O830" s="1130">
        <v>0.11</v>
      </c>
    </row>
    <row r="831" spans="1:15">
      <c r="A831" s="119"/>
      <c r="B831" s="333" t="s">
        <v>1387</v>
      </c>
      <c r="C831">
        <v>0.06</v>
      </c>
      <c r="D831" s="956">
        <v>7.0000000000000007E-2</v>
      </c>
      <c r="E831" s="956">
        <v>7.0000000000000007E-2</v>
      </c>
      <c r="F831" s="956">
        <v>7.0000000000000007E-2</v>
      </c>
      <c r="G831" s="956">
        <v>7.0000000000000007E-2</v>
      </c>
      <c r="H831" s="956">
        <v>7.0000000000000007E-2</v>
      </c>
      <c r="I831" s="1130">
        <v>0.09</v>
      </c>
      <c r="J831" s="1130">
        <v>0.09</v>
      </c>
      <c r="K831" s="1130">
        <v>0.09</v>
      </c>
      <c r="L831" s="1130">
        <v>0.09</v>
      </c>
      <c r="M831" s="1130">
        <v>0.09</v>
      </c>
      <c r="N831" s="1130">
        <v>0.09</v>
      </c>
      <c r="O831" s="1130">
        <v>0.09</v>
      </c>
    </row>
    <row r="832" spans="1:15">
      <c r="A832" s="119"/>
      <c r="B832" s="333" t="s">
        <v>1388</v>
      </c>
      <c r="C832">
        <v>7.0000000000000007E-2</v>
      </c>
      <c r="D832" s="953">
        <v>7.0000000000000007E-2</v>
      </c>
      <c r="E832" s="953">
        <v>7.0000000000000007E-2</v>
      </c>
      <c r="F832" s="953">
        <v>7.0000000000000007E-2</v>
      </c>
      <c r="G832" s="953">
        <v>7.0000000000000007E-2</v>
      </c>
      <c r="H832" s="953">
        <v>7.0000000000000007E-2</v>
      </c>
      <c r="I832" s="953">
        <v>7.0000000000000007E-2</v>
      </c>
      <c r="J832" s="953">
        <v>7.0000000000000007E-2</v>
      </c>
      <c r="K832" s="953">
        <v>7.0000000000000007E-2</v>
      </c>
      <c r="L832" s="953">
        <v>7.0000000000000007E-2</v>
      </c>
      <c r="M832" s="953">
        <v>7.0000000000000007E-2</v>
      </c>
      <c r="N832" s="953">
        <v>7.0000000000000007E-2</v>
      </c>
      <c r="O832" s="953">
        <v>7.0000000000000007E-2</v>
      </c>
    </row>
    <row r="833" spans="1:15">
      <c r="A833" s="119"/>
      <c r="B833" s="333" t="s">
        <v>1389</v>
      </c>
      <c r="C833">
        <v>0.08</v>
      </c>
      <c r="D833" s="956">
        <v>0.06</v>
      </c>
      <c r="E833" s="956">
        <v>0.06</v>
      </c>
      <c r="F833" s="956">
        <v>0.06</v>
      </c>
      <c r="G833" s="956">
        <v>0.06</v>
      </c>
      <c r="H833" s="956">
        <v>0.06</v>
      </c>
      <c r="I833" s="956">
        <v>0.06</v>
      </c>
      <c r="J833" s="956">
        <v>0.06</v>
      </c>
      <c r="K833" s="956">
        <v>0.06</v>
      </c>
      <c r="L833" s="956">
        <v>0.06</v>
      </c>
      <c r="M833" s="956">
        <v>0.06</v>
      </c>
      <c r="N833" s="956">
        <v>0.06</v>
      </c>
      <c r="O833" s="956">
        <v>0.06</v>
      </c>
    </row>
    <row r="834" spans="1:15">
      <c r="A834" s="119"/>
      <c r="B834" s="333" t="s">
        <v>1390</v>
      </c>
      <c r="C834">
        <v>0.1</v>
      </c>
      <c r="D834" s="956">
        <v>0.05</v>
      </c>
      <c r="E834" s="956">
        <v>0.05</v>
      </c>
      <c r="F834" s="956">
        <v>0.05</v>
      </c>
      <c r="G834" s="956">
        <v>0.05</v>
      </c>
      <c r="H834" s="956">
        <v>0.05</v>
      </c>
      <c r="I834" s="1130">
        <v>0</v>
      </c>
      <c r="J834" s="1130">
        <v>0</v>
      </c>
      <c r="K834" s="1130">
        <v>0</v>
      </c>
      <c r="L834" s="1130">
        <v>0</v>
      </c>
      <c r="M834" s="1130">
        <v>0</v>
      </c>
      <c r="N834" s="1130">
        <v>0</v>
      </c>
      <c r="O834" s="1130">
        <v>0</v>
      </c>
    </row>
    <row r="835" spans="1:15">
      <c r="A835" s="119"/>
      <c r="B835" s="333" t="s">
        <v>1391</v>
      </c>
      <c r="C835">
        <v>0.1</v>
      </c>
      <c r="D835" s="956">
        <v>0.06</v>
      </c>
      <c r="E835" s="956">
        <v>0.06</v>
      </c>
      <c r="F835" s="956">
        <v>0.06</v>
      </c>
      <c r="G835" s="956">
        <v>0.06</v>
      </c>
      <c r="H835" s="956">
        <v>0.06</v>
      </c>
      <c r="I835" s="1130">
        <v>0</v>
      </c>
      <c r="J835" s="1130">
        <v>0</v>
      </c>
      <c r="K835" s="1130">
        <v>0</v>
      </c>
      <c r="L835" s="1130">
        <v>0</v>
      </c>
      <c r="M835" s="1130">
        <v>0</v>
      </c>
      <c r="N835" s="1130">
        <v>0</v>
      </c>
      <c r="O835" s="1130">
        <v>0</v>
      </c>
    </row>
    <row r="836" spans="1:15">
      <c r="A836" s="119"/>
      <c r="B836" s="333" t="s">
        <v>1392</v>
      </c>
      <c r="C836">
        <v>0.12</v>
      </c>
      <c r="D836" s="956">
        <v>7.0000000000000007E-2</v>
      </c>
      <c r="E836" s="956">
        <v>7.0000000000000007E-2</v>
      </c>
      <c r="F836" s="956">
        <v>7.0000000000000007E-2</v>
      </c>
      <c r="G836" s="956">
        <v>7.0000000000000007E-2</v>
      </c>
      <c r="H836" s="956">
        <v>7.0000000000000007E-2</v>
      </c>
      <c r="I836" s="1130">
        <v>0.02</v>
      </c>
      <c r="J836" s="1130">
        <v>0.02</v>
      </c>
      <c r="K836" s="1130">
        <v>0.02</v>
      </c>
      <c r="L836" s="1130">
        <v>0.02</v>
      </c>
      <c r="M836" s="1130">
        <v>0.02</v>
      </c>
      <c r="N836" s="1130">
        <v>0.02</v>
      </c>
      <c r="O836" s="1130">
        <v>0.02</v>
      </c>
    </row>
    <row r="837" spans="1:15">
      <c r="A837" s="119"/>
      <c r="B837" s="333" t="s">
        <v>1393</v>
      </c>
      <c r="C837">
        <v>0.12</v>
      </c>
      <c r="D837" s="956">
        <v>0.08</v>
      </c>
      <c r="E837" s="956">
        <v>0.08</v>
      </c>
      <c r="F837" s="956">
        <v>0.08</v>
      </c>
      <c r="G837" s="956">
        <v>0.08</v>
      </c>
      <c r="H837" s="956">
        <v>0.08</v>
      </c>
      <c r="I837" s="1130">
        <v>0.06</v>
      </c>
      <c r="J837" s="1130">
        <v>0.06</v>
      </c>
      <c r="K837" s="1130">
        <v>0.06</v>
      </c>
      <c r="L837" s="1130">
        <v>0.06</v>
      </c>
      <c r="M837" s="1130">
        <v>0.06</v>
      </c>
      <c r="N837" s="1130">
        <v>0.06</v>
      </c>
      <c r="O837" s="1130">
        <v>0.06</v>
      </c>
    </row>
    <row r="838" spans="1:15">
      <c r="A838" s="119"/>
      <c r="B838" s="333" t="s">
        <v>1394</v>
      </c>
      <c r="C838">
        <v>0.11</v>
      </c>
      <c r="D838" s="953">
        <v>0.11</v>
      </c>
      <c r="E838" s="953">
        <v>0.11</v>
      </c>
      <c r="F838" s="953">
        <v>0.11</v>
      </c>
      <c r="G838" s="953">
        <v>0.11</v>
      </c>
      <c r="H838" s="953">
        <v>0.11</v>
      </c>
      <c r="I838" s="953">
        <v>0.11</v>
      </c>
      <c r="J838" s="953">
        <v>0.11</v>
      </c>
      <c r="K838" s="953">
        <v>0.11</v>
      </c>
      <c r="L838" s="953">
        <v>0.11</v>
      </c>
      <c r="M838" s="953">
        <v>0.11</v>
      </c>
      <c r="N838" s="953">
        <v>0.11</v>
      </c>
      <c r="O838" s="953">
        <v>0.11</v>
      </c>
    </row>
    <row r="839" spans="1:15">
      <c r="A839" s="119"/>
      <c r="B839" s="333" t="s">
        <v>1395</v>
      </c>
      <c r="C839">
        <v>7.0000000000000007E-2</v>
      </c>
      <c r="D839" s="956">
        <v>0.12</v>
      </c>
      <c r="E839" s="956">
        <v>0.12</v>
      </c>
      <c r="F839" s="956">
        <v>0.12</v>
      </c>
      <c r="G839" s="956">
        <v>0.12</v>
      </c>
      <c r="H839" s="956">
        <v>0.12</v>
      </c>
      <c r="I839" s="956">
        <v>0.12</v>
      </c>
      <c r="J839" s="956">
        <v>0.12</v>
      </c>
      <c r="K839" s="956">
        <v>0.12</v>
      </c>
      <c r="L839" s="956">
        <v>0.12</v>
      </c>
      <c r="M839" s="956">
        <v>0.12</v>
      </c>
      <c r="N839" s="956">
        <v>0.12</v>
      </c>
      <c r="O839" s="956">
        <v>0.12</v>
      </c>
    </row>
    <row r="840" spans="1:15">
      <c r="A840" s="119"/>
      <c r="B840" s="333" t="s">
        <v>1396</v>
      </c>
      <c r="C840">
        <v>7.0000000000000007E-2</v>
      </c>
      <c r="D840" s="956">
        <v>0.12</v>
      </c>
      <c r="E840" s="956">
        <v>0.12</v>
      </c>
      <c r="F840" s="956">
        <v>0.12</v>
      </c>
      <c r="G840" s="956">
        <v>0.12</v>
      </c>
      <c r="H840" s="956">
        <v>0.12</v>
      </c>
      <c r="I840" s="1130">
        <v>0.18</v>
      </c>
      <c r="J840" s="1130">
        <v>0.18</v>
      </c>
      <c r="K840" s="1130">
        <v>0.18</v>
      </c>
      <c r="L840" s="1130">
        <v>0.18</v>
      </c>
      <c r="M840" s="1130">
        <v>0.18</v>
      </c>
      <c r="N840" s="1130">
        <v>0.18</v>
      </c>
      <c r="O840" s="1130">
        <v>0.18</v>
      </c>
    </row>
    <row r="841" spans="1:15">
      <c r="A841" s="119"/>
      <c r="B841" s="333" t="s">
        <v>1397</v>
      </c>
      <c r="C841">
        <v>0.05</v>
      </c>
      <c r="D841" s="953">
        <v>0.05</v>
      </c>
      <c r="E841" s="953">
        <v>0.05</v>
      </c>
      <c r="F841" s="953">
        <v>0.05</v>
      </c>
      <c r="G841" s="953">
        <v>0.05</v>
      </c>
      <c r="H841" s="953">
        <v>0.05</v>
      </c>
      <c r="I841" s="953">
        <v>0.05</v>
      </c>
      <c r="J841" s="953">
        <v>0.05</v>
      </c>
      <c r="K841" s="953">
        <v>0.05</v>
      </c>
      <c r="L841" s="953">
        <v>0.05</v>
      </c>
      <c r="M841" s="953">
        <v>0.05</v>
      </c>
      <c r="N841" s="953">
        <v>0.05</v>
      </c>
      <c r="O841" s="953">
        <v>0.05</v>
      </c>
    </row>
    <row r="842" spans="1:15">
      <c r="A842" s="119"/>
      <c r="B842" s="333" t="s">
        <v>1398</v>
      </c>
      <c r="C842">
        <v>0.05</v>
      </c>
      <c r="D842" s="953">
        <v>0.05</v>
      </c>
      <c r="E842" s="953">
        <v>0.05</v>
      </c>
      <c r="F842" s="953">
        <v>0.05</v>
      </c>
      <c r="G842" s="953">
        <v>0.05</v>
      </c>
      <c r="H842" s="953">
        <v>0.05</v>
      </c>
      <c r="I842" s="953">
        <v>0.05</v>
      </c>
      <c r="J842" s="953">
        <v>0.05</v>
      </c>
      <c r="K842" s="953">
        <v>0.05</v>
      </c>
      <c r="L842" s="953">
        <v>0.05</v>
      </c>
      <c r="M842" s="953">
        <v>0.05</v>
      </c>
      <c r="N842" s="953">
        <v>0.05</v>
      </c>
      <c r="O842" s="953">
        <v>0.05</v>
      </c>
    </row>
    <row r="843" spans="1:15">
      <c r="A843" s="119"/>
      <c r="B843" s="333" t="s">
        <v>1399</v>
      </c>
      <c r="C843">
        <v>0.06</v>
      </c>
      <c r="D843" s="953">
        <v>0.06</v>
      </c>
      <c r="E843" s="953">
        <v>0.06</v>
      </c>
      <c r="F843" s="953">
        <v>0.06</v>
      </c>
      <c r="G843" s="953">
        <v>0.06</v>
      </c>
      <c r="H843" s="953">
        <v>0.06</v>
      </c>
      <c r="I843" s="953">
        <v>0.06</v>
      </c>
      <c r="J843" s="953">
        <v>0.06</v>
      </c>
      <c r="K843" s="953">
        <v>0.06</v>
      </c>
      <c r="L843" s="953">
        <v>0.06</v>
      </c>
      <c r="M843" s="953">
        <v>0.06</v>
      </c>
      <c r="N843" s="953">
        <v>0.06</v>
      </c>
      <c r="O843" s="953">
        <v>0.06</v>
      </c>
    </row>
    <row r="844" spans="1:15">
      <c r="A844" s="119"/>
      <c r="B844" s="333" t="s">
        <v>1400</v>
      </c>
      <c r="C844">
        <v>7.0000000000000007E-2</v>
      </c>
      <c r="D844" s="953">
        <v>7.0000000000000007E-2</v>
      </c>
      <c r="E844" s="953">
        <v>7.0000000000000007E-2</v>
      </c>
      <c r="F844" s="953">
        <v>7.0000000000000007E-2</v>
      </c>
      <c r="G844" s="953">
        <v>7.0000000000000007E-2</v>
      </c>
      <c r="H844" s="953">
        <v>7.0000000000000007E-2</v>
      </c>
      <c r="I844" s="953">
        <v>7.0000000000000007E-2</v>
      </c>
      <c r="J844" s="953">
        <v>7.0000000000000007E-2</v>
      </c>
      <c r="K844" s="953">
        <v>7.0000000000000007E-2</v>
      </c>
      <c r="L844" s="953">
        <v>7.0000000000000007E-2</v>
      </c>
      <c r="M844" s="953">
        <v>7.0000000000000007E-2</v>
      </c>
      <c r="N844" s="953">
        <v>7.0000000000000007E-2</v>
      </c>
      <c r="O844" s="953">
        <v>7.0000000000000007E-2</v>
      </c>
    </row>
    <row r="845" spans="1:15">
      <c r="A845" s="119"/>
      <c r="B845" s="333" t="s">
        <v>1401</v>
      </c>
      <c r="C845">
        <v>0.08</v>
      </c>
      <c r="D845" s="953">
        <v>0.08</v>
      </c>
      <c r="E845" s="953">
        <v>0.08</v>
      </c>
      <c r="F845" s="953">
        <v>0.08</v>
      </c>
      <c r="G845" s="953">
        <v>0.08</v>
      </c>
      <c r="H845" s="953">
        <v>0.08</v>
      </c>
      <c r="I845" s="953">
        <v>0.08</v>
      </c>
      <c r="J845" s="953">
        <v>0.08</v>
      </c>
      <c r="K845" s="953">
        <v>0.08</v>
      </c>
      <c r="L845" s="953">
        <v>0.08</v>
      </c>
      <c r="M845" s="953">
        <v>0.08</v>
      </c>
      <c r="N845" s="953">
        <v>0.08</v>
      </c>
      <c r="O845" s="953">
        <v>0.08</v>
      </c>
    </row>
    <row r="846" spans="1:15">
      <c r="A846" s="119"/>
      <c r="B846" s="333" t="s">
        <v>1402</v>
      </c>
      <c r="C846">
        <v>0.1</v>
      </c>
      <c r="D846" s="956">
        <v>0.12</v>
      </c>
      <c r="E846" s="956">
        <v>0.12</v>
      </c>
      <c r="F846" s="956">
        <v>0.12</v>
      </c>
      <c r="G846" s="956">
        <v>0.12</v>
      </c>
      <c r="H846" s="956">
        <v>0.12</v>
      </c>
      <c r="I846" s="956">
        <v>0.12</v>
      </c>
      <c r="J846" s="956">
        <v>0.12</v>
      </c>
      <c r="K846" s="956">
        <v>0.12</v>
      </c>
      <c r="L846" s="956">
        <v>0.12</v>
      </c>
      <c r="M846" s="956">
        <v>0.12</v>
      </c>
      <c r="N846" s="956">
        <v>0.12</v>
      </c>
      <c r="O846" s="956">
        <v>0.12</v>
      </c>
    </row>
    <row r="847" spans="1:15">
      <c r="A847" s="119"/>
      <c r="B847" s="333" t="s">
        <v>1403</v>
      </c>
      <c r="C847">
        <v>0.1</v>
      </c>
      <c r="D847" s="956">
        <v>0.12</v>
      </c>
      <c r="E847" s="956">
        <v>0.12</v>
      </c>
      <c r="F847" s="956">
        <v>0.12</v>
      </c>
      <c r="G847" s="956">
        <v>0.12</v>
      </c>
      <c r="H847" s="956">
        <v>0.12</v>
      </c>
      <c r="I847" s="956">
        <v>0.12</v>
      </c>
      <c r="J847" s="956">
        <v>0.12</v>
      </c>
      <c r="K847" s="956">
        <v>0.12</v>
      </c>
      <c r="L847" s="956">
        <v>0.12</v>
      </c>
      <c r="M847" s="956">
        <v>0.12</v>
      </c>
      <c r="N847" s="956">
        <v>0.12</v>
      </c>
      <c r="O847" s="956">
        <v>0.12</v>
      </c>
    </row>
    <row r="848" spans="1:15">
      <c r="A848" s="119"/>
      <c r="B848" s="333" t="s">
        <v>1404</v>
      </c>
      <c r="C848">
        <v>0.12</v>
      </c>
      <c r="D848" s="953">
        <v>0.12</v>
      </c>
      <c r="E848" s="953">
        <v>0.12</v>
      </c>
      <c r="F848" s="953">
        <v>0.12</v>
      </c>
      <c r="G848" s="953">
        <v>0.12</v>
      </c>
      <c r="H848" s="953">
        <v>0.12</v>
      </c>
      <c r="I848" s="953">
        <v>0.12</v>
      </c>
      <c r="J848" s="953">
        <v>0.12</v>
      </c>
      <c r="K848" s="953">
        <v>0.12</v>
      </c>
      <c r="L848" s="953">
        <v>0.12</v>
      </c>
      <c r="M848" s="953">
        <v>0.12</v>
      </c>
      <c r="N848" s="953">
        <v>0.12</v>
      </c>
      <c r="O848" s="953">
        <v>0.12</v>
      </c>
    </row>
    <row r="849" spans="1:15">
      <c r="A849" s="119"/>
      <c r="B849" s="333" t="s">
        <v>1405</v>
      </c>
      <c r="C849">
        <v>0.12</v>
      </c>
      <c r="D849" s="956">
        <v>0.1</v>
      </c>
      <c r="E849" s="956">
        <v>0.1</v>
      </c>
      <c r="F849" s="956">
        <v>0.1</v>
      </c>
      <c r="G849" s="956">
        <v>0.1</v>
      </c>
      <c r="H849" s="956">
        <v>0.1</v>
      </c>
      <c r="I849" s="956">
        <v>0.1</v>
      </c>
      <c r="J849" s="956">
        <v>0.1</v>
      </c>
      <c r="K849" s="956">
        <v>0.1</v>
      </c>
      <c r="L849" s="956">
        <v>0.1</v>
      </c>
      <c r="M849" s="956">
        <v>0.1</v>
      </c>
      <c r="N849" s="956">
        <v>0.1</v>
      </c>
      <c r="O849" s="956">
        <v>0.1</v>
      </c>
    </row>
    <row r="850" spans="1:15">
      <c r="A850" s="119"/>
      <c r="B850" s="333" t="s">
        <v>1406</v>
      </c>
      <c r="C850">
        <v>0.11</v>
      </c>
      <c r="D850" s="956">
        <v>0.09</v>
      </c>
      <c r="E850" s="956">
        <v>0.09</v>
      </c>
      <c r="F850" s="956">
        <v>0.09</v>
      </c>
      <c r="G850" s="956">
        <v>0.09</v>
      </c>
      <c r="H850" s="956">
        <v>0.09</v>
      </c>
      <c r="I850" s="956">
        <v>0.09</v>
      </c>
      <c r="J850" s="956">
        <v>0.09</v>
      </c>
      <c r="K850" s="956">
        <v>0.09</v>
      </c>
      <c r="L850" s="956">
        <v>0.09</v>
      </c>
      <c r="M850" s="956">
        <v>0.09</v>
      </c>
      <c r="N850" s="956">
        <v>0.09</v>
      </c>
      <c r="O850" s="956">
        <v>0.09</v>
      </c>
    </row>
    <row r="851" spans="1:15">
      <c r="A851" s="119"/>
      <c r="B851" s="333" t="s">
        <v>1407</v>
      </c>
      <c r="C851">
        <v>7.0000000000000007E-2</v>
      </c>
      <c r="D851" s="953">
        <v>7.0000000000000007E-2</v>
      </c>
      <c r="E851" s="953">
        <v>7.0000000000000007E-2</v>
      </c>
      <c r="F851" s="953">
        <v>7.0000000000000007E-2</v>
      </c>
      <c r="G851" s="953">
        <v>7.0000000000000007E-2</v>
      </c>
      <c r="H851" s="953">
        <v>7.0000000000000007E-2</v>
      </c>
      <c r="I851" s="953">
        <v>7.0000000000000007E-2</v>
      </c>
      <c r="J851" s="953">
        <v>7.0000000000000007E-2</v>
      </c>
      <c r="K851" s="953">
        <v>7.0000000000000007E-2</v>
      </c>
      <c r="L851" s="953">
        <v>7.0000000000000007E-2</v>
      </c>
      <c r="M851" s="953">
        <v>7.0000000000000007E-2</v>
      </c>
      <c r="N851" s="953">
        <v>7.0000000000000007E-2</v>
      </c>
      <c r="O851" s="953">
        <v>7.0000000000000007E-2</v>
      </c>
    </row>
    <row r="852" spans="1:15">
      <c r="A852" s="119"/>
      <c r="B852" s="333" t="s">
        <v>1408</v>
      </c>
      <c r="C852">
        <v>7.0000000000000007E-2</v>
      </c>
      <c r="D852" s="953">
        <v>7.0000000000000007E-2</v>
      </c>
      <c r="E852" s="953">
        <v>7.0000000000000007E-2</v>
      </c>
      <c r="F852" s="953">
        <v>7.0000000000000007E-2</v>
      </c>
      <c r="G852" s="953">
        <v>7.0000000000000007E-2</v>
      </c>
      <c r="H852" s="953">
        <v>7.0000000000000007E-2</v>
      </c>
      <c r="I852" s="953">
        <v>7.0000000000000007E-2</v>
      </c>
      <c r="J852" s="953">
        <v>7.0000000000000007E-2</v>
      </c>
      <c r="K852" s="953">
        <v>7.0000000000000007E-2</v>
      </c>
      <c r="L852" s="953">
        <v>7.0000000000000007E-2</v>
      </c>
      <c r="M852" s="953">
        <v>7.0000000000000007E-2</v>
      </c>
      <c r="N852" s="953">
        <v>7.0000000000000007E-2</v>
      </c>
      <c r="O852" s="953">
        <v>7.0000000000000007E-2</v>
      </c>
    </row>
    <row r="853" spans="1:15">
      <c r="A853" s="119"/>
      <c r="B853" s="333" t="s">
        <v>1409</v>
      </c>
      <c r="C853">
        <v>0.05</v>
      </c>
      <c r="D853" s="953">
        <v>0.05</v>
      </c>
      <c r="E853" s="953">
        <v>0.05</v>
      </c>
      <c r="F853" s="953">
        <v>0.05</v>
      </c>
      <c r="G853" s="953">
        <v>0.05</v>
      </c>
      <c r="H853" s="953">
        <v>0.05</v>
      </c>
      <c r="I853" s="953">
        <v>0.05</v>
      </c>
      <c r="J853" s="953">
        <v>0.05</v>
      </c>
      <c r="K853" s="953">
        <v>0.05</v>
      </c>
      <c r="L853" s="953">
        <v>0.05</v>
      </c>
      <c r="M853" s="953">
        <v>0.05</v>
      </c>
      <c r="N853" s="953">
        <v>0.05</v>
      </c>
      <c r="O853" s="953">
        <v>0.05</v>
      </c>
    </row>
    <row r="854" spans="1:15">
      <c r="A854" s="119"/>
      <c r="B854" s="333" t="s">
        <v>1410</v>
      </c>
      <c r="C854">
        <v>0.05</v>
      </c>
      <c r="D854" s="953">
        <v>0.05</v>
      </c>
      <c r="E854" s="953">
        <v>0.05</v>
      </c>
      <c r="F854" s="953">
        <v>0.05</v>
      </c>
      <c r="G854" s="953">
        <v>0.05</v>
      </c>
      <c r="H854" s="953">
        <v>0.05</v>
      </c>
      <c r="I854" s="953">
        <v>0.05</v>
      </c>
      <c r="J854" s="953">
        <v>0.05</v>
      </c>
      <c r="K854" s="953">
        <v>0.05</v>
      </c>
      <c r="L854" s="953">
        <v>0.05</v>
      </c>
      <c r="M854" s="953">
        <v>0.05</v>
      </c>
      <c r="N854" s="953">
        <v>0.05</v>
      </c>
      <c r="O854" s="953">
        <v>0.05</v>
      </c>
    </row>
    <row r="855" spans="1:15">
      <c r="A855" s="119"/>
      <c r="B855" s="333" t="s">
        <v>1411</v>
      </c>
      <c r="C855">
        <v>0.06</v>
      </c>
      <c r="D855" s="953">
        <v>0.06</v>
      </c>
      <c r="E855" s="953">
        <v>0.06</v>
      </c>
      <c r="F855" s="953">
        <v>0.06</v>
      </c>
      <c r="G855" s="953">
        <v>0.06</v>
      </c>
      <c r="H855" s="953">
        <v>0.06</v>
      </c>
      <c r="I855" s="953">
        <v>0.06</v>
      </c>
      <c r="J855" s="953">
        <v>0.06</v>
      </c>
      <c r="K855" s="953">
        <v>0.06</v>
      </c>
      <c r="L855" s="953">
        <v>0.06</v>
      </c>
      <c r="M855" s="953">
        <v>0.06</v>
      </c>
      <c r="N855" s="953">
        <v>0.06</v>
      </c>
      <c r="O855" s="953">
        <v>0.06</v>
      </c>
    </row>
    <row r="856" spans="1:15">
      <c r="A856" s="119"/>
      <c r="B856" s="333" t="s">
        <v>1412</v>
      </c>
      <c r="C856">
        <v>7.0000000000000007E-2</v>
      </c>
      <c r="D856" s="953">
        <v>7.0000000000000007E-2</v>
      </c>
      <c r="E856" s="953">
        <v>7.0000000000000007E-2</v>
      </c>
      <c r="F856" s="953">
        <v>7.0000000000000007E-2</v>
      </c>
      <c r="G856" s="953">
        <v>7.0000000000000007E-2</v>
      </c>
      <c r="H856" s="953">
        <v>7.0000000000000007E-2</v>
      </c>
      <c r="I856" s="953">
        <v>7.0000000000000007E-2</v>
      </c>
      <c r="J856" s="953">
        <v>7.0000000000000007E-2</v>
      </c>
      <c r="K856" s="953">
        <v>7.0000000000000007E-2</v>
      </c>
      <c r="L856" s="953">
        <v>7.0000000000000007E-2</v>
      </c>
      <c r="M856" s="953">
        <v>7.0000000000000007E-2</v>
      </c>
      <c r="N856" s="953">
        <v>7.0000000000000007E-2</v>
      </c>
      <c r="O856" s="953">
        <v>7.0000000000000007E-2</v>
      </c>
    </row>
    <row r="857" spans="1:15">
      <c r="A857" s="119"/>
      <c r="B857" s="333" t="s">
        <v>1413</v>
      </c>
      <c r="C857">
        <v>0.08</v>
      </c>
      <c r="D857" s="953">
        <v>0.08</v>
      </c>
      <c r="E857" s="953">
        <v>0.08</v>
      </c>
      <c r="F857" s="953">
        <v>0.08</v>
      </c>
      <c r="G857" s="953">
        <v>0.08</v>
      </c>
      <c r="H857" s="953">
        <v>0.08</v>
      </c>
      <c r="I857" s="953">
        <v>0.08</v>
      </c>
      <c r="J857" s="953">
        <v>0.08</v>
      </c>
      <c r="K857" s="953">
        <v>0.08</v>
      </c>
      <c r="L857" s="953">
        <v>0.08</v>
      </c>
      <c r="M857" s="953">
        <v>0.08</v>
      </c>
      <c r="N857" s="953">
        <v>0.08</v>
      </c>
      <c r="O857" s="953">
        <v>0.08</v>
      </c>
    </row>
    <row r="858" spans="1:15">
      <c r="A858" s="119"/>
      <c r="B858" s="333" t="s">
        <v>1414</v>
      </c>
      <c r="C858">
        <v>0.1</v>
      </c>
      <c r="D858" s="953">
        <v>0.1</v>
      </c>
      <c r="E858" s="953">
        <v>0.1</v>
      </c>
      <c r="F858" s="953">
        <v>0.1</v>
      </c>
      <c r="G858" s="953">
        <v>0.1</v>
      </c>
      <c r="H858" s="953">
        <v>0.1</v>
      </c>
      <c r="I858" s="953">
        <v>0.1</v>
      </c>
      <c r="J858" s="953">
        <v>0.1</v>
      </c>
      <c r="K858" s="953">
        <v>0.1</v>
      </c>
      <c r="L858" s="953">
        <v>0.1</v>
      </c>
      <c r="M858" s="953">
        <v>0.1</v>
      </c>
      <c r="N858" s="953">
        <v>0.1</v>
      </c>
      <c r="O858" s="953">
        <v>0.1</v>
      </c>
    </row>
    <row r="859" spans="1:15">
      <c r="A859" s="119"/>
      <c r="B859" s="333" t="s">
        <v>1415</v>
      </c>
      <c r="C859">
        <v>0.1</v>
      </c>
      <c r="D859" s="956">
        <v>0.11</v>
      </c>
      <c r="E859" s="956">
        <v>0.11</v>
      </c>
      <c r="F859" s="956">
        <v>0.11</v>
      </c>
      <c r="G859" s="956">
        <v>0.11</v>
      </c>
      <c r="H859" s="956">
        <v>0.11</v>
      </c>
      <c r="I859" s="956">
        <v>0.11</v>
      </c>
      <c r="J859" s="956">
        <v>0.11</v>
      </c>
      <c r="K859" s="956">
        <v>0.11</v>
      </c>
      <c r="L859" s="956">
        <v>0.11</v>
      </c>
      <c r="M859" s="956">
        <v>0.11</v>
      </c>
      <c r="N859" s="956">
        <v>0.11</v>
      </c>
      <c r="O859" s="956">
        <v>0.11</v>
      </c>
    </row>
    <row r="860" spans="1:15">
      <c r="A860" s="119"/>
      <c r="B860" s="333" t="s">
        <v>1416</v>
      </c>
      <c r="C860">
        <v>0.12</v>
      </c>
      <c r="D860" s="953">
        <v>0.12</v>
      </c>
      <c r="E860" s="953">
        <v>0.12</v>
      </c>
      <c r="F860" s="953">
        <v>0.12</v>
      </c>
      <c r="G860" s="953">
        <v>0.12</v>
      </c>
      <c r="H860" s="953">
        <v>0.12</v>
      </c>
      <c r="I860" s="953">
        <v>0.12</v>
      </c>
      <c r="J860" s="953">
        <v>0.12</v>
      </c>
      <c r="K860" s="953">
        <v>0.12</v>
      </c>
      <c r="L860" s="953">
        <v>0.12</v>
      </c>
      <c r="M860" s="953">
        <v>0.12</v>
      </c>
      <c r="N860" s="953">
        <v>0.12</v>
      </c>
      <c r="O860" s="953">
        <v>0.12</v>
      </c>
    </row>
    <row r="861" spans="1:15">
      <c r="A861" s="119"/>
      <c r="B861" s="333" t="s">
        <v>1417</v>
      </c>
      <c r="C861">
        <v>0.12</v>
      </c>
      <c r="D861" s="953">
        <v>0.12</v>
      </c>
      <c r="E861" s="953">
        <v>0.12</v>
      </c>
      <c r="F861" s="953">
        <v>0.12</v>
      </c>
      <c r="G861" s="953">
        <v>0.12</v>
      </c>
      <c r="H861" s="953">
        <v>0.12</v>
      </c>
      <c r="I861" s="953">
        <v>0.12</v>
      </c>
      <c r="J861" s="953">
        <v>0.12</v>
      </c>
      <c r="K861" s="953">
        <v>0.12</v>
      </c>
      <c r="L861" s="953">
        <v>0.12</v>
      </c>
      <c r="M861" s="953">
        <v>0.12</v>
      </c>
      <c r="N861" s="953">
        <v>0.12</v>
      </c>
      <c r="O861" s="953">
        <v>0.12</v>
      </c>
    </row>
    <row r="862" spans="1:15">
      <c r="A862" s="119"/>
      <c r="B862" s="333" t="s">
        <v>1418</v>
      </c>
      <c r="C862">
        <v>0.11</v>
      </c>
      <c r="D862" s="953">
        <v>0.11</v>
      </c>
      <c r="E862" s="953">
        <v>0.11</v>
      </c>
      <c r="F862" s="953">
        <v>0.11</v>
      </c>
      <c r="G862" s="953">
        <v>0.11</v>
      </c>
      <c r="H862" s="953">
        <v>0.11</v>
      </c>
      <c r="I862" s="953">
        <v>0.11</v>
      </c>
      <c r="J862" s="953">
        <v>0.11</v>
      </c>
      <c r="K862" s="953">
        <v>0.11</v>
      </c>
      <c r="L862" s="953">
        <v>0.11</v>
      </c>
      <c r="M862" s="953">
        <v>0.11</v>
      </c>
      <c r="N862" s="953">
        <v>0.11</v>
      </c>
      <c r="O862" s="953">
        <v>0.11</v>
      </c>
    </row>
    <row r="863" spans="1:15">
      <c r="A863" s="119"/>
      <c r="B863" s="333" t="s">
        <v>1419</v>
      </c>
      <c r="C863">
        <v>7.0000000000000007E-2</v>
      </c>
      <c r="D863" s="953">
        <v>7.0000000000000007E-2</v>
      </c>
      <c r="E863" s="953">
        <v>7.0000000000000007E-2</v>
      </c>
      <c r="F863" s="953">
        <v>7.0000000000000007E-2</v>
      </c>
      <c r="G863" s="953">
        <v>7.0000000000000007E-2</v>
      </c>
      <c r="H863" s="953">
        <v>7.0000000000000007E-2</v>
      </c>
      <c r="I863" s="953">
        <v>7.0000000000000007E-2</v>
      </c>
      <c r="J863" s="953">
        <v>7.0000000000000007E-2</v>
      </c>
      <c r="K863" s="953">
        <v>7.0000000000000007E-2</v>
      </c>
      <c r="L863" s="953">
        <v>7.0000000000000007E-2</v>
      </c>
      <c r="M863" s="953">
        <v>7.0000000000000007E-2</v>
      </c>
      <c r="N863" s="953">
        <v>7.0000000000000007E-2</v>
      </c>
      <c r="O863" s="953">
        <v>7.0000000000000007E-2</v>
      </c>
    </row>
    <row r="864" spans="1:15">
      <c r="A864" s="119"/>
      <c r="B864" s="333" t="s">
        <v>1420</v>
      </c>
      <c r="C864">
        <v>0.06</v>
      </c>
      <c r="D864" s="953">
        <v>0.06</v>
      </c>
      <c r="E864" s="953">
        <v>0.06</v>
      </c>
      <c r="F864" s="953">
        <v>0.06</v>
      </c>
      <c r="G864" s="953">
        <v>0.06</v>
      </c>
      <c r="H864" s="953">
        <v>0.06</v>
      </c>
      <c r="I864" s="953">
        <v>0.06</v>
      </c>
      <c r="J864" s="953">
        <v>0.06</v>
      </c>
      <c r="K864" s="953">
        <v>0.06</v>
      </c>
      <c r="L864" s="953">
        <v>0.06</v>
      </c>
      <c r="M864" s="953">
        <v>0.06</v>
      </c>
      <c r="N864" s="953">
        <v>0.06</v>
      </c>
      <c r="O864" s="953">
        <v>0.06</v>
      </c>
    </row>
    <row r="865" spans="1:15">
      <c r="A865" s="119"/>
      <c r="B865" s="334"/>
    </row>
    <row r="866" spans="1:15">
      <c r="A866" s="119">
        <v>6.22</v>
      </c>
      <c r="B866" s="333" t="s">
        <v>443</v>
      </c>
      <c r="D866" s="953"/>
      <c r="E866" s="953"/>
      <c r="F866" s="953"/>
      <c r="G866" s="953"/>
      <c r="H866" s="953"/>
      <c r="I866" s="953"/>
      <c r="J866" s="953"/>
      <c r="K866" s="953"/>
      <c r="L866" s="953"/>
      <c r="M866" s="953"/>
      <c r="N866" s="953"/>
      <c r="O866" s="953"/>
    </row>
    <row r="867" spans="1:15">
      <c r="A867" s="119"/>
      <c r="B867" s="333" t="s">
        <v>1325</v>
      </c>
      <c r="C867">
        <v>7.0000000000000007E-2</v>
      </c>
      <c r="D867" s="956">
        <v>0.06</v>
      </c>
      <c r="E867" s="956">
        <v>0.06</v>
      </c>
      <c r="F867" s="956">
        <v>0.06</v>
      </c>
      <c r="G867" s="956">
        <v>0.06</v>
      </c>
      <c r="H867" s="956">
        <v>0.06</v>
      </c>
      <c r="I867" s="956">
        <v>0.06</v>
      </c>
      <c r="J867" s="956">
        <v>0.06</v>
      </c>
      <c r="K867" s="956">
        <v>0.06</v>
      </c>
      <c r="L867" s="956">
        <v>0.06</v>
      </c>
      <c r="M867" s="956">
        <v>0.06</v>
      </c>
      <c r="N867" s="956">
        <v>0.06</v>
      </c>
      <c r="O867" s="956">
        <v>0.06</v>
      </c>
    </row>
    <row r="868" spans="1:15">
      <c r="A868" s="119"/>
      <c r="B868" s="333" t="s">
        <v>1326</v>
      </c>
      <c r="C868">
        <v>7.0000000000000007E-2</v>
      </c>
      <c r="D868" s="956">
        <v>0.06</v>
      </c>
      <c r="E868" s="956">
        <v>0.06</v>
      </c>
      <c r="F868" s="956">
        <v>0.06</v>
      </c>
      <c r="G868" s="956">
        <v>0.06</v>
      </c>
      <c r="H868" s="956">
        <v>0.06</v>
      </c>
      <c r="I868" s="956">
        <v>0.06</v>
      </c>
      <c r="J868" s="956">
        <v>0.06</v>
      </c>
      <c r="K868" s="956">
        <v>0.06</v>
      </c>
      <c r="L868" s="956">
        <v>0.06</v>
      </c>
      <c r="M868" s="956">
        <v>0.06</v>
      </c>
      <c r="N868" s="956">
        <v>0.06</v>
      </c>
      <c r="O868" s="956">
        <v>0.06</v>
      </c>
    </row>
    <row r="869" spans="1:15">
      <c r="A869" s="119"/>
      <c r="B869" s="333" t="s">
        <v>1327</v>
      </c>
      <c r="C869">
        <v>7.0000000000000007E-2</v>
      </c>
      <c r="D869" s="956">
        <v>0.06</v>
      </c>
      <c r="E869" s="956">
        <v>0.06</v>
      </c>
      <c r="F869" s="956">
        <v>0.06</v>
      </c>
      <c r="G869" s="956">
        <v>0.06</v>
      </c>
      <c r="H869" s="956">
        <v>0.06</v>
      </c>
      <c r="I869" s="956">
        <v>0.06</v>
      </c>
      <c r="J869" s="956">
        <v>0.06</v>
      </c>
      <c r="K869" s="956">
        <v>0.06</v>
      </c>
      <c r="L869" s="956">
        <v>0.06</v>
      </c>
      <c r="M869" s="956">
        <v>0.06</v>
      </c>
      <c r="N869" s="956">
        <v>0.06</v>
      </c>
      <c r="O869" s="956">
        <v>0.06</v>
      </c>
    </row>
    <row r="870" spans="1:15">
      <c r="A870" s="119"/>
      <c r="B870" s="333" t="s">
        <v>1328</v>
      </c>
      <c r="C870">
        <v>7.0000000000000007E-2</v>
      </c>
      <c r="D870" s="956">
        <v>0.06</v>
      </c>
      <c r="E870" s="956">
        <v>0.06</v>
      </c>
      <c r="F870" s="956">
        <v>0.06</v>
      </c>
      <c r="G870" s="956">
        <v>0.06</v>
      </c>
      <c r="H870" s="956">
        <v>0.06</v>
      </c>
      <c r="I870" s="956">
        <v>0.06</v>
      </c>
      <c r="J870" s="956">
        <v>0.06</v>
      </c>
      <c r="K870" s="956">
        <v>0.06</v>
      </c>
      <c r="L870" s="956">
        <v>0.06</v>
      </c>
      <c r="M870" s="956">
        <v>0.06</v>
      </c>
      <c r="N870" s="956">
        <v>0.06</v>
      </c>
      <c r="O870" s="956">
        <v>0.06</v>
      </c>
    </row>
    <row r="871" spans="1:15">
      <c r="A871" s="119"/>
      <c r="B871" s="333" t="s">
        <v>1329</v>
      </c>
      <c r="C871">
        <v>0.08</v>
      </c>
      <c r="D871" s="953">
        <v>0.08</v>
      </c>
      <c r="E871" s="953">
        <v>0.08</v>
      </c>
      <c r="F871" s="953">
        <v>0.08</v>
      </c>
      <c r="G871" s="953">
        <v>0.08</v>
      </c>
      <c r="H871" s="953">
        <v>0.08</v>
      </c>
      <c r="I871" s="953">
        <v>0.08</v>
      </c>
      <c r="J871" s="953">
        <v>0.08</v>
      </c>
      <c r="K871" s="953">
        <v>0.08</v>
      </c>
      <c r="L871" s="953">
        <v>0.08</v>
      </c>
      <c r="M871" s="953">
        <v>0.08</v>
      </c>
      <c r="N871" s="953">
        <v>0.08</v>
      </c>
      <c r="O871" s="953">
        <v>0.08</v>
      </c>
    </row>
    <row r="872" spans="1:15">
      <c r="A872" s="119"/>
      <c r="B872" s="333" t="s">
        <v>1330</v>
      </c>
      <c r="C872">
        <v>0.1</v>
      </c>
      <c r="D872" s="956">
        <v>0.12</v>
      </c>
      <c r="E872" s="956">
        <v>0.12</v>
      </c>
      <c r="F872" s="956">
        <v>0.12</v>
      </c>
      <c r="G872" s="956">
        <v>0.12</v>
      </c>
      <c r="H872" s="956">
        <v>0.12</v>
      </c>
      <c r="I872" s="956">
        <v>0.12</v>
      </c>
      <c r="J872" s="956">
        <v>0.12</v>
      </c>
      <c r="K872" s="956">
        <v>0.12</v>
      </c>
      <c r="L872" s="956">
        <v>0.12</v>
      </c>
      <c r="M872" s="956">
        <v>0.12</v>
      </c>
      <c r="N872" s="956">
        <v>0.12</v>
      </c>
      <c r="O872" s="956">
        <v>0.12</v>
      </c>
    </row>
    <row r="873" spans="1:15">
      <c r="A873" s="119"/>
      <c r="B873" s="333" t="s">
        <v>1331</v>
      </c>
      <c r="C873">
        <v>0.1</v>
      </c>
      <c r="D873" s="956">
        <v>0.12</v>
      </c>
      <c r="E873" s="956">
        <v>0.12</v>
      </c>
      <c r="F873" s="956">
        <v>0.12</v>
      </c>
      <c r="G873" s="956">
        <v>0.12</v>
      </c>
      <c r="H873" s="956">
        <v>0.12</v>
      </c>
      <c r="I873" s="956">
        <v>0.12</v>
      </c>
      <c r="J873" s="956">
        <v>0.12</v>
      </c>
      <c r="K873" s="956">
        <v>0.12</v>
      </c>
      <c r="L873" s="956">
        <v>0.12</v>
      </c>
      <c r="M873" s="956">
        <v>0.12</v>
      </c>
      <c r="N873" s="956">
        <v>0.12</v>
      </c>
      <c r="O873" s="956">
        <v>0.12</v>
      </c>
    </row>
    <row r="874" spans="1:15">
      <c r="A874" s="119"/>
      <c r="B874" s="333" t="s">
        <v>1332</v>
      </c>
      <c r="C874">
        <v>0.1</v>
      </c>
      <c r="D874" s="956">
        <v>0.12</v>
      </c>
      <c r="E874" s="956">
        <v>0.12</v>
      </c>
      <c r="F874" s="956">
        <v>0.12</v>
      </c>
      <c r="G874" s="956">
        <v>0.12</v>
      </c>
      <c r="H874" s="956">
        <v>0.12</v>
      </c>
      <c r="I874" s="956">
        <v>0.12</v>
      </c>
      <c r="J874" s="956">
        <v>0.12</v>
      </c>
      <c r="K874" s="956">
        <v>0.12</v>
      </c>
      <c r="L874" s="956">
        <v>0.12</v>
      </c>
      <c r="M874" s="956">
        <v>0.12</v>
      </c>
      <c r="N874" s="956">
        <v>0.12</v>
      </c>
      <c r="O874" s="956">
        <v>0.12</v>
      </c>
    </row>
    <row r="875" spans="1:15">
      <c r="A875" s="119"/>
      <c r="B875" s="333" t="s">
        <v>1333</v>
      </c>
      <c r="C875">
        <v>0.1</v>
      </c>
      <c r="D875" s="953">
        <v>0.1</v>
      </c>
      <c r="E875" s="953">
        <v>0.1</v>
      </c>
      <c r="F875" s="953">
        <v>0.1</v>
      </c>
      <c r="G875" s="953">
        <v>0.1</v>
      </c>
      <c r="H875" s="953">
        <v>0.1</v>
      </c>
      <c r="I875" s="953">
        <v>0.1</v>
      </c>
      <c r="J875" s="953">
        <v>0.1</v>
      </c>
      <c r="K875" s="953">
        <v>0.1</v>
      </c>
      <c r="L875" s="953">
        <v>0.1</v>
      </c>
      <c r="M875" s="953">
        <v>0.1</v>
      </c>
      <c r="N875" s="953">
        <v>0.1</v>
      </c>
      <c r="O875" s="953">
        <v>0.1</v>
      </c>
    </row>
    <row r="876" spans="1:15">
      <c r="A876" s="119"/>
      <c r="B876" s="333" t="s">
        <v>1334</v>
      </c>
      <c r="C876">
        <v>0.1</v>
      </c>
      <c r="D876" s="953">
        <v>0.1</v>
      </c>
      <c r="E876" s="953">
        <v>0.1</v>
      </c>
      <c r="F876" s="953">
        <v>0.1</v>
      </c>
      <c r="G876" s="953">
        <v>0.1</v>
      </c>
      <c r="H876" s="953">
        <v>0.1</v>
      </c>
      <c r="I876" s="953">
        <v>0.1</v>
      </c>
      <c r="J876" s="953">
        <v>0.1</v>
      </c>
      <c r="K876" s="953">
        <v>0.1</v>
      </c>
      <c r="L876" s="953">
        <v>0.1</v>
      </c>
      <c r="M876" s="953">
        <v>0.1</v>
      </c>
      <c r="N876" s="953">
        <v>0.1</v>
      </c>
      <c r="O876" s="953">
        <v>0.1</v>
      </c>
    </row>
    <row r="877" spans="1:15">
      <c r="A877" s="119"/>
      <c r="B877" s="333" t="s">
        <v>1335</v>
      </c>
      <c r="C877">
        <v>7.0000000000000007E-2</v>
      </c>
      <c r="D877" s="956">
        <v>0.06</v>
      </c>
      <c r="E877" s="956">
        <v>0.06</v>
      </c>
      <c r="F877" s="956">
        <v>0.06</v>
      </c>
      <c r="G877" s="956">
        <v>0.06</v>
      </c>
      <c r="H877" s="956">
        <v>0.06</v>
      </c>
      <c r="I877" s="956">
        <v>0.06</v>
      </c>
      <c r="J877" s="956">
        <v>0.06</v>
      </c>
      <c r="K877" s="956">
        <v>0.06</v>
      </c>
      <c r="L877" s="956">
        <v>0.06</v>
      </c>
      <c r="M877" s="956">
        <v>0.06</v>
      </c>
      <c r="N877" s="956">
        <v>0.06</v>
      </c>
      <c r="O877" s="956">
        <v>0.06</v>
      </c>
    </row>
    <row r="878" spans="1:15">
      <c r="A878" s="119"/>
      <c r="B878" s="333" t="s">
        <v>1336</v>
      </c>
      <c r="C878">
        <v>7.0000000000000007E-2</v>
      </c>
      <c r="D878" s="956">
        <v>0.06</v>
      </c>
      <c r="E878" s="956">
        <v>0.06</v>
      </c>
      <c r="F878" s="956">
        <v>0.06</v>
      </c>
      <c r="G878" s="956">
        <v>0.06</v>
      </c>
      <c r="H878" s="956">
        <v>0.06</v>
      </c>
      <c r="I878" s="956">
        <v>0.06</v>
      </c>
      <c r="J878" s="956">
        <v>0.06</v>
      </c>
      <c r="K878" s="956">
        <v>0.06</v>
      </c>
      <c r="L878" s="956">
        <v>0.06</v>
      </c>
      <c r="M878" s="956">
        <v>0.06</v>
      </c>
      <c r="N878" s="956">
        <v>0.06</v>
      </c>
      <c r="O878" s="956">
        <v>0.06</v>
      </c>
    </row>
    <row r="879" spans="1:15">
      <c r="A879" s="119"/>
      <c r="B879" s="333" t="s">
        <v>1337</v>
      </c>
      <c r="C879">
        <v>0.06</v>
      </c>
      <c r="D879" s="953">
        <v>0.06</v>
      </c>
      <c r="E879" s="953">
        <v>0.06</v>
      </c>
      <c r="F879" s="953">
        <v>0.06</v>
      </c>
      <c r="G879" s="953">
        <v>0.06</v>
      </c>
      <c r="H879" s="953">
        <v>0.06</v>
      </c>
      <c r="I879" s="953">
        <v>0.06</v>
      </c>
      <c r="J879" s="953">
        <v>0.06</v>
      </c>
      <c r="K879" s="953">
        <v>0.06</v>
      </c>
      <c r="L879" s="953">
        <v>0.06</v>
      </c>
      <c r="M879" s="953">
        <v>0.06</v>
      </c>
      <c r="N879" s="953">
        <v>0.06</v>
      </c>
      <c r="O879" s="953">
        <v>0.06</v>
      </c>
    </row>
    <row r="880" spans="1:15">
      <c r="A880" s="119"/>
      <c r="B880" s="333" t="s">
        <v>1338</v>
      </c>
      <c r="C880">
        <v>0.06</v>
      </c>
      <c r="D880" s="953">
        <v>0.06</v>
      </c>
      <c r="E880" s="953">
        <v>0.06</v>
      </c>
      <c r="F880" s="953">
        <v>0.06</v>
      </c>
      <c r="G880" s="953">
        <v>0.06</v>
      </c>
      <c r="H880" s="953">
        <v>0.06</v>
      </c>
      <c r="I880" s="953">
        <v>0.06</v>
      </c>
      <c r="J880" s="953">
        <v>0.06</v>
      </c>
      <c r="K880" s="953">
        <v>0.06</v>
      </c>
      <c r="L880" s="953">
        <v>0.06</v>
      </c>
      <c r="M880" s="953">
        <v>0.06</v>
      </c>
      <c r="N880" s="953">
        <v>0.06</v>
      </c>
      <c r="O880" s="953">
        <v>0.06</v>
      </c>
    </row>
    <row r="881" spans="1:15">
      <c r="A881" s="119"/>
      <c r="B881" s="333" t="s">
        <v>1339</v>
      </c>
      <c r="C881">
        <v>0.06</v>
      </c>
      <c r="D881" s="953">
        <v>0.06</v>
      </c>
      <c r="E881" s="953">
        <v>0.06</v>
      </c>
      <c r="F881" s="953">
        <v>0.06</v>
      </c>
      <c r="G881" s="953">
        <v>0.06</v>
      </c>
      <c r="H881" s="953">
        <v>0.06</v>
      </c>
      <c r="I881" s="953">
        <v>0.06</v>
      </c>
      <c r="J881" s="953">
        <v>0.06</v>
      </c>
      <c r="K881" s="953">
        <v>0.06</v>
      </c>
      <c r="L881" s="953">
        <v>0.06</v>
      </c>
      <c r="M881" s="953">
        <v>0.06</v>
      </c>
      <c r="N881" s="953">
        <v>0.06</v>
      </c>
      <c r="O881" s="953">
        <v>0.06</v>
      </c>
    </row>
    <row r="882" spans="1:15">
      <c r="A882" s="119"/>
      <c r="B882" s="333" t="s">
        <v>1340</v>
      </c>
      <c r="C882">
        <v>7.0000000000000007E-2</v>
      </c>
      <c r="D882" s="953">
        <v>7.0000000000000007E-2</v>
      </c>
      <c r="E882" s="953">
        <v>7.0000000000000007E-2</v>
      </c>
      <c r="F882" s="953">
        <v>7.0000000000000007E-2</v>
      </c>
      <c r="G882" s="953">
        <v>7.0000000000000007E-2</v>
      </c>
      <c r="H882" s="953">
        <v>7.0000000000000007E-2</v>
      </c>
      <c r="I882" s="953">
        <v>7.0000000000000007E-2</v>
      </c>
      <c r="J882" s="953">
        <v>7.0000000000000007E-2</v>
      </c>
      <c r="K882" s="953">
        <v>7.0000000000000007E-2</v>
      </c>
      <c r="L882" s="953">
        <v>7.0000000000000007E-2</v>
      </c>
      <c r="M882" s="953">
        <v>7.0000000000000007E-2</v>
      </c>
      <c r="N882" s="953">
        <v>7.0000000000000007E-2</v>
      </c>
      <c r="O882" s="953">
        <v>7.0000000000000007E-2</v>
      </c>
    </row>
    <row r="883" spans="1:15">
      <c r="A883" s="119"/>
      <c r="B883" s="333" t="s">
        <v>1341</v>
      </c>
      <c r="C883">
        <v>0.08</v>
      </c>
      <c r="D883" s="953">
        <v>0.08</v>
      </c>
      <c r="E883" s="953">
        <v>0.08</v>
      </c>
      <c r="F883" s="953">
        <v>0.08</v>
      </c>
      <c r="G883" s="953">
        <v>0.08</v>
      </c>
      <c r="H883" s="953">
        <v>0.08</v>
      </c>
      <c r="I883" s="953">
        <v>0.08</v>
      </c>
      <c r="J883" s="953">
        <v>0.08</v>
      </c>
      <c r="K883" s="953">
        <v>0.08</v>
      </c>
      <c r="L883" s="953">
        <v>0.08</v>
      </c>
      <c r="M883" s="953">
        <v>0.08</v>
      </c>
      <c r="N883" s="953">
        <v>0.08</v>
      </c>
      <c r="O883" s="953">
        <v>0.08</v>
      </c>
    </row>
    <row r="884" spans="1:15">
      <c r="A884" s="119"/>
      <c r="B884" s="333" t="s">
        <v>1342</v>
      </c>
      <c r="C884">
        <v>0.1</v>
      </c>
      <c r="D884" s="956">
        <v>0.11</v>
      </c>
      <c r="E884" s="956">
        <v>0.11</v>
      </c>
      <c r="F884" s="956">
        <v>0.11</v>
      </c>
      <c r="G884" s="956">
        <v>0.11</v>
      </c>
      <c r="H884" s="956">
        <v>0.11</v>
      </c>
      <c r="I884" s="956">
        <v>0.11</v>
      </c>
      <c r="J884" s="956">
        <v>0.11</v>
      </c>
      <c r="K884" s="956">
        <v>0.11</v>
      </c>
      <c r="L884" s="956">
        <v>0.11</v>
      </c>
      <c r="M884" s="956">
        <v>0.11</v>
      </c>
      <c r="N884" s="956">
        <v>0.11</v>
      </c>
      <c r="O884" s="956">
        <v>0.11</v>
      </c>
    </row>
    <row r="885" spans="1:15">
      <c r="A885" s="119"/>
      <c r="B885" s="333" t="s">
        <v>1343</v>
      </c>
      <c r="C885">
        <v>0.1</v>
      </c>
      <c r="D885" s="956">
        <v>0.11</v>
      </c>
      <c r="E885" s="956">
        <v>0.11</v>
      </c>
      <c r="F885" s="956">
        <v>0.11</v>
      </c>
      <c r="G885" s="956">
        <v>0.11</v>
      </c>
      <c r="H885" s="956">
        <v>0.11</v>
      </c>
      <c r="I885" s="956">
        <v>0.11</v>
      </c>
      <c r="J885" s="1361">
        <v>0.12</v>
      </c>
      <c r="K885" s="1361">
        <v>0.12</v>
      </c>
      <c r="L885" s="1361">
        <v>0.12</v>
      </c>
      <c r="M885" s="1361">
        <v>0.12</v>
      </c>
      <c r="N885" s="1361">
        <v>0.12</v>
      </c>
      <c r="O885" s="1361">
        <v>0.12</v>
      </c>
    </row>
    <row r="886" spans="1:15">
      <c r="A886" s="119"/>
      <c r="B886" s="333" t="s">
        <v>1344</v>
      </c>
      <c r="C886">
        <v>0.11</v>
      </c>
      <c r="D886" s="953">
        <v>0.11</v>
      </c>
      <c r="E886" s="953">
        <v>0.11</v>
      </c>
      <c r="F886" s="953">
        <v>0.11</v>
      </c>
      <c r="G886" s="953">
        <v>0.11</v>
      </c>
      <c r="H886" s="953">
        <v>0.11</v>
      </c>
      <c r="I886" s="953">
        <v>0.11</v>
      </c>
      <c r="J886" s="953">
        <v>0.11</v>
      </c>
      <c r="K886" s="953">
        <v>0.11</v>
      </c>
      <c r="L886" s="953">
        <v>0.11</v>
      </c>
      <c r="M886" s="953">
        <v>0.11</v>
      </c>
      <c r="N886" s="953">
        <v>0.11</v>
      </c>
      <c r="O886" s="953">
        <v>0.11</v>
      </c>
    </row>
    <row r="887" spans="1:15">
      <c r="A887" s="119"/>
      <c r="B887" s="333" t="s">
        <v>1345</v>
      </c>
      <c r="C887">
        <v>0.11</v>
      </c>
      <c r="D887" s="953">
        <v>0.11</v>
      </c>
      <c r="E887" s="953">
        <v>0.11</v>
      </c>
      <c r="F887" s="953">
        <v>0.11</v>
      </c>
      <c r="G887" s="953">
        <v>0.11</v>
      </c>
      <c r="H887" s="953">
        <v>0.11</v>
      </c>
      <c r="I887" s="953">
        <v>0.11</v>
      </c>
      <c r="J887" s="1361">
        <v>0.1</v>
      </c>
      <c r="K887" s="1361">
        <v>0.1</v>
      </c>
      <c r="L887" s="1361">
        <v>0.1</v>
      </c>
      <c r="M887" s="1361">
        <v>0.1</v>
      </c>
      <c r="N887" s="1361">
        <v>0.1</v>
      </c>
      <c r="O887" s="1361">
        <v>0.1</v>
      </c>
    </row>
    <row r="888" spans="1:15">
      <c r="A888" s="119"/>
      <c r="B888" s="333" t="s">
        <v>1346</v>
      </c>
      <c r="C888">
        <v>0.11</v>
      </c>
      <c r="D888" s="956">
        <v>0.1</v>
      </c>
      <c r="E888" s="956">
        <v>0.1</v>
      </c>
      <c r="F888" s="956">
        <v>0.1</v>
      </c>
      <c r="G888" s="956">
        <v>0.1</v>
      </c>
      <c r="H888" s="956">
        <v>0.1</v>
      </c>
      <c r="I888" s="956">
        <v>0.1</v>
      </c>
      <c r="J888" s="956">
        <v>0.1</v>
      </c>
      <c r="K888" s="956">
        <v>0.1</v>
      </c>
      <c r="L888" s="956">
        <v>0.1</v>
      </c>
      <c r="M888" s="956">
        <v>0.1</v>
      </c>
      <c r="N888" s="956">
        <v>0.1</v>
      </c>
      <c r="O888" s="956">
        <v>0.1</v>
      </c>
    </row>
    <row r="889" spans="1:15">
      <c r="A889" s="119"/>
      <c r="B889" s="333" t="s">
        <v>1347</v>
      </c>
      <c r="C889">
        <v>7.0000000000000007E-2</v>
      </c>
      <c r="D889" s="956">
        <v>0.06</v>
      </c>
      <c r="E889" s="956">
        <v>0.06</v>
      </c>
      <c r="F889" s="956">
        <v>0.06</v>
      </c>
      <c r="G889" s="956">
        <v>0.06</v>
      </c>
      <c r="H889" s="956">
        <v>0.06</v>
      </c>
      <c r="I889" s="956">
        <v>0.06</v>
      </c>
      <c r="J889" s="956">
        <v>0.06</v>
      </c>
      <c r="K889" s="956">
        <v>0.06</v>
      </c>
      <c r="L889" s="956">
        <v>0.06</v>
      </c>
      <c r="M889" s="956">
        <v>0.06</v>
      </c>
      <c r="N889" s="956">
        <v>0.06</v>
      </c>
      <c r="O889" s="956">
        <v>0.06</v>
      </c>
    </row>
    <row r="890" spans="1:15">
      <c r="A890" s="119"/>
      <c r="B890" s="333" t="s">
        <v>1348</v>
      </c>
      <c r="C890">
        <v>7.0000000000000007E-2</v>
      </c>
      <c r="D890" s="953">
        <v>7.0000000000000007E-2</v>
      </c>
      <c r="E890" s="953">
        <v>7.0000000000000007E-2</v>
      </c>
      <c r="F890" s="953">
        <v>7.0000000000000007E-2</v>
      </c>
      <c r="G890" s="953">
        <v>7.0000000000000007E-2</v>
      </c>
      <c r="H890" s="953">
        <v>7.0000000000000007E-2</v>
      </c>
      <c r="I890" s="953">
        <v>7.0000000000000007E-2</v>
      </c>
      <c r="J890" s="953">
        <v>7.0000000000000007E-2</v>
      </c>
      <c r="K890" s="953">
        <v>7.0000000000000007E-2</v>
      </c>
      <c r="L890" s="953">
        <v>7.0000000000000007E-2</v>
      </c>
      <c r="M890" s="953">
        <v>7.0000000000000007E-2</v>
      </c>
      <c r="N890" s="953">
        <v>7.0000000000000007E-2</v>
      </c>
      <c r="O890" s="953">
        <v>7.0000000000000007E-2</v>
      </c>
    </row>
    <row r="891" spans="1:15">
      <c r="A891" s="119"/>
      <c r="B891" s="333" t="s">
        <v>1349</v>
      </c>
      <c r="C891">
        <v>0.05</v>
      </c>
      <c r="D891" s="953">
        <v>0.05</v>
      </c>
      <c r="E891" s="953">
        <v>0.05</v>
      </c>
      <c r="F891" s="953">
        <v>0.05</v>
      </c>
      <c r="G891" s="953">
        <v>0.05</v>
      </c>
      <c r="H891" s="953">
        <v>0.05</v>
      </c>
      <c r="I891" s="1130">
        <v>0</v>
      </c>
      <c r="J891" s="1130">
        <v>0</v>
      </c>
      <c r="K891" s="1130">
        <v>0</v>
      </c>
      <c r="L891" s="1130">
        <v>0</v>
      </c>
      <c r="M891" s="1130">
        <v>0</v>
      </c>
      <c r="N891" s="1130">
        <v>0</v>
      </c>
      <c r="O891" s="1130">
        <v>0</v>
      </c>
    </row>
    <row r="892" spans="1:15">
      <c r="A892" s="119"/>
      <c r="B892" s="333" t="s">
        <v>1350</v>
      </c>
      <c r="C892">
        <v>0.05</v>
      </c>
      <c r="D892" s="953">
        <v>0.05</v>
      </c>
      <c r="E892" s="953">
        <v>0.05</v>
      </c>
      <c r="F892" s="953">
        <v>0.05</v>
      </c>
      <c r="G892" s="953">
        <v>0.05</v>
      </c>
      <c r="H892" s="953">
        <v>0.05</v>
      </c>
      <c r="I892" s="1130">
        <v>0.03</v>
      </c>
      <c r="J892" s="1130">
        <v>0.03</v>
      </c>
      <c r="K892" s="1130">
        <v>0.03</v>
      </c>
      <c r="L892" s="1130">
        <v>0.03</v>
      </c>
      <c r="M892" s="1130">
        <v>0.03</v>
      </c>
      <c r="N892" s="1130">
        <v>0.03</v>
      </c>
      <c r="O892" s="1130">
        <v>0.03</v>
      </c>
    </row>
    <row r="893" spans="1:15">
      <c r="A893" s="119"/>
      <c r="B893" s="333" t="s">
        <v>1351</v>
      </c>
      <c r="C893">
        <v>0.06</v>
      </c>
      <c r="D893" s="953">
        <v>0.06</v>
      </c>
      <c r="E893" s="953">
        <v>0.06</v>
      </c>
      <c r="F893" s="953">
        <v>0.06</v>
      </c>
      <c r="G893" s="953">
        <v>0.06</v>
      </c>
      <c r="H893" s="953">
        <v>0.06</v>
      </c>
      <c r="I893" s="953">
        <v>0.06</v>
      </c>
      <c r="J893" s="953">
        <v>0.06</v>
      </c>
      <c r="K893" s="953">
        <v>0.06</v>
      </c>
      <c r="L893" s="953">
        <v>0.06</v>
      </c>
      <c r="M893" s="953">
        <v>0.06</v>
      </c>
      <c r="N893" s="953">
        <v>0.06</v>
      </c>
      <c r="O893" s="953">
        <v>0.06</v>
      </c>
    </row>
    <row r="894" spans="1:15">
      <c r="A894" s="119"/>
      <c r="B894" s="333" t="s">
        <v>1352</v>
      </c>
      <c r="C894">
        <v>7.0000000000000007E-2</v>
      </c>
      <c r="D894" s="953">
        <v>7.0000000000000007E-2</v>
      </c>
      <c r="E894" s="953">
        <v>7.0000000000000007E-2</v>
      </c>
      <c r="F894" s="953">
        <v>7.0000000000000007E-2</v>
      </c>
      <c r="G894" s="953">
        <v>7.0000000000000007E-2</v>
      </c>
      <c r="H894" s="953">
        <v>7.0000000000000007E-2</v>
      </c>
      <c r="I894" s="953">
        <v>7.0000000000000007E-2</v>
      </c>
      <c r="J894" s="953">
        <v>7.0000000000000007E-2</v>
      </c>
      <c r="K894" s="953">
        <v>7.0000000000000007E-2</v>
      </c>
      <c r="L894" s="953">
        <v>7.0000000000000007E-2</v>
      </c>
      <c r="M894" s="953">
        <v>7.0000000000000007E-2</v>
      </c>
      <c r="N894" s="953">
        <v>7.0000000000000007E-2</v>
      </c>
      <c r="O894" s="953">
        <v>7.0000000000000007E-2</v>
      </c>
    </row>
    <row r="895" spans="1:15">
      <c r="A895" s="119"/>
      <c r="B895" s="333" t="s">
        <v>1353</v>
      </c>
      <c r="C895">
        <v>0.08</v>
      </c>
      <c r="D895" s="953">
        <v>0.08</v>
      </c>
      <c r="E895" s="953">
        <v>0.08</v>
      </c>
      <c r="F895" s="953">
        <v>0.08</v>
      </c>
      <c r="G895" s="953">
        <v>0.08</v>
      </c>
      <c r="H895" s="953">
        <v>0.08</v>
      </c>
      <c r="I895" s="953">
        <v>0.08</v>
      </c>
      <c r="J895" s="953">
        <v>0.08</v>
      </c>
      <c r="K895" s="953">
        <v>0.08</v>
      </c>
      <c r="L895" s="953">
        <v>0.08</v>
      </c>
      <c r="M895" s="953">
        <v>0.08</v>
      </c>
      <c r="N895" s="953">
        <v>0.08</v>
      </c>
      <c r="O895" s="953">
        <v>0.08</v>
      </c>
    </row>
    <row r="896" spans="1:15">
      <c r="A896" s="119"/>
      <c r="B896" s="333" t="s">
        <v>1354</v>
      </c>
      <c r="C896">
        <v>0.1</v>
      </c>
      <c r="D896" s="956">
        <v>0.08</v>
      </c>
      <c r="E896" s="956">
        <v>0.08</v>
      </c>
      <c r="F896" s="956">
        <v>0.08</v>
      </c>
      <c r="G896" s="956">
        <v>0.08</v>
      </c>
      <c r="H896" s="956">
        <v>0.08</v>
      </c>
      <c r="I896" s="956">
        <v>0.08</v>
      </c>
      <c r="J896" s="956">
        <v>0.08</v>
      </c>
      <c r="K896" s="956">
        <v>0.08</v>
      </c>
      <c r="L896" s="956">
        <v>0.08</v>
      </c>
      <c r="M896" s="956">
        <v>0.08</v>
      </c>
      <c r="N896" s="956">
        <v>0.08</v>
      </c>
      <c r="O896" s="956">
        <v>0.08</v>
      </c>
    </row>
    <row r="897" spans="1:15">
      <c r="A897" s="119"/>
      <c r="B897" s="333" t="s">
        <v>1355</v>
      </c>
      <c r="C897">
        <v>0.1</v>
      </c>
      <c r="D897" s="956">
        <v>0.12</v>
      </c>
      <c r="E897" s="956">
        <v>0.12</v>
      </c>
      <c r="F897" s="956">
        <v>0.12</v>
      </c>
      <c r="G897" s="956">
        <v>0.12</v>
      </c>
      <c r="H897" s="956">
        <v>0.12</v>
      </c>
      <c r="I897" s="1130">
        <v>0.21</v>
      </c>
      <c r="J897" s="1130">
        <v>0.21</v>
      </c>
      <c r="K897" s="1130">
        <v>0.21</v>
      </c>
      <c r="L897" s="1130">
        <v>0.21</v>
      </c>
      <c r="M897" s="1130">
        <v>0.21</v>
      </c>
      <c r="N897" s="1130">
        <v>0.21</v>
      </c>
      <c r="O897" s="1130">
        <v>0.21</v>
      </c>
    </row>
    <row r="898" spans="1:15">
      <c r="A898" s="119"/>
      <c r="B898" s="333" t="s">
        <v>1356</v>
      </c>
      <c r="C898">
        <v>0.12</v>
      </c>
      <c r="D898" s="953">
        <v>0.12</v>
      </c>
      <c r="E898" s="953">
        <v>0.12</v>
      </c>
      <c r="F898" s="953">
        <v>0.12</v>
      </c>
      <c r="G898" s="953">
        <v>0.12</v>
      </c>
      <c r="H898" s="953">
        <v>0.12</v>
      </c>
      <c r="I898" s="1130">
        <v>0.2</v>
      </c>
      <c r="J898" s="1130">
        <v>0.2</v>
      </c>
      <c r="K898" s="1130">
        <v>0.2</v>
      </c>
      <c r="L898" s="1130">
        <v>0.2</v>
      </c>
      <c r="M898" s="1130">
        <v>0.2</v>
      </c>
      <c r="N898" s="1130">
        <v>0.2</v>
      </c>
      <c r="O898" s="1130">
        <v>0.2</v>
      </c>
    </row>
    <row r="899" spans="1:15">
      <c r="A899" s="119"/>
      <c r="B899" s="333" t="s">
        <v>1357</v>
      </c>
      <c r="C899">
        <v>0.12</v>
      </c>
      <c r="D899" s="953">
        <v>0.12</v>
      </c>
      <c r="E899" s="953">
        <v>0.12</v>
      </c>
      <c r="F899" s="953">
        <v>0.12</v>
      </c>
      <c r="G899" s="953">
        <v>0.12</v>
      </c>
      <c r="H899" s="953">
        <v>0.12</v>
      </c>
      <c r="I899" s="953">
        <v>0.12</v>
      </c>
      <c r="J899" s="953">
        <v>0.12</v>
      </c>
      <c r="K899" s="953">
        <v>0.12</v>
      </c>
      <c r="L899" s="953">
        <v>0.12</v>
      </c>
      <c r="M899" s="953">
        <v>0.12</v>
      </c>
      <c r="N899" s="953">
        <v>0.12</v>
      </c>
      <c r="O899" s="953">
        <v>0.12</v>
      </c>
    </row>
    <row r="900" spans="1:15">
      <c r="A900" s="119"/>
      <c r="B900" s="333" t="s">
        <v>1358</v>
      </c>
      <c r="C900">
        <v>0.11</v>
      </c>
      <c r="D900" s="953">
        <v>0.11</v>
      </c>
      <c r="E900" s="953">
        <v>0.11</v>
      </c>
      <c r="F900" s="953">
        <v>0.11</v>
      </c>
      <c r="G900" s="953">
        <v>0.11</v>
      </c>
      <c r="H900" s="953">
        <v>0.11</v>
      </c>
      <c r="I900" s="953">
        <v>0.11</v>
      </c>
      <c r="J900" s="953">
        <v>0.11</v>
      </c>
      <c r="K900" s="953">
        <v>0.11</v>
      </c>
      <c r="L900" s="953">
        <v>0.11</v>
      </c>
      <c r="M900" s="953">
        <v>0.11</v>
      </c>
      <c r="N900" s="953">
        <v>0.11</v>
      </c>
      <c r="O900" s="953">
        <v>0.11</v>
      </c>
    </row>
    <row r="901" spans="1:15">
      <c r="A901" s="119"/>
      <c r="B901" s="333" t="s">
        <v>1359</v>
      </c>
      <c r="C901">
        <v>7.0000000000000007E-2</v>
      </c>
      <c r="D901" s="953">
        <v>7.0000000000000007E-2</v>
      </c>
      <c r="E901" s="953">
        <v>7.0000000000000007E-2</v>
      </c>
      <c r="F901" s="953">
        <v>7.0000000000000007E-2</v>
      </c>
      <c r="G901" s="953">
        <v>7.0000000000000007E-2</v>
      </c>
      <c r="H901" s="953">
        <v>7.0000000000000007E-2</v>
      </c>
      <c r="I901" s="1130">
        <v>0.03</v>
      </c>
      <c r="J901" s="1130">
        <v>0.03</v>
      </c>
      <c r="K901" s="1130">
        <v>0.03</v>
      </c>
      <c r="L901" s="1130">
        <v>0.03</v>
      </c>
      <c r="M901" s="1130">
        <v>0.03</v>
      </c>
      <c r="N901" s="1130">
        <v>0.03</v>
      </c>
      <c r="O901" s="1130">
        <v>0.03</v>
      </c>
    </row>
    <row r="902" spans="1:15">
      <c r="A902" s="119"/>
      <c r="B902" s="333" t="s">
        <v>1360</v>
      </c>
      <c r="C902">
        <v>7.0000000000000007E-2</v>
      </c>
      <c r="D902" s="953">
        <v>7.0000000000000007E-2</v>
      </c>
      <c r="E902" s="953">
        <v>7.0000000000000007E-2</v>
      </c>
      <c r="F902" s="953">
        <v>7.0000000000000007E-2</v>
      </c>
      <c r="G902" s="953">
        <v>7.0000000000000007E-2</v>
      </c>
      <c r="H902" s="953">
        <v>7.0000000000000007E-2</v>
      </c>
      <c r="I902" s="1130">
        <v>0.01</v>
      </c>
      <c r="J902" s="1130">
        <v>0.01</v>
      </c>
      <c r="K902" s="1130">
        <v>0.01</v>
      </c>
      <c r="L902" s="1130">
        <v>0.01</v>
      </c>
      <c r="M902" s="1130">
        <v>0.01</v>
      </c>
      <c r="N902" s="1130">
        <v>0.01</v>
      </c>
      <c r="O902" s="1130">
        <v>0.01</v>
      </c>
    </row>
    <row r="903" spans="1:15">
      <c r="A903" s="119"/>
      <c r="B903" s="333" t="s">
        <v>1361</v>
      </c>
      <c r="C903">
        <v>0.05</v>
      </c>
      <c r="D903" s="953">
        <v>0.05</v>
      </c>
      <c r="E903" s="953">
        <v>0.05</v>
      </c>
      <c r="F903" s="953">
        <v>0.05</v>
      </c>
      <c r="G903" s="953">
        <v>0.05</v>
      </c>
      <c r="H903" s="953">
        <v>0.05</v>
      </c>
      <c r="I903" s="1130">
        <v>0.03</v>
      </c>
      <c r="J903" s="1130">
        <v>0.03</v>
      </c>
      <c r="K903" s="1130">
        <v>0.03</v>
      </c>
      <c r="L903" s="1130">
        <v>0.03</v>
      </c>
      <c r="M903" s="1130">
        <v>0.03</v>
      </c>
      <c r="N903" s="1130">
        <v>0.03</v>
      </c>
      <c r="O903" s="1130">
        <v>0.03</v>
      </c>
    </row>
    <row r="904" spans="1:15">
      <c r="A904" s="119"/>
      <c r="B904" s="333" t="s">
        <v>1362</v>
      </c>
      <c r="C904">
        <v>0.05</v>
      </c>
      <c r="D904" s="953">
        <v>0.05</v>
      </c>
      <c r="E904" s="953">
        <v>0.05</v>
      </c>
      <c r="F904" s="953">
        <v>0.05</v>
      </c>
      <c r="G904" s="953">
        <v>0.05</v>
      </c>
      <c r="H904" s="953">
        <v>0.05</v>
      </c>
      <c r="I904" s="953">
        <v>0.05</v>
      </c>
      <c r="J904" s="953">
        <v>0.05</v>
      </c>
      <c r="K904" s="953">
        <v>0.05</v>
      </c>
      <c r="L904" s="953">
        <v>0.05</v>
      </c>
      <c r="M904" s="953">
        <v>0.05</v>
      </c>
      <c r="N904" s="953">
        <v>0.05</v>
      </c>
      <c r="O904" s="953">
        <v>0.05</v>
      </c>
    </row>
    <row r="905" spans="1:15">
      <c r="A905" s="119"/>
      <c r="B905" s="333" t="s">
        <v>1363</v>
      </c>
      <c r="C905">
        <v>0.06</v>
      </c>
      <c r="D905" s="953">
        <v>0.06</v>
      </c>
      <c r="E905" s="953">
        <v>0.06</v>
      </c>
      <c r="F905" s="953">
        <v>0.06</v>
      </c>
      <c r="G905" s="953">
        <v>0.06</v>
      </c>
      <c r="H905" s="953">
        <v>0.06</v>
      </c>
      <c r="I905" s="953">
        <v>0.06</v>
      </c>
      <c r="J905" s="953">
        <v>0.06</v>
      </c>
      <c r="K905" s="953">
        <v>0.06</v>
      </c>
      <c r="L905" s="953">
        <v>0.06</v>
      </c>
      <c r="M905" s="953">
        <v>0.06</v>
      </c>
      <c r="N905" s="953">
        <v>0.06</v>
      </c>
      <c r="O905" s="953">
        <v>0.06</v>
      </c>
    </row>
    <row r="906" spans="1:15">
      <c r="A906" s="119"/>
      <c r="B906" s="333" t="s">
        <v>1364</v>
      </c>
      <c r="C906">
        <v>7.0000000000000007E-2</v>
      </c>
      <c r="D906" s="953">
        <v>7.0000000000000007E-2</v>
      </c>
      <c r="E906" s="953">
        <v>7.0000000000000007E-2</v>
      </c>
      <c r="F906" s="953">
        <v>7.0000000000000007E-2</v>
      </c>
      <c r="G906" s="953">
        <v>7.0000000000000007E-2</v>
      </c>
      <c r="H906" s="953">
        <v>7.0000000000000007E-2</v>
      </c>
      <c r="I906" s="953">
        <v>7.0000000000000007E-2</v>
      </c>
      <c r="J906" s="953">
        <v>7.0000000000000007E-2</v>
      </c>
      <c r="K906" s="953">
        <v>7.0000000000000007E-2</v>
      </c>
      <c r="L906" s="953">
        <v>7.0000000000000007E-2</v>
      </c>
      <c r="M906" s="953">
        <v>7.0000000000000007E-2</v>
      </c>
      <c r="N906" s="953">
        <v>7.0000000000000007E-2</v>
      </c>
      <c r="O906" s="953">
        <v>7.0000000000000007E-2</v>
      </c>
    </row>
    <row r="907" spans="1:15">
      <c r="A907" s="119"/>
      <c r="B907" s="333" t="s">
        <v>1365</v>
      </c>
      <c r="C907">
        <v>0.08</v>
      </c>
      <c r="D907" s="953">
        <v>0.08</v>
      </c>
      <c r="E907" s="953">
        <v>0.08</v>
      </c>
      <c r="F907" s="953">
        <v>0.08</v>
      </c>
      <c r="G907" s="953">
        <v>0.08</v>
      </c>
      <c r="H907" s="953">
        <v>0.08</v>
      </c>
      <c r="I907" s="953">
        <v>0.08</v>
      </c>
      <c r="J907" s="953">
        <v>0.08</v>
      </c>
      <c r="K907" s="953">
        <v>0.08</v>
      </c>
      <c r="L907" s="953">
        <v>0.08</v>
      </c>
      <c r="M907" s="953">
        <v>0.08</v>
      </c>
      <c r="N907" s="953">
        <v>0.08</v>
      </c>
      <c r="O907" s="953">
        <v>0.08</v>
      </c>
    </row>
    <row r="908" spans="1:15">
      <c r="A908" s="119"/>
      <c r="B908" s="333" t="s">
        <v>1366</v>
      </c>
      <c r="C908">
        <v>0.1</v>
      </c>
      <c r="D908" s="956">
        <v>0.09</v>
      </c>
      <c r="E908" s="956">
        <v>0.09</v>
      </c>
      <c r="F908" s="956">
        <v>0.09</v>
      </c>
      <c r="G908" s="956">
        <v>0.09</v>
      </c>
      <c r="H908" s="956">
        <v>0.09</v>
      </c>
      <c r="I908" s="956">
        <v>0.09</v>
      </c>
      <c r="J908" s="956">
        <v>0.09</v>
      </c>
      <c r="K908" s="956">
        <v>0.09</v>
      </c>
      <c r="L908" s="956">
        <v>0.09</v>
      </c>
      <c r="M908" s="956">
        <v>0.09</v>
      </c>
      <c r="N908" s="956">
        <v>0.09</v>
      </c>
      <c r="O908" s="956">
        <v>0.09</v>
      </c>
    </row>
    <row r="909" spans="1:15">
      <c r="A909" s="119"/>
      <c r="B909" s="333" t="s">
        <v>1367</v>
      </c>
      <c r="C909">
        <v>0.1</v>
      </c>
      <c r="D909" s="953">
        <v>0.1</v>
      </c>
      <c r="E909" s="953">
        <v>0.1</v>
      </c>
      <c r="F909" s="953">
        <v>0.1</v>
      </c>
      <c r="G909" s="953">
        <v>0.1</v>
      </c>
      <c r="H909" s="953">
        <v>0.1</v>
      </c>
      <c r="I909" s="1130">
        <v>0.16</v>
      </c>
      <c r="J909" s="1130">
        <v>0.16</v>
      </c>
      <c r="K909" s="1130">
        <v>0.16</v>
      </c>
      <c r="L909" s="1130">
        <v>0.16</v>
      </c>
      <c r="M909" s="1130">
        <v>0.16</v>
      </c>
      <c r="N909" s="1130">
        <v>0.16</v>
      </c>
      <c r="O909" s="1130">
        <v>0.16</v>
      </c>
    </row>
    <row r="910" spans="1:15">
      <c r="A910" s="119"/>
      <c r="B910" s="333" t="s">
        <v>1368</v>
      </c>
      <c r="C910">
        <v>0.12</v>
      </c>
      <c r="D910" s="953">
        <v>0.12</v>
      </c>
      <c r="E910" s="953">
        <v>0.12</v>
      </c>
      <c r="F910" s="953">
        <v>0.12</v>
      </c>
      <c r="G910" s="953">
        <v>0.12</v>
      </c>
      <c r="H910" s="953">
        <v>0.12</v>
      </c>
      <c r="I910" s="953">
        <v>0.12</v>
      </c>
      <c r="J910" s="953">
        <v>0.12</v>
      </c>
      <c r="K910" s="953">
        <v>0.12</v>
      </c>
      <c r="L910" s="953">
        <v>0.12</v>
      </c>
      <c r="M910" s="953">
        <v>0.12</v>
      </c>
      <c r="N910" s="953">
        <v>0.12</v>
      </c>
      <c r="O910" s="953">
        <v>0.12</v>
      </c>
    </row>
    <row r="911" spans="1:15">
      <c r="A911" s="119"/>
      <c r="B911" s="333" t="s">
        <v>1369</v>
      </c>
      <c r="C911">
        <v>0.12</v>
      </c>
      <c r="D911" s="953">
        <v>0.12</v>
      </c>
      <c r="E911" s="953">
        <v>0.12</v>
      </c>
      <c r="F911" s="953">
        <v>0.12</v>
      </c>
      <c r="G911" s="953">
        <v>0.12</v>
      </c>
      <c r="H911" s="953">
        <v>0.12</v>
      </c>
      <c r="I911" s="953">
        <v>0.12</v>
      </c>
      <c r="J911" s="953">
        <v>0.12</v>
      </c>
      <c r="K911" s="953">
        <v>0.12</v>
      </c>
      <c r="L911" s="953">
        <v>0.12</v>
      </c>
      <c r="M911" s="953">
        <v>0.12</v>
      </c>
      <c r="N911" s="953">
        <v>0.12</v>
      </c>
      <c r="O911" s="953">
        <v>0.12</v>
      </c>
    </row>
    <row r="912" spans="1:15">
      <c r="A912" s="119"/>
      <c r="B912" s="333" t="s">
        <v>1370</v>
      </c>
      <c r="C912">
        <v>0.11</v>
      </c>
      <c r="D912" s="956">
        <v>0.12</v>
      </c>
      <c r="E912" s="956">
        <v>0.12</v>
      </c>
      <c r="F912" s="956">
        <v>0.12</v>
      </c>
      <c r="G912" s="956">
        <v>0.12</v>
      </c>
      <c r="H912" s="956">
        <v>0.12</v>
      </c>
      <c r="I912" s="956">
        <v>0.12</v>
      </c>
      <c r="J912" s="956">
        <v>0.12</v>
      </c>
      <c r="K912" s="956">
        <v>0.12</v>
      </c>
      <c r="L912" s="956">
        <v>0.12</v>
      </c>
      <c r="M912" s="956">
        <v>0.12</v>
      </c>
      <c r="N912" s="956">
        <v>0.12</v>
      </c>
      <c r="O912" s="956">
        <v>0.12</v>
      </c>
    </row>
    <row r="913" spans="1:15">
      <c r="A913" s="119"/>
      <c r="B913" s="333" t="s">
        <v>1371</v>
      </c>
      <c r="C913">
        <v>7.0000000000000007E-2</v>
      </c>
      <c r="D913" s="953">
        <v>7.0000000000000007E-2</v>
      </c>
      <c r="E913" s="953">
        <v>7.0000000000000007E-2</v>
      </c>
      <c r="F913" s="953">
        <v>7.0000000000000007E-2</v>
      </c>
      <c r="G913" s="953">
        <v>7.0000000000000007E-2</v>
      </c>
      <c r="H913" s="953">
        <v>7.0000000000000007E-2</v>
      </c>
      <c r="I913" s="953">
        <v>7.0000000000000007E-2</v>
      </c>
      <c r="J913" s="953">
        <v>7.0000000000000007E-2</v>
      </c>
      <c r="K913" s="953">
        <v>7.0000000000000007E-2</v>
      </c>
      <c r="L913" s="953">
        <v>7.0000000000000007E-2</v>
      </c>
      <c r="M913" s="953">
        <v>7.0000000000000007E-2</v>
      </c>
      <c r="N913" s="953">
        <v>7.0000000000000007E-2</v>
      </c>
      <c r="O913" s="953">
        <v>7.0000000000000007E-2</v>
      </c>
    </row>
    <row r="914" spans="1:15">
      <c r="A914" s="119"/>
      <c r="B914" s="333" t="s">
        <v>1372</v>
      </c>
      <c r="C914">
        <v>7.0000000000000007E-2</v>
      </c>
      <c r="D914" s="953">
        <v>7.0000000000000007E-2</v>
      </c>
      <c r="E914" s="953">
        <v>7.0000000000000007E-2</v>
      </c>
      <c r="F914" s="953">
        <v>7.0000000000000007E-2</v>
      </c>
      <c r="G914" s="953">
        <v>7.0000000000000007E-2</v>
      </c>
      <c r="H914" s="953">
        <v>7.0000000000000007E-2</v>
      </c>
      <c r="I914" s="1130">
        <v>0.03</v>
      </c>
      <c r="J914" s="1130">
        <v>0.03</v>
      </c>
      <c r="K914" s="1130">
        <v>0.03</v>
      </c>
      <c r="L914" s="1130">
        <v>0.03</v>
      </c>
      <c r="M914" s="1130">
        <v>0.03</v>
      </c>
      <c r="N914" s="1130">
        <v>0.03</v>
      </c>
      <c r="O914" s="1130">
        <v>0.03</v>
      </c>
    </row>
    <row r="915" spans="1:15">
      <c r="A915" s="119"/>
      <c r="B915" s="333" t="s">
        <v>1373</v>
      </c>
      <c r="C915">
        <v>0.05</v>
      </c>
      <c r="D915" s="956">
        <v>0.12</v>
      </c>
      <c r="E915" s="956">
        <v>0.12</v>
      </c>
      <c r="F915" s="956">
        <v>0.12</v>
      </c>
      <c r="G915" s="956">
        <v>0.12</v>
      </c>
      <c r="H915" s="956">
        <v>0.12</v>
      </c>
      <c r="I915" s="1130">
        <v>0.15</v>
      </c>
      <c r="J915" s="1130">
        <v>0.15</v>
      </c>
      <c r="K915" s="1130">
        <v>0.15</v>
      </c>
      <c r="L915" s="1130">
        <v>0.15</v>
      </c>
      <c r="M915" s="1130">
        <v>0.15</v>
      </c>
      <c r="N915" s="1130">
        <v>0.15</v>
      </c>
      <c r="O915" s="1130">
        <v>0.15</v>
      </c>
    </row>
    <row r="916" spans="1:15">
      <c r="A916" s="119"/>
      <c r="B916" s="333" t="s">
        <v>1374</v>
      </c>
      <c r="C916">
        <v>0.05</v>
      </c>
      <c r="D916" s="956">
        <v>7.0000000000000007E-2</v>
      </c>
      <c r="E916" s="956">
        <v>7.0000000000000007E-2</v>
      </c>
      <c r="F916" s="956">
        <v>7.0000000000000007E-2</v>
      </c>
      <c r="G916" s="956">
        <v>7.0000000000000007E-2</v>
      </c>
      <c r="H916" s="956">
        <v>7.0000000000000007E-2</v>
      </c>
      <c r="I916" s="956">
        <v>7.0000000000000007E-2</v>
      </c>
      <c r="J916" s="956">
        <v>7.0000000000000007E-2</v>
      </c>
      <c r="K916" s="956">
        <v>7.0000000000000007E-2</v>
      </c>
      <c r="L916" s="956">
        <v>7.0000000000000007E-2</v>
      </c>
      <c r="M916" s="956">
        <v>7.0000000000000007E-2</v>
      </c>
      <c r="N916" s="956">
        <v>7.0000000000000007E-2</v>
      </c>
      <c r="O916" s="956">
        <v>7.0000000000000007E-2</v>
      </c>
    </row>
    <row r="917" spans="1:15">
      <c r="A917" s="119"/>
      <c r="B917" s="333" t="s">
        <v>1375</v>
      </c>
      <c r="C917">
        <v>0.06</v>
      </c>
      <c r="D917" s="956">
        <v>7.0000000000000007E-2</v>
      </c>
      <c r="E917" s="956">
        <v>7.0000000000000007E-2</v>
      </c>
      <c r="F917" s="956">
        <v>7.0000000000000007E-2</v>
      </c>
      <c r="G917" s="956">
        <v>7.0000000000000007E-2</v>
      </c>
      <c r="H917" s="956">
        <v>7.0000000000000007E-2</v>
      </c>
      <c r="I917" s="956">
        <v>7.0000000000000007E-2</v>
      </c>
      <c r="J917" s="956">
        <v>7.0000000000000007E-2</v>
      </c>
      <c r="K917" s="956">
        <v>7.0000000000000007E-2</v>
      </c>
      <c r="L917" s="956">
        <v>7.0000000000000007E-2</v>
      </c>
      <c r="M917" s="956">
        <v>7.0000000000000007E-2</v>
      </c>
      <c r="N917" s="956">
        <v>7.0000000000000007E-2</v>
      </c>
      <c r="O917" s="956">
        <v>7.0000000000000007E-2</v>
      </c>
    </row>
    <row r="918" spans="1:15">
      <c r="A918" s="119"/>
      <c r="B918" s="333" t="s">
        <v>1376</v>
      </c>
      <c r="C918">
        <v>7.0000000000000007E-2</v>
      </c>
      <c r="D918" s="953">
        <v>7.0000000000000007E-2</v>
      </c>
      <c r="E918" s="953">
        <v>7.0000000000000007E-2</v>
      </c>
      <c r="F918" s="953">
        <v>7.0000000000000007E-2</v>
      </c>
      <c r="G918" s="953">
        <v>7.0000000000000007E-2</v>
      </c>
      <c r="H918" s="953">
        <v>7.0000000000000007E-2</v>
      </c>
      <c r="I918" s="953">
        <v>7.0000000000000007E-2</v>
      </c>
      <c r="J918" s="953">
        <v>7.0000000000000007E-2</v>
      </c>
      <c r="K918" s="953">
        <v>7.0000000000000007E-2</v>
      </c>
      <c r="L918" s="953">
        <v>7.0000000000000007E-2</v>
      </c>
      <c r="M918" s="953">
        <v>7.0000000000000007E-2</v>
      </c>
      <c r="N918" s="953">
        <v>7.0000000000000007E-2</v>
      </c>
      <c r="O918" s="953">
        <v>7.0000000000000007E-2</v>
      </c>
    </row>
    <row r="919" spans="1:15">
      <c r="A919" s="119"/>
      <c r="B919" s="333" t="s">
        <v>1377</v>
      </c>
      <c r="C919">
        <v>0.08</v>
      </c>
      <c r="D919" s="956">
        <v>0.06</v>
      </c>
      <c r="E919" s="956">
        <v>0.06</v>
      </c>
      <c r="F919" s="956">
        <v>0.06</v>
      </c>
      <c r="G919" s="956">
        <v>0.06</v>
      </c>
      <c r="H919" s="956">
        <v>0.06</v>
      </c>
      <c r="I919" s="956">
        <v>0.06</v>
      </c>
      <c r="J919" s="956">
        <v>0.06</v>
      </c>
      <c r="K919" s="956">
        <v>0.06</v>
      </c>
      <c r="L919" s="956">
        <v>0.06</v>
      </c>
      <c r="M919" s="956">
        <v>0.06</v>
      </c>
      <c r="N919" s="956">
        <v>0.06</v>
      </c>
      <c r="O919" s="956">
        <v>0.06</v>
      </c>
    </row>
    <row r="920" spans="1:15">
      <c r="A920" s="119"/>
      <c r="B920" s="333" t="s">
        <v>1378</v>
      </c>
      <c r="C920">
        <v>0.1</v>
      </c>
      <c r="D920" s="956">
        <v>0.05</v>
      </c>
      <c r="E920" s="956">
        <v>0.05</v>
      </c>
      <c r="F920" s="956">
        <v>0.05</v>
      </c>
      <c r="G920" s="956">
        <v>0.05</v>
      </c>
      <c r="H920" s="956">
        <v>0.05</v>
      </c>
      <c r="I920" s="1130">
        <v>0.03</v>
      </c>
      <c r="J920" s="1130">
        <v>0.03</v>
      </c>
      <c r="K920" s="1130">
        <v>0.03</v>
      </c>
      <c r="L920" s="1130">
        <v>0.03</v>
      </c>
      <c r="M920" s="1130">
        <v>0.03</v>
      </c>
      <c r="N920" s="1130">
        <v>0.03</v>
      </c>
      <c r="O920" s="1130">
        <v>0.03</v>
      </c>
    </row>
    <row r="921" spans="1:15">
      <c r="A921" s="119"/>
      <c r="B921" s="333" t="s">
        <v>1379</v>
      </c>
      <c r="C921">
        <v>0.1</v>
      </c>
      <c r="D921" s="956">
        <v>0.06</v>
      </c>
      <c r="E921" s="956">
        <v>0.06</v>
      </c>
      <c r="F921" s="956">
        <v>0.06</v>
      </c>
      <c r="G921" s="956">
        <v>0.06</v>
      </c>
      <c r="H921" s="956">
        <v>0.06</v>
      </c>
      <c r="I921" s="1130">
        <v>0.03</v>
      </c>
      <c r="J921" s="1130">
        <v>0.03</v>
      </c>
      <c r="K921" s="1130">
        <v>0.03</v>
      </c>
      <c r="L921" s="1130">
        <v>0.03</v>
      </c>
      <c r="M921" s="1130">
        <v>0.03</v>
      </c>
      <c r="N921" s="1130">
        <v>0.03</v>
      </c>
      <c r="O921" s="1130">
        <v>0.03</v>
      </c>
    </row>
    <row r="922" spans="1:15">
      <c r="A922" s="119"/>
      <c r="B922" s="333" t="s">
        <v>1380</v>
      </c>
      <c r="C922">
        <v>0.12</v>
      </c>
      <c r="D922" s="956">
        <v>7.0000000000000007E-2</v>
      </c>
      <c r="E922" s="956">
        <v>7.0000000000000007E-2</v>
      </c>
      <c r="F922" s="956">
        <v>7.0000000000000007E-2</v>
      </c>
      <c r="G922" s="956">
        <v>7.0000000000000007E-2</v>
      </c>
      <c r="H922" s="956">
        <v>7.0000000000000007E-2</v>
      </c>
      <c r="I922" s="956">
        <v>7.0000000000000007E-2</v>
      </c>
      <c r="J922" s="956">
        <v>7.0000000000000007E-2</v>
      </c>
      <c r="K922" s="956">
        <v>7.0000000000000007E-2</v>
      </c>
      <c r="L922" s="956">
        <v>7.0000000000000007E-2</v>
      </c>
      <c r="M922" s="956">
        <v>7.0000000000000007E-2</v>
      </c>
      <c r="N922" s="956">
        <v>7.0000000000000007E-2</v>
      </c>
      <c r="O922" s="956">
        <v>7.0000000000000007E-2</v>
      </c>
    </row>
    <row r="923" spans="1:15">
      <c r="A923" s="119"/>
      <c r="B923" s="333" t="s">
        <v>1381</v>
      </c>
      <c r="C923">
        <v>0.12</v>
      </c>
      <c r="D923" s="956">
        <v>0.08</v>
      </c>
      <c r="E923" s="956">
        <v>0.08</v>
      </c>
      <c r="F923" s="956">
        <v>0.08</v>
      </c>
      <c r="G923" s="956">
        <v>0.08</v>
      </c>
      <c r="H923" s="956">
        <v>0.08</v>
      </c>
      <c r="I923" s="956">
        <v>0.08</v>
      </c>
      <c r="J923" s="956">
        <v>0.08</v>
      </c>
      <c r="K923" s="956">
        <v>0.08</v>
      </c>
      <c r="L923" s="956">
        <v>0.08</v>
      </c>
      <c r="M923" s="956">
        <v>0.08</v>
      </c>
      <c r="N923" s="956">
        <v>0.08</v>
      </c>
      <c r="O923" s="956">
        <v>0.08</v>
      </c>
    </row>
    <row r="924" spans="1:15">
      <c r="A924" s="119"/>
      <c r="B924" s="333" t="s">
        <v>1382</v>
      </c>
      <c r="C924">
        <v>0.11</v>
      </c>
      <c r="D924" s="953">
        <v>0.11</v>
      </c>
      <c r="E924" s="953">
        <v>0.11</v>
      </c>
      <c r="F924" s="953">
        <v>0.11</v>
      </c>
      <c r="G924" s="953">
        <v>0.11</v>
      </c>
      <c r="H924" s="953">
        <v>0.11</v>
      </c>
      <c r="I924" s="953">
        <v>0.11</v>
      </c>
      <c r="J924" s="953">
        <v>0.11</v>
      </c>
      <c r="K924" s="953">
        <v>0.11</v>
      </c>
      <c r="L924" s="953">
        <v>0.11</v>
      </c>
      <c r="M924" s="953">
        <v>0.11</v>
      </c>
      <c r="N924" s="953">
        <v>0.11</v>
      </c>
      <c r="O924" s="953">
        <v>0.11</v>
      </c>
    </row>
    <row r="925" spans="1:15">
      <c r="A925" s="119"/>
      <c r="B925" s="333" t="s">
        <v>1383</v>
      </c>
      <c r="C925">
        <v>7.0000000000000007E-2</v>
      </c>
      <c r="D925" s="956">
        <v>0.12</v>
      </c>
      <c r="E925" s="956">
        <v>0.12</v>
      </c>
      <c r="F925" s="956">
        <v>0.12</v>
      </c>
      <c r="G925" s="956">
        <v>0.12</v>
      </c>
      <c r="H925" s="956">
        <v>0.12</v>
      </c>
      <c r="I925" s="956">
        <v>0.12</v>
      </c>
      <c r="J925" s="956">
        <v>0.12</v>
      </c>
      <c r="K925" s="956">
        <v>0.12</v>
      </c>
      <c r="L925" s="956">
        <v>0.12</v>
      </c>
      <c r="M925" s="956">
        <v>0.12</v>
      </c>
      <c r="N925" s="956">
        <v>0.12</v>
      </c>
      <c r="O925" s="956">
        <v>0.12</v>
      </c>
    </row>
    <row r="926" spans="1:15">
      <c r="A926" s="119"/>
      <c r="B926" s="333" t="s">
        <v>1384</v>
      </c>
      <c r="C926">
        <v>7.0000000000000007E-2</v>
      </c>
      <c r="D926" s="956">
        <v>0.12</v>
      </c>
      <c r="E926" s="956">
        <v>0.12</v>
      </c>
      <c r="F926" s="956">
        <v>0.12</v>
      </c>
      <c r="G926" s="956">
        <v>0.12</v>
      </c>
      <c r="H926" s="956">
        <v>0.12</v>
      </c>
      <c r="I926" s="1130">
        <v>0.14000000000000001</v>
      </c>
      <c r="J926" s="1130">
        <v>0.14000000000000001</v>
      </c>
      <c r="K926" s="1130">
        <v>0.14000000000000001</v>
      </c>
      <c r="L926" s="1130">
        <v>0.14000000000000001</v>
      </c>
      <c r="M926" s="1130">
        <v>0.14000000000000001</v>
      </c>
      <c r="N926" s="1130">
        <v>0.14000000000000001</v>
      </c>
      <c r="O926" s="1130">
        <v>0.14000000000000001</v>
      </c>
    </row>
    <row r="927" spans="1:15">
      <c r="A927" s="119"/>
      <c r="B927" s="333" t="s">
        <v>1385</v>
      </c>
      <c r="C927">
        <v>0.05</v>
      </c>
      <c r="D927" s="956">
        <v>0.12</v>
      </c>
      <c r="E927" s="956">
        <v>0.12</v>
      </c>
      <c r="F927" s="956">
        <v>0.12</v>
      </c>
      <c r="G927" s="956">
        <v>0.12</v>
      </c>
      <c r="H927" s="956">
        <v>0.12</v>
      </c>
      <c r="I927" s="1130">
        <v>0.18</v>
      </c>
      <c r="J927" s="1130">
        <v>0.18</v>
      </c>
      <c r="K927" s="1130">
        <v>0.18</v>
      </c>
      <c r="L927" s="1130">
        <v>0.18</v>
      </c>
      <c r="M927" s="1130">
        <v>0.18</v>
      </c>
      <c r="N927" s="1130">
        <v>0.18</v>
      </c>
      <c r="O927" s="1130">
        <v>0.18</v>
      </c>
    </row>
    <row r="928" spans="1:15">
      <c r="A928" s="119"/>
      <c r="B928" s="333" t="s">
        <v>1386</v>
      </c>
      <c r="C928">
        <v>0.05</v>
      </c>
      <c r="D928" s="956">
        <v>7.0000000000000007E-2</v>
      </c>
      <c r="E928" s="956">
        <v>7.0000000000000007E-2</v>
      </c>
      <c r="F928" s="956">
        <v>7.0000000000000007E-2</v>
      </c>
      <c r="G928" s="956">
        <v>7.0000000000000007E-2</v>
      </c>
      <c r="H928" s="956">
        <v>7.0000000000000007E-2</v>
      </c>
      <c r="I928" s="1130">
        <v>0.11</v>
      </c>
      <c r="J928" s="1130">
        <v>0.11</v>
      </c>
      <c r="K928" s="1130">
        <v>0.11</v>
      </c>
      <c r="L928" s="1130">
        <v>0.11</v>
      </c>
      <c r="M928" s="1130">
        <v>0.11</v>
      </c>
      <c r="N928" s="1130">
        <v>0.11</v>
      </c>
      <c r="O928" s="1130">
        <v>0.11</v>
      </c>
    </row>
    <row r="929" spans="1:15">
      <c r="A929" s="119"/>
      <c r="B929" s="333" t="s">
        <v>1387</v>
      </c>
      <c r="C929">
        <v>0.06</v>
      </c>
      <c r="D929" s="956">
        <v>7.0000000000000007E-2</v>
      </c>
      <c r="E929" s="956">
        <v>7.0000000000000007E-2</v>
      </c>
      <c r="F929" s="956">
        <v>7.0000000000000007E-2</v>
      </c>
      <c r="G929" s="956">
        <v>7.0000000000000007E-2</v>
      </c>
      <c r="H929" s="956">
        <v>7.0000000000000007E-2</v>
      </c>
      <c r="I929" s="1130">
        <v>0.09</v>
      </c>
      <c r="J929" s="1130">
        <v>0.09</v>
      </c>
      <c r="K929" s="1130">
        <v>0.09</v>
      </c>
      <c r="L929" s="1130">
        <v>0.09</v>
      </c>
      <c r="M929" s="1130">
        <v>0.09</v>
      </c>
      <c r="N929" s="1130">
        <v>0.09</v>
      </c>
      <c r="O929" s="1130">
        <v>0.09</v>
      </c>
    </row>
    <row r="930" spans="1:15">
      <c r="A930" s="119"/>
      <c r="B930" s="333" t="s">
        <v>1388</v>
      </c>
      <c r="C930">
        <v>7.0000000000000007E-2</v>
      </c>
      <c r="D930" s="953">
        <v>7.0000000000000007E-2</v>
      </c>
      <c r="E930" s="953">
        <v>7.0000000000000007E-2</v>
      </c>
      <c r="F930" s="953">
        <v>7.0000000000000007E-2</v>
      </c>
      <c r="G930" s="953">
        <v>7.0000000000000007E-2</v>
      </c>
      <c r="H930" s="953">
        <v>7.0000000000000007E-2</v>
      </c>
      <c r="I930" s="953">
        <v>7.0000000000000007E-2</v>
      </c>
      <c r="J930" s="953">
        <v>7.0000000000000007E-2</v>
      </c>
      <c r="K930" s="953">
        <v>7.0000000000000007E-2</v>
      </c>
      <c r="L930" s="953">
        <v>7.0000000000000007E-2</v>
      </c>
      <c r="M930" s="953">
        <v>7.0000000000000007E-2</v>
      </c>
      <c r="N930" s="953">
        <v>7.0000000000000007E-2</v>
      </c>
      <c r="O930" s="953">
        <v>7.0000000000000007E-2</v>
      </c>
    </row>
    <row r="931" spans="1:15">
      <c r="A931" s="119"/>
      <c r="B931" s="333" t="s">
        <v>1389</v>
      </c>
      <c r="C931">
        <v>0.08</v>
      </c>
      <c r="D931" s="956">
        <v>0.06</v>
      </c>
      <c r="E931" s="956">
        <v>0.06</v>
      </c>
      <c r="F931" s="956">
        <v>0.06</v>
      </c>
      <c r="G931" s="956">
        <v>0.06</v>
      </c>
      <c r="H931" s="956">
        <v>0.06</v>
      </c>
      <c r="I931" s="956">
        <v>0.06</v>
      </c>
      <c r="J931" s="956">
        <v>0.06</v>
      </c>
      <c r="K931" s="956">
        <v>0.06</v>
      </c>
      <c r="L931" s="956">
        <v>0.06</v>
      </c>
      <c r="M931" s="956">
        <v>0.06</v>
      </c>
      <c r="N931" s="956">
        <v>0.06</v>
      </c>
      <c r="O931" s="956">
        <v>0.06</v>
      </c>
    </row>
    <row r="932" spans="1:15">
      <c r="A932" s="119"/>
      <c r="B932" s="333" t="s">
        <v>1390</v>
      </c>
      <c r="C932">
        <v>0.1</v>
      </c>
      <c r="D932" s="956">
        <v>0.05</v>
      </c>
      <c r="E932" s="956">
        <v>0.05</v>
      </c>
      <c r="F932" s="956">
        <v>0.05</v>
      </c>
      <c r="G932" s="956">
        <v>0.05</v>
      </c>
      <c r="H932" s="956">
        <v>0.05</v>
      </c>
      <c r="I932" s="1130">
        <v>0</v>
      </c>
      <c r="J932" s="1130">
        <v>0</v>
      </c>
      <c r="K932" s="1130">
        <v>0</v>
      </c>
      <c r="L932" s="1130">
        <v>0</v>
      </c>
      <c r="M932" s="1130">
        <v>0</v>
      </c>
      <c r="N932" s="1130">
        <v>0</v>
      </c>
      <c r="O932" s="1130">
        <v>0</v>
      </c>
    </row>
    <row r="933" spans="1:15">
      <c r="A933" s="119"/>
      <c r="B933" s="333" t="s">
        <v>1391</v>
      </c>
      <c r="C933">
        <v>0.1</v>
      </c>
      <c r="D933" s="956">
        <v>0.06</v>
      </c>
      <c r="E933" s="956">
        <v>0.06</v>
      </c>
      <c r="F933" s="956">
        <v>0.06</v>
      </c>
      <c r="G933" s="956">
        <v>0.06</v>
      </c>
      <c r="H933" s="956">
        <v>0.06</v>
      </c>
      <c r="I933" s="1130">
        <v>0</v>
      </c>
      <c r="J933" s="1130">
        <v>0</v>
      </c>
      <c r="K933" s="1130">
        <v>0</v>
      </c>
      <c r="L933" s="1130">
        <v>0</v>
      </c>
      <c r="M933" s="1130">
        <v>0</v>
      </c>
      <c r="N933" s="1130">
        <v>0</v>
      </c>
      <c r="O933" s="1130">
        <v>0</v>
      </c>
    </row>
    <row r="934" spans="1:15">
      <c r="A934" s="119"/>
      <c r="B934" s="333" t="s">
        <v>1392</v>
      </c>
      <c r="C934">
        <v>0.12</v>
      </c>
      <c r="D934" s="956">
        <v>7.0000000000000007E-2</v>
      </c>
      <c r="E934" s="956">
        <v>7.0000000000000007E-2</v>
      </c>
      <c r="F934" s="956">
        <v>7.0000000000000007E-2</v>
      </c>
      <c r="G934" s="956">
        <v>7.0000000000000007E-2</v>
      </c>
      <c r="H934" s="956">
        <v>7.0000000000000007E-2</v>
      </c>
      <c r="I934" s="1130">
        <v>0.02</v>
      </c>
      <c r="J934" s="1130">
        <v>0.02</v>
      </c>
      <c r="K934" s="1130">
        <v>0.02</v>
      </c>
      <c r="L934" s="1130">
        <v>0.02</v>
      </c>
      <c r="M934" s="1130">
        <v>0.02</v>
      </c>
      <c r="N934" s="1130">
        <v>0.02</v>
      </c>
      <c r="O934" s="1130">
        <v>0.02</v>
      </c>
    </row>
    <row r="935" spans="1:15">
      <c r="A935" s="119"/>
      <c r="B935" s="333" t="s">
        <v>1393</v>
      </c>
      <c r="C935">
        <v>0.12</v>
      </c>
      <c r="D935" s="956">
        <v>0.08</v>
      </c>
      <c r="E935" s="956">
        <v>0.08</v>
      </c>
      <c r="F935" s="956">
        <v>0.08</v>
      </c>
      <c r="G935" s="956">
        <v>0.08</v>
      </c>
      <c r="H935" s="956">
        <v>0.08</v>
      </c>
      <c r="I935" s="1130">
        <v>0.06</v>
      </c>
      <c r="J935" s="1130">
        <v>0.06</v>
      </c>
      <c r="K935" s="1130">
        <v>0.06</v>
      </c>
      <c r="L935" s="1130">
        <v>0.06</v>
      </c>
      <c r="M935" s="1130">
        <v>0.06</v>
      </c>
      <c r="N935" s="1130">
        <v>0.06</v>
      </c>
      <c r="O935" s="1130">
        <v>0.06</v>
      </c>
    </row>
    <row r="936" spans="1:15">
      <c r="A936" s="119"/>
      <c r="B936" s="333" t="s">
        <v>1394</v>
      </c>
      <c r="C936">
        <v>0.11</v>
      </c>
      <c r="D936" s="953">
        <v>0.11</v>
      </c>
      <c r="E936" s="953">
        <v>0.11</v>
      </c>
      <c r="F936" s="953">
        <v>0.11</v>
      </c>
      <c r="G936" s="953">
        <v>0.11</v>
      </c>
      <c r="H936" s="953">
        <v>0.11</v>
      </c>
      <c r="I936" s="953">
        <v>0.11</v>
      </c>
      <c r="J936" s="953">
        <v>0.11</v>
      </c>
      <c r="K936" s="953">
        <v>0.11</v>
      </c>
      <c r="L936" s="953">
        <v>0.11</v>
      </c>
      <c r="M936" s="953">
        <v>0.11</v>
      </c>
      <c r="N936" s="953">
        <v>0.11</v>
      </c>
      <c r="O936" s="953">
        <v>0.11</v>
      </c>
    </row>
    <row r="937" spans="1:15">
      <c r="A937" s="119"/>
      <c r="B937" s="333" t="s">
        <v>1395</v>
      </c>
      <c r="C937">
        <v>7.0000000000000007E-2</v>
      </c>
      <c r="D937" s="956">
        <v>0.12</v>
      </c>
      <c r="E937" s="956">
        <v>0.12</v>
      </c>
      <c r="F937" s="956">
        <v>0.12</v>
      </c>
      <c r="G937" s="956">
        <v>0.12</v>
      </c>
      <c r="H937" s="956">
        <v>0.12</v>
      </c>
      <c r="I937" s="956">
        <v>0.12</v>
      </c>
      <c r="J937" s="956">
        <v>0.12</v>
      </c>
      <c r="K937" s="956">
        <v>0.12</v>
      </c>
      <c r="L937" s="956">
        <v>0.12</v>
      </c>
      <c r="M937" s="956">
        <v>0.12</v>
      </c>
      <c r="N937" s="956">
        <v>0.12</v>
      </c>
      <c r="O937" s="956">
        <v>0.12</v>
      </c>
    </row>
    <row r="938" spans="1:15">
      <c r="A938" s="119"/>
      <c r="B938" s="333" t="s">
        <v>1396</v>
      </c>
      <c r="C938">
        <v>7.0000000000000007E-2</v>
      </c>
      <c r="D938" s="956">
        <v>0.12</v>
      </c>
      <c r="E938" s="956">
        <v>0.12</v>
      </c>
      <c r="F938" s="956">
        <v>0.12</v>
      </c>
      <c r="G938" s="956">
        <v>0.12</v>
      </c>
      <c r="H938" s="956">
        <v>0.12</v>
      </c>
      <c r="I938" s="1130">
        <v>0.18</v>
      </c>
      <c r="J938" s="1130">
        <v>0.18</v>
      </c>
      <c r="K938" s="1130">
        <v>0.18</v>
      </c>
      <c r="L938" s="1130">
        <v>0.18</v>
      </c>
      <c r="M938" s="1130">
        <v>0.18</v>
      </c>
      <c r="N938" s="1130">
        <v>0.18</v>
      </c>
      <c r="O938" s="1130">
        <v>0.18</v>
      </c>
    </row>
    <row r="939" spans="1:15">
      <c r="A939" s="119"/>
      <c r="B939" s="333" t="s">
        <v>1397</v>
      </c>
      <c r="C939">
        <v>0.05</v>
      </c>
      <c r="D939" s="953">
        <v>0.05</v>
      </c>
      <c r="E939" s="953">
        <v>0.05</v>
      </c>
      <c r="F939" s="953">
        <v>0.05</v>
      </c>
      <c r="G939" s="953">
        <v>0.05</v>
      </c>
      <c r="H939" s="953">
        <v>0.05</v>
      </c>
      <c r="I939" s="1130">
        <v>0</v>
      </c>
      <c r="J939" s="1130">
        <v>0</v>
      </c>
      <c r="K939" s="1130">
        <v>0</v>
      </c>
      <c r="L939" s="1130">
        <v>0</v>
      </c>
      <c r="M939" s="1130">
        <v>0</v>
      </c>
      <c r="N939" s="1130">
        <v>0</v>
      </c>
      <c r="O939" s="1130">
        <v>0</v>
      </c>
    </row>
    <row r="940" spans="1:15">
      <c r="A940" s="119"/>
      <c r="B940" s="333" t="s">
        <v>1398</v>
      </c>
      <c r="C940">
        <v>0.05</v>
      </c>
      <c r="D940" s="953">
        <v>0.05</v>
      </c>
      <c r="E940" s="953">
        <v>0.05</v>
      </c>
      <c r="F940" s="953">
        <v>0.05</v>
      </c>
      <c r="G940" s="953">
        <v>0.05</v>
      </c>
      <c r="H940" s="953">
        <v>0.05</v>
      </c>
      <c r="I940" s="953">
        <v>0.05</v>
      </c>
      <c r="J940" s="953">
        <v>0.05</v>
      </c>
      <c r="K940" s="953">
        <v>0.05</v>
      </c>
      <c r="L940" s="953">
        <v>0.05</v>
      </c>
      <c r="M940" s="953">
        <v>0.05</v>
      </c>
      <c r="N940" s="953">
        <v>0.05</v>
      </c>
      <c r="O940" s="953">
        <v>0.05</v>
      </c>
    </row>
    <row r="941" spans="1:15">
      <c r="A941" s="119"/>
      <c r="B941" s="333" t="s">
        <v>1399</v>
      </c>
      <c r="C941">
        <v>0.06</v>
      </c>
      <c r="D941" s="953">
        <v>0.06</v>
      </c>
      <c r="E941" s="953">
        <v>0.06</v>
      </c>
      <c r="F941" s="953">
        <v>0.06</v>
      </c>
      <c r="G941" s="953">
        <v>0.06</v>
      </c>
      <c r="H941" s="953">
        <v>0.06</v>
      </c>
      <c r="I941" s="953">
        <v>0.06</v>
      </c>
      <c r="J941" s="953">
        <v>0.06</v>
      </c>
      <c r="K941" s="953">
        <v>0.06</v>
      </c>
      <c r="L941" s="953">
        <v>0.06</v>
      </c>
      <c r="M941" s="953">
        <v>0.06</v>
      </c>
      <c r="N941" s="953">
        <v>0.06</v>
      </c>
      <c r="O941" s="953">
        <v>0.06</v>
      </c>
    </row>
    <row r="942" spans="1:15">
      <c r="A942" s="119"/>
      <c r="B942" s="333" t="s">
        <v>1400</v>
      </c>
      <c r="C942">
        <v>7.0000000000000007E-2</v>
      </c>
      <c r="D942" s="953">
        <v>7.0000000000000007E-2</v>
      </c>
      <c r="E942" s="953">
        <v>7.0000000000000007E-2</v>
      </c>
      <c r="F942" s="953">
        <v>7.0000000000000007E-2</v>
      </c>
      <c r="G942" s="953">
        <v>7.0000000000000007E-2</v>
      </c>
      <c r="H942" s="953">
        <v>7.0000000000000007E-2</v>
      </c>
      <c r="I942" s="953">
        <v>7.0000000000000007E-2</v>
      </c>
      <c r="J942" s="953">
        <v>7.0000000000000007E-2</v>
      </c>
      <c r="K942" s="953">
        <v>7.0000000000000007E-2</v>
      </c>
      <c r="L942" s="953">
        <v>7.0000000000000007E-2</v>
      </c>
      <c r="M942" s="953">
        <v>7.0000000000000007E-2</v>
      </c>
      <c r="N942" s="953">
        <v>7.0000000000000007E-2</v>
      </c>
      <c r="O942" s="953">
        <v>7.0000000000000007E-2</v>
      </c>
    </row>
    <row r="943" spans="1:15">
      <c r="A943" s="119"/>
      <c r="B943" s="333" t="s">
        <v>1401</v>
      </c>
      <c r="C943">
        <v>0.08</v>
      </c>
      <c r="D943" s="953">
        <v>0.08</v>
      </c>
      <c r="E943" s="953">
        <v>0.08</v>
      </c>
      <c r="F943" s="953">
        <v>0.08</v>
      </c>
      <c r="G943" s="953">
        <v>0.08</v>
      </c>
      <c r="H943" s="953">
        <v>0.08</v>
      </c>
      <c r="I943" s="953">
        <v>0.08</v>
      </c>
      <c r="J943" s="953">
        <v>0.08</v>
      </c>
      <c r="K943" s="953">
        <v>0.08</v>
      </c>
      <c r="L943" s="953">
        <v>0.08</v>
      </c>
      <c r="M943" s="953">
        <v>0.08</v>
      </c>
      <c r="N943" s="953">
        <v>0.08</v>
      </c>
      <c r="O943" s="953">
        <v>0.08</v>
      </c>
    </row>
    <row r="944" spans="1:15">
      <c r="A944" s="119"/>
      <c r="B944" s="333" t="s">
        <v>1402</v>
      </c>
      <c r="C944">
        <v>0.1</v>
      </c>
      <c r="D944" s="956">
        <v>0.12</v>
      </c>
      <c r="E944" s="956">
        <v>0.12</v>
      </c>
      <c r="F944" s="956">
        <v>0.12</v>
      </c>
      <c r="G944" s="956">
        <v>0.12</v>
      </c>
      <c r="H944" s="956">
        <v>0.12</v>
      </c>
      <c r="I944" s="1130">
        <v>0.09</v>
      </c>
      <c r="J944" s="1130">
        <v>0.09</v>
      </c>
      <c r="K944" s="1130">
        <v>0.09</v>
      </c>
      <c r="L944" s="1130">
        <v>0.09</v>
      </c>
      <c r="M944" s="1130">
        <v>0.09</v>
      </c>
      <c r="N944" s="1130">
        <v>0.09</v>
      </c>
      <c r="O944" s="1130">
        <v>0.09</v>
      </c>
    </row>
    <row r="945" spans="1:15">
      <c r="A945" s="119"/>
      <c r="B945" s="333" t="s">
        <v>1403</v>
      </c>
      <c r="C945">
        <v>0.1</v>
      </c>
      <c r="D945" s="956">
        <v>0.12</v>
      </c>
      <c r="E945" s="956">
        <v>0.12</v>
      </c>
      <c r="F945" s="956">
        <v>0.12</v>
      </c>
      <c r="G945" s="956">
        <v>0.12</v>
      </c>
      <c r="H945" s="956">
        <v>0.12</v>
      </c>
      <c r="I945" s="1130">
        <v>0.18</v>
      </c>
      <c r="J945" s="1130">
        <v>0.18</v>
      </c>
      <c r="K945" s="1130">
        <v>0.18</v>
      </c>
      <c r="L945" s="1130">
        <v>0.18</v>
      </c>
      <c r="M945" s="1130">
        <v>0.18</v>
      </c>
      <c r="N945" s="1130">
        <v>0.18</v>
      </c>
      <c r="O945" s="1130">
        <v>0.18</v>
      </c>
    </row>
    <row r="946" spans="1:15">
      <c r="A946" s="119"/>
      <c r="B946" s="333" t="s">
        <v>1404</v>
      </c>
      <c r="C946">
        <v>0.12</v>
      </c>
      <c r="D946" s="953">
        <v>0.12</v>
      </c>
      <c r="E946" s="953">
        <v>0.12</v>
      </c>
      <c r="F946" s="953">
        <v>0.12</v>
      </c>
      <c r="G946" s="953">
        <v>0.12</v>
      </c>
      <c r="H946" s="953">
        <v>0.12</v>
      </c>
      <c r="I946" s="1130">
        <v>0.16</v>
      </c>
      <c r="J946" s="1130">
        <v>0.16</v>
      </c>
      <c r="K946" s="1130">
        <v>0.16</v>
      </c>
      <c r="L946" s="1130">
        <v>0.16</v>
      </c>
      <c r="M946" s="1130">
        <v>0.16</v>
      </c>
      <c r="N946" s="1130">
        <v>0.16</v>
      </c>
      <c r="O946" s="1130">
        <v>0.16</v>
      </c>
    </row>
    <row r="947" spans="1:15">
      <c r="A947" s="119"/>
      <c r="B947" s="333" t="s">
        <v>1405</v>
      </c>
      <c r="C947">
        <v>0.12</v>
      </c>
      <c r="D947" s="956">
        <v>0.1</v>
      </c>
      <c r="E947" s="956">
        <v>0.1</v>
      </c>
      <c r="F947" s="956">
        <v>0.1</v>
      </c>
      <c r="G947" s="956">
        <v>0.1</v>
      </c>
      <c r="H947" s="956">
        <v>0.1</v>
      </c>
      <c r="I947" s="1130">
        <v>0.12</v>
      </c>
      <c r="J947" s="1130">
        <v>0.12</v>
      </c>
      <c r="K947" s="1130">
        <v>0.12</v>
      </c>
      <c r="L947" s="1130">
        <v>0.12</v>
      </c>
      <c r="M947" s="1130">
        <v>0.12</v>
      </c>
      <c r="N947" s="1130">
        <v>0.12</v>
      </c>
      <c r="O947" s="1130">
        <v>0.12</v>
      </c>
    </row>
    <row r="948" spans="1:15">
      <c r="A948" s="119"/>
      <c r="B948" s="333" t="s">
        <v>1406</v>
      </c>
      <c r="C948">
        <v>0.11</v>
      </c>
      <c r="D948" s="956">
        <v>0.09</v>
      </c>
      <c r="E948" s="956">
        <v>0.09</v>
      </c>
      <c r="F948" s="956">
        <v>0.09</v>
      </c>
      <c r="G948" s="956">
        <v>0.09</v>
      </c>
      <c r="H948" s="956">
        <v>0.09</v>
      </c>
      <c r="I948" s="1130">
        <v>0.12</v>
      </c>
      <c r="J948" s="1130">
        <v>0.12</v>
      </c>
      <c r="K948" s="1130">
        <v>0.12</v>
      </c>
      <c r="L948" s="1130">
        <v>0.12</v>
      </c>
      <c r="M948" s="1130">
        <v>0.12</v>
      </c>
      <c r="N948" s="1130">
        <v>0.12</v>
      </c>
      <c r="O948" s="1130">
        <v>0.12</v>
      </c>
    </row>
    <row r="949" spans="1:15">
      <c r="A949" s="119"/>
      <c r="B949" s="333" t="s">
        <v>1407</v>
      </c>
      <c r="C949">
        <v>7.0000000000000007E-2</v>
      </c>
      <c r="D949" s="953">
        <v>7.0000000000000007E-2</v>
      </c>
      <c r="E949" s="953">
        <v>7.0000000000000007E-2</v>
      </c>
      <c r="F949" s="953">
        <v>7.0000000000000007E-2</v>
      </c>
      <c r="G949" s="953">
        <v>7.0000000000000007E-2</v>
      </c>
      <c r="H949" s="953">
        <v>7.0000000000000007E-2</v>
      </c>
      <c r="I949" s="953">
        <v>7.0000000000000007E-2</v>
      </c>
      <c r="J949" s="953">
        <v>7.0000000000000007E-2</v>
      </c>
      <c r="K949" s="953">
        <v>7.0000000000000007E-2</v>
      </c>
      <c r="L949" s="953">
        <v>7.0000000000000007E-2</v>
      </c>
      <c r="M949" s="953">
        <v>7.0000000000000007E-2</v>
      </c>
      <c r="N949" s="953">
        <v>7.0000000000000007E-2</v>
      </c>
      <c r="O949" s="953">
        <v>7.0000000000000007E-2</v>
      </c>
    </row>
    <row r="950" spans="1:15">
      <c r="A950" s="119"/>
      <c r="B950" s="333" t="s">
        <v>1408</v>
      </c>
      <c r="C950">
        <v>7.0000000000000007E-2</v>
      </c>
      <c r="D950" s="953">
        <v>7.0000000000000007E-2</v>
      </c>
      <c r="E950" s="953">
        <v>7.0000000000000007E-2</v>
      </c>
      <c r="F950" s="953">
        <v>7.0000000000000007E-2</v>
      </c>
      <c r="G950" s="953">
        <v>7.0000000000000007E-2</v>
      </c>
      <c r="H950" s="953">
        <v>7.0000000000000007E-2</v>
      </c>
      <c r="I950" s="1130">
        <v>0</v>
      </c>
      <c r="J950" s="1130">
        <v>0</v>
      </c>
      <c r="K950" s="1130">
        <v>0</v>
      </c>
      <c r="L950" s="1130">
        <v>0</v>
      </c>
      <c r="M950" s="1130">
        <v>0</v>
      </c>
      <c r="N950" s="1130">
        <v>0</v>
      </c>
      <c r="O950" s="1130">
        <v>0</v>
      </c>
    </row>
    <row r="951" spans="1:15">
      <c r="A951" s="119"/>
      <c r="B951" s="333" t="s">
        <v>1409</v>
      </c>
      <c r="C951">
        <v>0.05</v>
      </c>
      <c r="D951" s="956">
        <v>0.06</v>
      </c>
      <c r="E951" s="956">
        <v>0.06</v>
      </c>
      <c r="F951" s="956">
        <v>0.06</v>
      </c>
      <c r="G951" s="956">
        <v>0.06</v>
      </c>
      <c r="H951" s="956">
        <v>0.06</v>
      </c>
      <c r="I951" s="956">
        <v>0.06</v>
      </c>
      <c r="J951" s="956">
        <v>0.06</v>
      </c>
      <c r="K951" s="956">
        <v>0.06</v>
      </c>
      <c r="L951" s="956">
        <v>0.06</v>
      </c>
      <c r="M951" s="956">
        <v>0.06</v>
      </c>
      <c r="N951" s="956">
        <v>0.06</v>
      </c>
      <c r="O951" s="956">
        <v>0.06</v>
      </c>
    </row>
    <row r="952" spans="1:15">
      <c r="A952" s="119"/>
      <c r="B952" s="333" t="s">
        <v>1410</v>
      </c>
      <c r="C952">
        <v>0.05</v>
      </c>
      <c r="D952" s="956">
        <v>0.06</v>
      </c>
      <c r="E952" s="956">
        <v>0.06</v>
      </c>
      <c r="F952" s="956">
        <v>0.06</v>
      </c>
      <c r="G952" s="956">
        <v>0.06</v>
      </c>
      <c r="H952" s="956">
        <v>0.06</v>
      </c>
      <c r="I952" s="956">
        <v>0.06</v>
      </c>
      <c r="J952" s="956">
        <v>0.06</v>
      </c>
      <c r="K952" s="956">
        <v>0.06</v>
      </c>
      <c r="L952" s="956">
        <v>0.06</v>
      </c>
      <c r="M952" s="956">
        <v>0.06</v>
      </c>
      <c r="N952" s="956">
        <v>0.06</v>
      </c>
      <c r="O952" s="956">
        <v>0.06</v>
      </c>
    </row>
    <row r="953" spans="1:15">
      <c r="A953" s="119"/>
      <c r="B953" s="333" t="s">
        <v>1411</v>
      </c>
      <c r="C953">
        <v>0.06</v>
      </c>
      <c r="D953" s="953">
        <v>0.06</v>
      </c>
      <c r="E953" s="953">
        <v>0.06</v>
      </c>
      <c r="F953" s="953">
        <v>0.06</v>
      </c>
      <c r="G953" s="953">
        <v>0.06</v>
      </c>
      <c r="H953" s="953">
        <v>0.06</v>
      </c>
      <c r="I953" s="953">
        <v>0.06</v>
      </c>
      <c r="J953" s="953">
        <v>0.06</v>
      </c>
      <c r="K953" s="953">
        <v>0.06</v>
      </c>
      <c r="L953" s="953">
        <v>0.06</v>
      </c>
      <c r="M953" s="953">
        <v>0.06</v>
      </c>
      <c r="N953" s="953">
        <v>0.06</v>
      </c>
      <c r="O953" s="953">
        <v>0.06</v>
      </c>
    </row>
    <row r="954" spans="1:15">
      <c r="A954" s="119"/>
      <c r="B954" s="333" t="s">
        <v>1412</v>
      </c>
      <c r="C954">
        <v>7.0000000000000007E-2</v>
      </c>
      <c r="D954" s="953">
        <v>7.0000000000000007E-2</v>
      </c>
      <c r="E954" s="953">
        <v>7.0000000000000007E-2</v>
      </c>
      <c r="F954" s="953">
        <v>7.0000000000000007E-2</v>
      </c>
      <c r="G954" s="953">
        <v>7.0000000000000007E-2</v>
      </c>
      <c r="H954" s="953">
        <v>7.0000000000000007E-2</v>
      </c>
      <c r="I954" s="953">
        <v>7.0000000000000007E-2</v>
      </c>
      <c r="J954" s="953">
        <v>7.0000000000000007E-2</v>
      </c>
      <c r="K954" s="953">
        <v>7.0000000000000007E-2</v>
      </c>
      <c r="L954" s="953">
        <v>7.0000000000000007E-2</v>
      </c>
      <c r="M954" s="953">
        <v>7.0000000000000007E-2</v>
      </c>
      <c r="N954" s="953">
        <v>7.0000000000000007E-2</v>
      </c>
      <c r="O954" s="953">
        <v>7.0000000000000007E-2</v>
      </c>
    </row>
    <row r="955" spans="1:15">
      <c r="A955" s="119"/>
      <c r="B955" s="333" t="s">
        <v>1413</v>
      </c>
      <c r="C955">
        <v>0.08</v>
      </c>
      <c r="D955" s="953">
        <v>0.08</v>
      </c>
      <c r="E955" s="953">
        <v>0.08</v>
      </c>
      <c r="F955" s="953">
        <v>0.08</v>
      </c>
      <c r="G955" s="953">
        <v>0.08</v>
      </c>
      <c r="H955" s="953">
        <v>0.08</v>
      </c>
      <c r="I955" s="953">
        <v>0.08</v>
      </c>
      <c r="J955" s="953">
        <v>0.08</v>
      </c>
      <c r="K955" s="953">
        <v>0.08</v>
      </c>
      <c r="L955" s="953">
        <v>0.08</v>
      </c>
      <c r="M955" s="953">
        <v>0.08</v>
      </c>
      <c r="N955" s="953">
        <v>0.08</v>
      </c>
      <c r="O955" s="953">
        <v>0.08</v>
      </c>
    </row>
    <row r="956" spans="1:15">
      <c r="A956" s="119"/>
      <c r="B956" s="333" t="s">
        <v>1414</v>
      </c>
      <c r="C956">
        <v>0.1</v>
      </c>
      <c r="D956" s="956">
        <v>0.11</v>
      </c>
      <c r="E956" s="956">
        <v>0.11</v>
      </c>
      <c r="F956" s="956">
        <v>0.11</v>
      </c>
      <c r="G956" s="956">
        <v>0.11</v>
      </c>
      <c r="H956" s="956">
        <v>0.11</v>
      </c>
      <c r="I956" s="956">
        <v>0.11</v>
      </c>
      <c r="J956" s="956">
        <v>0.11</v>
      </c>
      <c r="K956" s="956">
        <v>0.11</v>
      </c>
      <c r="L956" s="956">
        <v>0.11</v>
      </c>
      <c r="M956" s="956">
        <v>0.11</v>
      </c>
      <c r="N956" s="956">
        <v>0.11</v>
      </c>
      <c r="O956" s="956">
        <v>0.11</v>
      </c>
    </row>
    <row r="957" spans="1:15">
      <c r="A957" s="119"/>
      <c r="B957" s="333" t="s">
        <v>1415</v>
      </c>
      <c r="C957">
        <v>0.1</v>
      </c>
      <c r="D957" s="956">
        <v>0.11</v>
      </c>
      <c r="E957" s="956">
        <v>0.11</v>
      </c>
      <c r="F957" s="956">
        <v>0.11</v>
      </c>
      <c r="G957" s="956">
        <v>0.11</v>
      </c>
      <c r="H957" s="956">
        <v>0.11</v>
      </c>
      <c r="I957" s="956">
        <v>0.11</v>
      </c>
      <c r="J957" s="956">
        <v>0.11</v>
      </c>
      <c r="K957" s="956">
        <v>0.11</v>
      </c>
      <c r="L957" s="956">
        <v>0.11</v>
      </c>
      <c r="M957" s="956">
        <v>0.11</v>
      </c>
      <c r="N957" s="956">
        <v>0.11</v>
      </c>
      <c r="O957" s="956">
        <v>0.11</v>
      </c>
    </row>
    <row r="958" spans="1:15">
      <c r="A958" s="119"/>
      <c r="B958" s="333" t="s">
        <v>1416</v>
      </c>
      <c r="C958">
        <v>0.12</v>
      </c>
      <c r="D958" s="956">
        <v>0.11</v>
      </c>
      <c r="E958" s="956">
        <v>0.11</v>
      </c>
      <c r="F958" s="956">
        <v>0.11</v>
      </c>
      <c r="G958" s="956">
        <v>0.11</v>
      </c>
      <c r="H958" s="956">
        <v>0.11</v>
      </c>
      <c r="I958" s="956">
        <v>0.11</v>
      </c>
      <c r="J958" s="956">
        <v>0.11</v>
      </c>
      <c r="K958" s="956">
        <v>0.11</v>
      </c>
      <c r="L958" s="956">
        <v>0.11</v>
      </c>
      <c r="M958" s="956">
        <v>0.11</v>
      </c>
      <c r="N958" s="956">
        <v>0.11</v>
      </c>
      <c r="O958" s="956">
        <v>0.11</v>
      </c>
    </row>
    <row r="959" spans="1:15">
      <c r="A959" s="119"/>
      <c r="B959" s="333" t="s">
        <v>1417</v>
      </c>
      <c r="C959">
        <v>0.12</v>
      </c>
      <c r="D959" s="956">
        <v>0.11</v>
      </c>
      <c r="E959" s="956">
        <v>0.11</v>
      </c>
      <c r="F959" s="956">
        <v>0.11</v>
      </c>
      <c r="G959" s="956">
        <v>0.11</v>
      </c>
      <c r="H959" s="956">
        <v>0.11</v>
      </c>
      <c r="I959" s="956">
        <v>0.11</v>
      </c>
      <c r="J959" s="956">
        <v>0.11</v>
      </c>
      <c r="K959" s="956">
        <v>0.11</v>
      </c>
      <c r="L959" s="956">
        <v>0.11</v>
      </c>
      <c r="M959" s="956">
        <v>0.11</v>
      </c>
      <c r="N959" s="956">
        <v>0.11</v>
      </c>
      <c r="O959" s="956">
        <v>0.11</v>
      </c>
    </row>
    <row r="960" spans="1:15">
      <c r="A960" s="119"/>
      <c r="B960" s="333" t="s">
        <v>1418</v>
      </c>
      <c r="C960">
        <v>0.11</v>
      </c>
      <c r="D960" s="956">
        <v>0.1</v>
      </c>
      <c r="E960" s="956">
        <v>0.1</v>
      </c>
      <c r="F960" s="956">
        <v>0.1</v>
      </c>
      <c r="G960" s="956">
        <v>0.1</v>
      </c>
      <c r="H960" s="956">
        <v>0.1</v>
      </c>
      <c r="I960" s="956">
        <v>0.1</v>
      </c>
      <c r="J960" s="956">
        <v>0.1</v>
      </c>
      <c r="K960" s="956">
        <v>0.1</v>
      </c>
      <c r="L960" s="956">
        <v>0.1</v>
      </c>
      <c r="M960" s="956">
        <v>0.1</v>
      </c>
      <c r="N960" s="956">
        <v>0.1</v>
      </c>
      <c r="O960" s="956">
        <v>0.1</v>
      </c>
    </row>
    <row r="961" spans="1:15">
      <c r="A961" s="119"/>
      <c r="B961" s="333" t="s">
        <v>1419</v>
      </c>
      <c r="C961">
        <v>7.0000000000000007E-2</v>
      </c>
      <c r="D961" s="956">
        <v>0.06</v>
      </c>
      <c r="E961" s="956">
        <v>0.06</v>
      </c>
      <c r="F961" s="956">
        <v>0.06</v>
      </c>
      <c r="G961" s="956">
        <v>0.06</v>
      </c>
      <c r="H961" s="956">
        <v>0.06</v>
      </c>
      <c r="I961" s="956">
        <v>0.06</v>
      </c>
      <c r="J961" s="956">
        <v>0.06</v>
      </c>
      <c r="K961" s="956">
        <v>0.06</v>
      </c>
      <c r="L961" s="956">
        <v>0.06</v>
      </c>
      <c r="M961" s="956">
        <v>0.06</v>
      </c>
      <c r="N961" s="956">
        <v>0.06</v>
      </c>
      <c r="O961" s="956">
        <v>0.06</v>
      </c>
    </row>
    <row r="962" spans="1:15">
      <c r="A962" s="119"/>
      <c r="B962" s="333" t="s">
        <v>1420</v>
      </c>
      <c r="C962">
        <v>7.0000000000000007E-2</v>
      </c>
      <c r="D962" s="953">
        <v>7.0000000000000007E-2</v>
      </c>
      <c r="E962" s="953">
        <v>7.0000000000000007E-2</v>
      </c>
      <c r="F962" s="953">
        <v>7.0000000000000007E-2</v>
      </c>
      <c r="G962" s="953">
        <v>7.0000000000000007E-2</v>
      </c>
      <c r="H962" s="953">
        <v>7.0000000000000007E-2</v>
      </c>
      <c r="I962" s="953">
        <v>7.0000000000000007E-2</v>
      </c>
      <c r="J962" s="953">
        <v>7.0000000000000007E-2</v>
      </c>
      <c r="K962" s="953">
        <v>7.0000000000000007E-2</v>
      </c>
      <c r="L962" s="953">
        <v>7.0000000000000007E-2</v>
      </c>
      <c r="M962" s="953">
        <v>7.0000000000000007E-2</v>
      </c>
      <c r="N962" s="953">
        <v>7.0000000000000007E-2</v>
      </c>
      <c r="O962" s="953">
        <v>7.0000000000000007E-2</v>
      </c>
    </row>
    <row r="963" spans="1:15">
      <c r="A963" s="119"/>
      <c r="B963" s="334"/>
    </row>
    <row r="964" spans="1:15">
      <c r="A964" s="119">
        <v>6.23</v>
      </c>
      <c r="B964" s="333" t="s">
        <v>444</v>
      </c>
      <c r="D964" s="953"/>
      <c r="E964" s="953"/>
      <c r="F964" s="953"/>
      <c r="G964" s="953"/>
      <c r="H964" s="953"/>
      <c r="I964" s="953"/>
      <c r="J964" s="953"/>
      <c r="K964" s="953"/>
      <c r="L964" s="953"/>
      <c r="M964" s="953"/>
      <c r="N964" s="953"/>
      <c r="O964" s="953"/>
    </row>
    <row r="965" spans="1:15">
      <c r="A965" s="119"/>
      <c r="B965" s="333" t="s">
        <v>1325</v>
      </c>
      <c r="C965">
        <v>7.0000000000000007E-2</v>
      </c>
      <c r="D965" s="956">
        <v>0.06</v>
      </c>
      <c r="E965" s="956">
        <v>0.06</v>
      </c>
      <c r="F965" s="956">
        <v>0.06</v>
      </c>
      <c r="G965" s="956">
        <v>0.06</v>
      </c>
      <c r="H965" s="956">
        <v>0.06</v>
      </c>
      <c r="I965" s="956">
        <v>0.06</v>
      </c>
      <c r="J965" s="956">
        <v>0.06</v>
      </c>
      <c r="K965" s="956">
        <v>0.06</v>
      </c>
      <c r="L965" s="956">
        <v>0.06</v>
      </c>
      <c r="M965" s="956">
        <v>0.06</v>
      </c>
      <c r="N965" s="956">
        <v>0.06</v>
      </c>
      <c r="O965" s="956">
        <v>0.06</v>
      </c>
    </row>
    <row r="966" spans="1:15">
      <c r="A966" s="119"/>
      <c r="B966" s="333" t="s">
        <v>1326</v>
      </c>
      <c r="C966">
        <v>7.0000000000000007E-2</v>
      </c>
      <c r="D966" s="956">
        <v>0.06</v>
      </c>
      <c r="E966" s="956">
        <v>0.06</v>
      </c>
      <c r="F966" s="956">
        <v>0.06</v>
      </c>
      <c r="G966" s="956">
        <v>0.06</v>
      </c>
      <c r="H966" s="956">
        <v>0.06</v>
      </c>
      <c r="I966" s="956">
        <v>0.06</v>
      </c>
      <c r="J966" s="956">
        <v>0.06</v>
      </c>
      <c r="K966" s="956">
        <v>0.06</v>
      </c>
      <c r="L966" s="956">
        <v>0.06</v>
      </c>
      <c r="M966" s="956">
        <v>0.06</v>
      </c>
      <c r="N966" s="956">
        <v>0.06</v>
      </c>
      <c r="O966" s="956">
        <v>0.06</v>
      </c>
    </row>
    <row r="967" spans="1:15">
      <c r="A967" s="119"/>
      <c r="B967" s="333" t="s">
        <v>1327</v>
      </c>
      <c r="C967">
        <v>7.0000000000000007E-2</v>
      </c>
      <c r="D967" s="956">
        <v>0.06</v>
      </c>
      <c r="E967" s="956">
        <v>0.06</v>
      </c>
      <c r="F967" s="956">
        <v>0.06</v>
      </c>
      <c r="G967" s="956">
        <v>0.06</v>
      </c>
      <c r="H967" s="956">
        <v>0.06</v>
      </c>
      <c r="I967" s="956">
        <v>0.06</v>
      </c>
      <c r="J967" s="956">
        <v>0.06</v>
      </c>
      <c r="K967" s="956">
        <v>0.06</v>
      </c>
      <c r="L967" s="956">
        <v>0.06</v>
      </c>
      <c r="M967" s="956">
        <v>0.06</v>
      </c>
      <c r="N967" s="956">
        <v>0.06</v>
      </c>
      <c r="O967" s="956">
        <v>0.06</v>
      </c>
    </row>
    <row r="968" spans="1:15">
      <c r="A968" s="119"/>
      <c r="B968" s="333" t="s">
        <v>1328</v>
      </c>
      <c r="C968">
        <v>7.0000000000000007E-2</v>
      </c>
      <c r="D968" s="956">
        <v>0.06</v>
      </c>
      <c r="E968" s="956">
        <v>0.06</v>
      </c>
      <c r="F968" s="956">
        <v>0.06</v>
      </c>
      <c r="G968" s="956">
        <v>0.06</v>
      </c>
      <c r="H968" s="956">
        <v>0.06</v>
      </c>
      <c r="I968" s="956">
        <v>0.06</v>
      </c>
      <c r="J968" s="956">
        <v>0.06</v>
      </c>
      <c r="K968" s="956">
        <v>0.06</v>
      </c>
      <c r="L968" s="956">
        <v>0.06</v>
      </c>
      <c r="M968" s="956">
        <v>0.06</v>
      </c>
      <c r="N968" s="956">
        <v>0.06</v>
      </c>
      <c r="O968" s="956">
        <v>0.06</v>
      </c>
    </row>
    <row r="969" spans="1:15">
      <c r="A969" s="119"/>
      <c r="B969" s="333" t="s">
        <v>1329</v>
      </c>
      <c r="C969">
        <v>0.08</v>
      </c>
      <c r="D969" s="953">
        <v>0.08</v>
      </c>
      <c r="E969" s="953">
        <v>0.08</v>
      </c>
      <c r="F969" s="953">
        <v>0.08</v>
      </c>
      <c r="G969" s="953">
        <v>0.08</v>
      </c>
      <c r="H969" s="953">
        <v>0.08</v>
      </c>
      <c r="I969" s="953">
        <v>0.08</v>
      </c>
      <c r="J969" s="953">
        <v>0.08</v>
      </c>
      <c r="K969" s="953">
        <v>0.08</v>
      </c>
      <c r="L969" s="953">
        <v>0.08</v>
      </c>
      <c r="M969" s="953">
        <v>0.08</v>
      </c>
      <c r="N969" s="953">
        <v>0.08</v>
      </c>
      <c r="O969" s="953">
        <v>0.08</v>
      </c>
    </row>
    <row r="970" spans="1:15">
      <c r="A970" s="119"/>
      <c r="B970" s="333" t="s">
        <v>1330</v>
      </c>
      <c r="C970">
        <v>0.1</v>
      </c>
      <c r="D970" s="956">
        <v>0.12</v>
      </c>
      <c r="E970" s="956">
        <v>0.12</v>
      </c>
      <c r="F970" s="956">
        <v>0.12</v>
      </c>
      <c r="G970" s="956">
        <v>0.12</v>
      </c>
      <c r="H970" s="956">
        <v>0.12</v>
      </c>
      <c r="I970" s="956">
        <v>0.12</v>
      </c>
      <c r="J970" s="956">
        <v>0.12</v>
      </c>
      <c r="K970" s="956">
        <v>0.12</v>
      </c>
      <c r="L970" s="956">
        <v>0.12</v>
      </c>
      <c r="M970" s="956">
        <v>0.12</v>
      </c>
      <c r="N970" s="956">
        <v>0.12</v>
      </c>
      <c r="O970" s="956">
        <v>0.12</v>
      </c>
    </row>
    <row r="971" spans="1:15">
      <c r="A971" s="119"/>
      <c r="B971" s="333" t="s">
        <v>1331</v>
      </c>
      <c r="C971">
        <v>0.1</v>
      </c>
      <c r="D971" s="956">
        <v>0.12</v>
      </c>
      <c r="E971" s="956">
        <v>0.12</v>
      </c>
      <c r="F971" s="956">
        <v>0.12</v>
      </c>
      <c r="G971" s="956">
        <v>0.12</v>
      </c>
      <c r="H971" s="956">
        <v>0.12</v>
      </c>
      <c r="I971" s="956">
        <v>0.12</v>
      </c>
      <c r="J971" s="956">
        <v>0.12</v>
      </c>
      <c r="K971" s="956">
        <v>0.12</v>
      </c>
      <c r="L971" s="956">
        <v>0.12</v>
      </c>
      <c r="M971" s="956">
        <v>0.12</v>
      </c>
      <c r="N971" s="956">
        <v>0.12</v>
      </c>
      <c r="O971" s="956">
        <v>0.12</v>
      </c>
    </row>
    <row r="972" spans="1:15">
      <c r="A972" s="119"/>
      <c r="B972" s="333" t="s">
        <v>1332</v>
      </c>
      <c r="C972">
        <v>0.1</v>
      </c>
      <c r="D972" s="956">
        <v>0.12</v>
      </c>
      <c r="E972" s="956">
        <v>0.12</v>
      </c>
      <c r="F972" s="956">
        <v>0.12</v>
      </c>
      <c r="G972" s="956">
        <v>0.12</v>
      </c>
      <c r="H972" s="956">
        <v>0.12</v>
      </c>
      <c r="I972" s="956">
        <v>0.12</v>
      </c>
      <c r="J972" s="956">
        <v>0.12</v>
      </c>
      <c r="K972" s="956">
        <v>0.12</v>
      </c>
      <c r="L972" s="956">
        <v>0.12</v>
      </c>
      <c r="M972" s="956">
        <v>0.12</v>
      </c>
      <c r="N972" s="956">
        <v>0.12</v>
      </c>
      <c r="O972" s="956">
        <v>0.12</v>
      </c>
    </row>
    <row r="973" spans="1:15">
      <c r="A973" s="119"/>
      <c r="B973" s="333" t="s">
        <v>1333</v>
      </c>
      <c r="C973">
        <v>0.1</v>
      </c>
      <c r="D973" s="953">
        <v>0.1</v>
      </c>
      <c r="E973" s="953">
        <v>0.1</v>
      </c>
      <c r="F973" s="953">
        <v>0.1</v>
      </c>
      <c r="G973" s="953">
        <v>0.1</v>
      </c>
      <c r="H973" s="953">
        <v>0.1</v>
      </c>
      <c r="I973" s="953">
        <v>0.1</v>
      </c>
      <c r="J973" s="953">
        <v>0.1</v>
      </c>
      <c r="K973" s="953">
        <v>0.1</v>
      </c>
      <c r="L973" s="953">
        <v>0.1</v>
      </c>
      <c r="M973" s="953">
        <v>0.1</v>
      </c>
      <c r="N973" s="953">
        <v>0.1</v>
      </c>
      <c r="O973" s="953">
        <v>0.1</v>
      </c>
    </row>
    <row r="974" spans="1:15">
      <c r="A974" s="119"/>
      <c r="B974" s="333" t="s">
        <v>1334</v>
      </c>
      <c r="C974">
        <v>0.1</v>
      </c>
      <c r="D974" s="953">
        <v>0.1</v>
      </c>
      <c r="E974" s="953">
        <v>0.1</v>
      </c>
      <c r="F974" s="953">
        <v>0.1</v>
      </c>
      <c r="G974" s="953">
        <v>0.1</v>
      </c>
      <c r="H974" s="953">
        <v>0.1</v>
      </c>
      <c r="I974" s="953">
        <v>0.1</v>
      </c>
      <c r="J974" s="953">
        <v>0.1</v>
      </c>
      <c r="K974" s="953">
        <v>0.1</v>
      </c>
      <c r="L974" s="953">
        <v>0.1</v>
      </c>
      <c r="M974" s="953">
        <v>0.1</v>
      </c>
      <c r="N974" s="953">
        <v>0.1</v>
      </c>
      <c r="O974" s="953">
        <v>0.1</v>
      </c>
    </row>
    <row r="975" spans="1:15">
      <c r="A975" s="119"/>
      <c r="B975" s="333" t="s">
        <v>1335</v>
      </c>
      <c r="C975">
        <v>7.0000000000000007E-2</v>
      </c>
      <c r="D975" s="956">
        <v>0.06</v>
      </c>
      <c r="E975" s="956">
        <v>0.06</v>
      </c>
      <c r="F975" s="956">
        <v>0.06</v>
      </c>
      <c r="G975" s="956">
        <v>0.06</v>
      </c>
      <c r="H975" s="956">
        <v>0.06</v>
      </c>
      <c r="I975" s="956">
        <v>0.06</v>
      </c>
      <c r="J975" s="956">
        <v>0.06</v>
      </c>
      <c r="K975" s="956">
        <v>0.06</v>
      </c>
      <c r="L975" s="956">
        <v>0.06</v>
      </c>
      <c r="M975" s="956">
        <v>0.06</v>
      </c>
      <c r="N975" s="956">
        <v>0.06</v>
      </c>
      <c r="O975" s="956">
        <v>0.06</v>
      </c>
    </row>
    <row r="976" spans="1:15">
      <c r="A976" s="119"/>
      <c r="B976" s="333" t="s">
        <v>1336</v>
      </c>
      <c r="C976">
        <v>7.0000000000000007E-2</v>
      </c>
      <c r="D976" s="956">
        <v>0.06</v>
      </c>
      <c r="E976" s="956">
        <v>0.06</v>
      </c>
      <c r="F976" s="956">
        <v>0.06</v>
      </c>
      <c r="G976" s="956">
        <v>0.06</v>
      </c>
      <c r="H976" s="956">
        <v>0.06</v>
      </c>
      <c r="I976" s="956">
        <v>0.06</v>
      </c>
      <c r="J976" s="956">
        <v>0.06</v>
      </c>
      <c r="K976" s="956">
        <v>0.06</v>
      </c>
      <c r="L976" s="956">
        <v>0.06</v>
      </c>
      <c r="M976" s="956">
        <v>0.06</v>
      </c>
      <c r="N976" s="956">
        <v>0.06</v>
      </c>
      <c r="O976" s="956">
        <v>0.06</v>
      </c>
    </row>
    <row r="977" spans="1:15">
      <c r="A977" s="119"/>
      <c r="B977" s="333" t="s">
        <v>1337</v>
      </c>
      <c r="C977">
        <v>0.06</v>
      </c>
      <c r="D977" s="953">
        <v>0.06</v>
      </c>
      <c r="E977" s="953">
        <v>0.06</v>
      </c>
      <c r="F977" s="953">
        <v>0.06</v>
      </c>
      <c r="G977" s="953">
        <v>0.06</v>
      </c>
      <c r="H977" s="953">
        <v>0.06</v>
      </c>
      <c r="I977" s="953">
        <v>0.06</v>
      </c>
      <c r="J977" s="953">
        <v>0.06</v>
      </c>
      <c r="K977" s="953">
        <v>0.06</v>
      </c>
      <c r="L977" s="953">
        <v>0.06</v>
      </c>
      <c r="M977" s="953">
        <v>0.06</v>
      </c>
      <c r="N977" s="953">
        <v>0.06</v>
      </c>
      <c r="O977" s="953">
        <v>0.06</v>
      </c>
    </row>
    <row r="978" spans="1:15">
      <c r="A978" s="119"/>
      <c r="B978" s="333" t="s">
        <v>1338</v>
      </c>
      <c r="C978">
        <v>0.06</v>
      </c>
      <c r="D978" s="953">
        <v>0.06</v>
      </c>
      <c r="E978" s="953">
        <v>0.06</v>
      </c>
      <c r="F978" s="953">
        <v>0.06</v>
      </c>
      <c r="G978" s="953">
        <v>0.06</v>
      </c>
      <c r="H978" s="953">
        <v>0.06</v>
      </c>
      <c r="I978" s="953">
        <v>0.06</v>
      </c>
      <c r="J978" s="953">
        <v>0.06</v>
      </c>
      <c r="K978" s="953">
        <v>0.06</v>
      </c>
      <c r="L978" s="953">
        <v>0.06</v>
      </c>
      <c r="M978" s="953">
        <v>0.06</v>
      </c>
      <c r="N978" s="953">
        <v>0.06</v>
      </c>
      <c r="O978" s="953">
        <v>0.06</v>
      </c>
    </row>
    <row r="979" spans="1:15">
      <c r="A979" s="119"/>
      <c r="B979" s="333" t="s">
        <v>1339</v>
      </c>
      <c r="C979">
        <v>0.06</v>
      </c>
      <c r="D979" s="953">
        <v>0.06</v>
      </c>
      <c r="E979" s="953">
        <v>0.06</v>
      </c>
      <c r="F979" s="953">
        <v>0.06</v>
      </c>
      <c r="G979" s="953">
        <v>0.06</v>
      </c>
      <c r="H979" s="953">
        <v>0.06</v>
      </c>
      <c r="I979" s="953">
        <v>0.06</v>
      </c>
      <c r="J979" s="953">
        <v>0.06</v>
      </c>
      <c r="K979" s="953">
        <v>0.06</v>
      </c>
      <c r="L979" s="953">
        <v>0.06</v>
      </c>
      <c r="M979" s="953">
        <v>0.06</v>
      </c>
      <c r="N979" s="953">
        <v>0.06</v>
      </c>
      <c r="O979" s="953">
        <v>0.06</v>
      </c>
    </row>
    <row r="980" spans="1:15">
      <c r="A980" s="119"/>
      <c r="B980" s="333" t="s">
        <v>1340</v>
      </c>
      <c r="C980">
        <v>7.0000000000000007E-2</v>
      </c>
      <c r="D980" s="953">
        <v>7.0000000000000007E-2</v>
      </c>
      <c r="E980" s="953">
        <v>7.0000000000000007E-2</v>
      </c>
      <c r="F980" s="953">
        <v>7.0000000000000007E-2</v>
      </c>
      <c r="G980" s="953">
        <v>7.0000000000000007E-2</v>
      </c>
      <c r="H980" s="953">
        <v>7.0000000000000007E-2</v>
      </c>
      <c r="I980" s="953">
        <v>7.0000000000000007E-2</v>
      </c>
      <c r="J980" s="953">
        <v>7.0000000000000007E-2</v>
      </c>
      <c r="K980" s="953">
        <v>7.0000000000000007E-2</v>
      </c>
      <c r="L980" s="953">
        <v>7.0000000000000007E-2</v>
      </c>
      <c r="M980" s="953">
        <v>7.0000000000000007E-2</v>
      </c>
      <c r="N980" s="953">
        <v>7.0000000000000007E-2</v>
      </c>
      <c r="O980" s="953">
        <v>7.0000000000000007E-2</v>
      </c>
    </row>
    <row r="981" spans="1:15">
      <c r="A981" s="119"/>
      <c r="B981" s="333" t="s">
        <v>1341</v>
      </c>
      <c r="C981">
        <v>0.08</v>
      </c>
      <c r="D981" s="953">
        <v>0.08</v>
      </c>
      <c r="E981" s="953">
        <v>0.08</v>
      </c>
      <c r="F981" s="953">
        <v>0.08</v>
      </c>
      <c r="G981" s="953">
        <v>0.08</v>
      </c>
      <c r="H981" s="953">
        <v>0.08</v>
      </c>
      <c r="I981" s="953">
        <v>0.08</v>
      </c>
      <c r="J981" s="953">
        <v>0.08</v>
      </c>
      <c r="K981" s="953">
        <v>0.08</v>
      </c>
      <c r="L981" s="953">
        <v>0.08</v>
      </c>
      <c r="M981" s="953">
        <v>0.08</v>
      </c>
      <c r="N981" s="953">
        <v>0.08</v>
      </c>
      <c r="O981" s="953">
        <v>0.08</v>
      </c>
    </row>
    <row r="982" spans="1:15">
      <c r="A982" s="119"/>
      <c r="B982" s="333" t="s">
        <v>1342</v>
      </c>
      <c r="C982">
        <v>0.1</v>
      </c>
      <c r="D982" s="956">
        <v>0.11</v>
      </c>
      <c r="E982" s="956">
        <v>0.11</v>
      </c>
      <c r="F982" s="956">
        <v>0.11</v>
      </c>
      <c r="G982" s="956">
        <v>0.11</v>
      </c>
      <c r="H982" s="956">
        <v>0.11</v>
      </c>
      <c r="I982" s="956">
        <v>0.11</v>
      </c>
      <c r="J982" s="956">
        <v>0.11</v>
      </c>
      <c r="K982" s="956">
        <v>0.11</v>
      </c>
      <c r="L982" s="956">
        <v>0.11</v>
      </c>
      <c r="M982" s="956">
        <v>0.11</v>
      </c>
      <c r="N982" s="956">
        <v>0.11</v>
      </c>
      <c r="O982" s="956">
        <v>0.11</v>
      </c>
    </row>
    <row r="983" spans="1:15">
      <c r="A983" s="119"/>
      <c r="B983" s="333" t="s">
        <v>1343</v>
      </c>
      <c r="C983">
        <v>0.1</v>
      </c>
      <c r="D983" s="956">
        <v>0.12</v>
      </c>
      <c r="E983" s="956">
        <v>0.12</v>
      </c>
      <c r="F983" s="956">
        <v>0.12</v>
      </c>
      <c r="G983" s="956">
        <v>0.12</v>
      </c>
      <c r="H983" s="956">
        <v>0.12</v>
      </c>
      <c r="I983" s="956">
        <v>0.12</v>
      </c>
      <c r="J983" s="956">
        <v>0.12</v>
      </c>
      <c r="K983" s="956">
        <v>0.12</v>
      </c>
      <c r="L983" s="956">
        <v>0.12</v>
      </c>
      <c r="M983" s="956">
        <v>0.12</v>
      </c>
      <c r="N983" s="956">
        <v>0.12</v>
      </c>
      <c r="O983" s="956">
        <v>0.12</v>
      </c>
    </row>
    <row r="984" spans="1:15">
      <c r="A984" s="119"/>
      <c r="B984" s="333" t="s">
        <v>1344</v>
      </c>
      <c r="C984">
        <v>0.11</v>
      </c>
      <c r="D984" s="953">
        <v>0.11</v>
      </c>
      <c r="E984" s="953">
        <v>0.11</v>
      </c>
      <c r="F984" s="953">
        <v>0.11</v>
      </c>
      <c r="G984" s="953">
        <v>0.11</v>
      </c>
      <c r="H984" s="953">
        <v>0.11</v>
      </c>
      <c r="I984" s="953">
        <v>0.11</v>
      </c>
      <c r="J984" s="953">
        <v>0.11</v>
      </c>
      <c r="K984" s="953">
        <v>0.11</v>
      </c>
      <c r="L984" s="953">
        <v>0.11</v>
      </c>
      <c r="M984" s="953">
        <v>0.11</v>
      </c>
      <c r="N984" s="953">
        <v>0.11</v>
      </c>
      <c r="O984" s="953">
        <v>0.11</v>
      </c>
    </row>
    <row r="985" spans="1:15">
      <c r="A985" s="119"/>
      <c r="B985" s="333" t="s">
        <v>1345</v>
      </c>
      <c r="C985">
        <v>0.11</v>
      </c>
      <c r="D985" s="956">
        <v>0.1</v>
      </c>
      <c r="E985" s="956">
        <v>0.1</v>
      </c>
      <c r="F985" s="956">
        <v>0.1</v>
      </c>
      <c r="G985" s="956">
        <v>0.1</v>
      </c>
      <c r="H985" s="956">
        <v>0.1</v>
      </c>
      <c r="I985" s="956">
        <v>0.1</v>
      </c>
      <c r="J985" s="956">
        <v>0.1</v>
      </c>
      <c r="K985" s="956">
        <v>0.1</v>
      </c>
      <c r="L985" s="956">
        <v>0.1</v>
      </c>
      <c r="M985" s="956">
        <v>0.1</v>
      </c>
      <c r="N985" s="956">
        <v>0.1</v>
      </c>
      <c r="O985" s="956">
        <v>0.1</v>
      </c>
    </row>
    <row r="986" spans="1:15">
      <c r="A986" s="119"/>
      <c r="B986" s="333" t="s">
        <v>1346</v>
      </c>
      <c r="C986">
        <v>0.11</v>
      </c>
      <c r="D986" s="956">
        <v>0.1</v>
      </c>
      <c r="E986" s="956">
        <v>0.1</v>
      </c>
      <c r="F986" s="956">
        <v>0.1</v>
      </c>
      <c r="G986" s="956">
        <v>0.1</v>
      </c>
      <c r="H986" s="956">
        <v>0.1</v>
      </c>
      <c r="I986" s="956">
        <v>0.1</v>
      </c>
      <c r="J986" s="956">
        <v>0.1</v>
      </c>
      <c r="K986" s="956">
        <v>0.1</v>
      </c>
      <c r="L986" s="956">
        <v>0.1</v>
      </c>
      <c r="M986" s="956">
        <v>0.1</v>
      </c>
      <c r="N986" s="956">
        <v>0.1</v>
      </c>
      <c r="O986" s="956">
        <v>0.1</v>
      </c>
    </row>
    <row r="987" spans="1:15">
      <c r="A987" s="119"/>
      <c r="B987" s="333" t="s">
        <v>1347</v>
      </c>
      <c r="C987">
        <v>7.0000000000000007E-2</v>
      </c>
      <c r="D987" s="956">
        <v>0.06</v>
      </c>
      <c r="E987" s="956">
        <v>0.06</v>
      </c>
      <c r="F987" s="956">
        <v>0.06</v>
      </c>
      <c r="G987" s="956">
        <v>0.06</v>
      </c>
      <c r="H987" s="956">
        <v>0.06</v>
      </c>
      <c r="I987" s="956">
        <v>0.06</v>
      </c>
      <c r="J987" s="956">
        <v>0.06</v>
      </c>
      <c r="K987" s="956">
        <v>0.06</v>
      </c>
      <c r="L987" s="956">
        <v>0.06</v>
      </c>
      <c r="M987" s="956">
        <v>0.06</v>
      </c>
      <c r="N987" s="956">
        <v>0.06</v>
      </c>
      <c r="O987" s="956">
        <v>0.06</v>
      </c>
    </row>
    <row r="988" spans="1:15">
      <c r="A988" s="119"/>
      <c r="B988" s="333" t="s">
        <v>1348</v>
      </c>
      <c r="C988">
        <v>7.0000000000000007E-2</v>
      </c>
      <c r="D988" s="953">
        <v>7.0000000000000007E-2</v>
      </c>
      <c r="E988" s="953">
        <v>7.0000000000000007E-2</v>
      </c>
      <c r="F988" s="953">
        <v>7.0000000000000007E-2</v>
      </c>
      <c r="G988" s="953">
        <v>7.0000000000000007E-2</v>
      </c>
      <c r="H988" s="953">
        <v>7.0000000000000007E-2</v>
      </c>
      <c r="I988" s="953">
        <v>7.0000000000000007E-2</v>
      </c>
      <c r="J988" s="953">
        <v>7.0000000000000007E-2</v>
      </c>
      <c r="K988" s="953">
        <v>7.0000000000000007E-2</v>
      </c>
      <c r="L988" s="953">
        <v>7.0000000000000007E-2</v>
      </c>
      <c r="M988" s="953">
        <v>7.0000000000000007E-2</v>
      </c>
      <c r="N988" s="953">
        <v>7.0000000000000007E-2</v>
      </c>
      <c r="O988" s="953">
        <v>7.0000000000000007E-2</v>
      </c>
    </row>
    <row r="989" spans="1:15">
      <c r="A989" s="119"/>
      <c r="B989" s="333" t="s">
        <v>1349</v>
      </c>
      <c r="C989">
        <v>0.05</v>
      </c>
      <c r="D989" s="953">
        <v>0.05</v>
      </c>
      <c r="E989" s="953">
        <v>0.05</v>
      </c>
      <c r="F989" s="953">
        <v>0.05</v>
      </c>
      <c r="G989" s="953">
        <v>0.05</v>
      </c>
      <c r="H989" s="953">
        <v>0.05</v>
      </c>
      <c r="I989" s="953">
        <v>0.05</v>
      </c>
      <c r="J989" s="953">
        <v>0.05</v>
      </c>
      <c r="K989" s="953">
        <v>0.05</v>
      </c>
      <c r="L989" s="953">
        <v>0.05</v>
      </c>
      <c r="M989" s="953">
        <v>0.05</v>
      </c>
      <c r="N989" s="953">
        <v>0.05</v>
      </c>
      <c r="O989" s="953">
        <v>0.05</v>
      </c>
    </row>
    <row r="990" spans="1:15">
      <c r="A990" s="119"/>
      <c r="B990" s="333" t="s">
        <v>1350</v>
      </c>
      <c r="C990">
        <v>0.05</v>
      </c>
      <c r="D990" s="953">
        <v>0.05</v>
      </c>
      <c r="E990" s="953">
        <v>0.05</v>
      </c>
      <c r="F990" s="953">
        <v>0.05</v>
      </c>
      <c r="G990" s="953">
        <v>0.05</v>
      </c>
      <c r="H990" s="953">
        <v>0.05</v>
      </c>
      <c r="I990" s="953">
        <v>0.05</v>
      </c>
      <c r="J990" s="953">
        <v>0.05</v>
      </c>
      <c r="K990" s="953">
        <v>0.05</v>
      </c>
      <c r="L990" s="953">
        <v>0.05</v>
      </c>
      <c r="M990" s="953">
        <v>0.05</v>
      </c>
      <c r="N990" s="953">
        <v>0.05</v>
      </c>
      <c r="O990" s="953">
        <v>0.05</v>
      </c>
    </row>
    <row r="991" spans="1:15">
      <c r="A991" s="119"/>
      <c r="B991" s="333" t="s">
        <v>1351</v>
      </c>
      <c r="C991">
        <v>0.06</v>
      </c>
      <c r="D991" s="953">
        <v>0.06</v>
      </c>
      <c r="E991" s="953">
        <v>0.06</v>
      </c>
      <c r="F991" s="953">
        <v>0.06</v>
      </c>
      <c r="G991" s="953">
        <v>0.06</v>
      </c>
      <c r="H991" s="953">
        <v>0.06</v>
      </c>
      <c r="I991" s="953">
        <v>0.06</v>
      </c>
      <c r="J991" s="953">
        <v>0.06</v>
      </c>
      <c r="K991" s="953">
        <v>0.06</v>
      </c>
      <c r="L991" s="953">
        <v>0.06</v>
      </c>
      <c r="M991" s="953">
        <v>0.06</v>
      </c>
      <c r="N991" s="953">
        <v>0.06</v>
      </c>
      <c r="O991" s="953">
        <v>0.06</v>
      </c>
    </row>
    <row r="992" spans="1:15">
      <c r="A992" s="119"/>
      <c r="B992" s="333" t="s">
        <v>1352</v>
      </c>
      <c r="C992">
        <v>7.0000000000000007E-2</v>
      </c>
      <c r="D992" s="953">
        <v>7.0000000000000007E-2</v>
      </c>
      <c r="E992" s="953">
        <v>7.0000000000000007E-2</v>
      </c>
      <c r="F992" s="953">
        <v>7.0000000000000007E-2</v>
      </c>
      <c r="G992" s="953">
        <v>7.0000000000000007E-2</v>
      </c>
      <c r="H992" s="953">
        <v>7.0000000000000007E-2</v>
      </c>
      <c r="I992" s="953">
        <v>7.0000000000000007E-2</v>
      </c>
      <c r="J992" s="953">
        <v>7.0000000000000007E-2</v>
      </c>
      <c r="K992" s="953">
        <v>7.0000000000000007E-2</v>
      </c>
      <c r="L992" s="953">
        <v>7.0000000000000007E-2</v>
      </c>
      <c r="M992" s="953">
        <v>7.0000000000000007E-2</v>
      </c>
      <c r="N992" s="953">
        <v>7.0000000000000007E-2</v>
      </c>
      <c r="O992" s="953">
        <v>7.0000000000000007E-2</v>
      </c>
    </row>
    <row r="993" spans="1:15">
      <c r="A993" s="119"/>
      <c r="B993" s="333" t="s">
        <v>1353</v>
      </c>
      <c r="C993">
        <v>0.08</v>
      </c>
      <c r="D993" s="953">
        <v>0.08</v>
      </c>
      <c r="E993" s="953">
        <v>0.08</v>
      </c>
      <c r="F993" s="953">
        <v>0.08</v>
      </c>
      <c r="G993" s="953">
        <v>0.08</v>
      </c>
      <c r="H993" s="953">
        <v>0.08</v>
      </c>
      <c r="I993" s="953">
        <v>0.08</v>
      </c>
      <c r="J993" s="953">
        <v>0.08</v>
      </c>
      <c r="K993" s="953">
        <v>0.08</v>
      </c>
      <c r="L993" s="953">
        <v>0.08</v>
      </c>
      <c r="M993" s="953">
        <v>0.08</v>
      </c>
      <c r="N993" s="953">
        <v>0.08</v>
      </c>
      <c r="O993" s="953">
        <v>0.08</v>
      </c>
    </row>
    <row r="994" spans="1:15">
      <c r="A994" s="119"/>
      <c r="B994" s="333" t="s">
        <v>1354</v>
      </c>
      <c r="C994">
        <v>0.1</v>
      </c>
      <c r="D994" s="956">
        <v>0.08</v>
      </c>
      <c r="E994" s="956">
        <v>0.08</v>
      </c>
      <c r="F994" s="956">
        <v>0.08</v>
      </c>
      <c r="G994" s="956">
        <v>0.08</v>
      </c>
      <c r="H994" s="956">
        <v>0.08</v>
      </c>
      <c r="I994" s="956">
        <v>0.08</v>
      </c>
      <c r="J994" s="956">
        <v>0.08</v>
      </c>
      <c r="K994" s="956">
        <v>0.08</v>
      </c>
      <c r="L994" s="956">
        <v>0.08</v>
      </c>
      <c r="M994" s="956">
        <v>0.08</v>
      </c>
      <c r="N994" s="956">
        <v>0.08</v>
      </c>
      <c r="O994" s="956">
        <v>0.08</v>
      </c>
    </row>
    <row r="995" spans="1:15">
      <c r="A995" s="119"/>
      <c r="B995" s="333" t="s">
        <v>1355</v>
      </c>
      <c r="C995">
        <v>0.1</v>
      </c>
      <c r="D995" s="956">
        <v>0.12</v>
      </c>
      <c r="E995" s="956">
        <v>0.12</v>
      </c>
      <c r="F995" s="956">
        <v>0.12</v>
      </c>
      <c r="G995" s="956">
        <v>0.12</v>
      </c>
      <c r="H995" s="956">
        <v>0.12</v>
      </c>
      <c r="I995" s="956">
        <v>0.12</v>
      </c>
      <c r="J995" s="956">
        <v>0.12</v>
      </c>
      <c r="K995" s="956">
        <v>0.12</v>
      </c>
      <c r="L995" s="956">
        <v>0.12</v>
      </c>
      <c r="M995" s="956">
        <v>0.12</v>
      </c>
      <c r="N995" s="956">
        <v>0.12</v>
      </c>
      <c r="O995" s="956">
        <v>0.12</v>
      </c>
    </row>
    <row r="996" spans="1:15">
      <c r="A996" s="119"/>
      <c r="B996" s="333" t="s">
        <v>1356</v>
      </c>
      <c r="C996">
        <v>0.12</v>
      </c>
      <c r="D996" s="953">
        <v>0.12</v>
      </c>
      <c r="E996" s="953">
        <v>0.12</v>
      </c>
      <c r="F996" s="953">
        <v>0.12</v>
      </c>
      <c r="G996" s="953">
        <v>0.12</v>
      </c>
      <c r="H996" s="953">
        <v>0.12</v>
      </c>
      <c r="I996" s="953">
        <v>0.12</v>
      </c>
      <c r="J996" s="953">
        <v>0.12</v>
      </c>
      <c r="K996" s="953">
        <v>0.12</v>
      </c>
      <c r="L996" s="953">
        <v>0.12</v>
      </c>
      <c r="M996" s="953">
        <v>0.12</v>
      </c>
      <c r="N996" s="953">
        <v>0.12</v>
      </c>
      <c r="O996" s="953">
        <v>0.12</v>
      </c>
    </row>
    <row r="997" spans="1:15">
      <c r="A997" s="119"/>
      <c r="B997" s="333" t="s">
        <v>1357</v>
      </c>
      <c r="C997">
        <v>0.12</v>
      </c>
      <c r="D997" s="953">
        <v>0.12</v>
      </c>
      <c r="E997" s="953">
        <v>0.12</v>
      </c>
      <c r="F997" s="953">
        <v>0.12</v>
      </c>
      <c r="G997" s="953">
        <v>0.12</v>
      </c>
      <c r="H997" s="953">
        <v>0.12</v>
      </c>
      <c r="I997" s="953">
        <v>0.12</v>
      </c>
      <c r="J997" s="953">
        <v>0.12</v>
      </c>
      <c r="K997" s="953">
        <v>0.12</v>
      </c>
      <c r="L997" s="953">
        <v>0.12</v>
      </c>
      <c r="M997" s="953">
        <v>0.12</v>
      </c>
      <c r="N997" s="953">
        <v>0.12</v>
      </c>
      <c r="O997" s="953">
        <v>0.12</v>
      </c>
    </row>
    <row r="998" spans="1:15">
      <c r="A998" s="119"/>
      <c r="B998" s="333" t="s">
        <v>1358</v>
      </c>
      <c r="C998">
        <v>0.11</v>
      </c>
      <c r="D998" s="953">
        <v>0.11</v>
      </c>
      <c r="E998" s="953">
        <v>0.11</v>
      </c>
      <c r="F998" s="953">
        <v>0.11</v>
      </c>
      <c r="G998" s="953">
        <v>0.11</v>
      </c>
      <c r="H998" s="953">
        <v>0.11</v>
      </c>
      <c r="I998" s="953">
        <v>0.11</v>
      </c>
      <c r="J998" s="953">
        <v>0.11</v>
      </c>
      <c r="K998" s="953">
        <v>0.11</v>
      </c>
      <c r="L998" s="953">
        <v>0.11</v>
      </c>
      <c r="M998" s="953">
        <v>0.11</v>
      </c>
      <c r="N998" s="953">
        <v>0.11</v>
      </c>
      <c r="O998" s="953">
        <v>0.11</v>
      </c>
    </row>
    <row r="999" spans="1:15">
      <c r="A999" s="119"/>
      <c r="B999" s="333" t="s">
        <v>1359</v>
      </c>
      <c r="C999">
        <v>7.0000000000000007E-2</v>
      </c>
      <c r="D999" s="953">
        <v>7.0000000000000007E-2</v>
      </c>
      <c r="E999" s="953">
        <v>7.0000000000000007E-2</v>
      </c>
      <c r="F999" s="953">
        <v>7.0000000000000007E-2</v>
      </c>
      <c r="G999" s="953">
        <v>7.0000000000000007E-2</v>
      </c>
      <c r="H999" s="953">
        <v>7.0000000000000007E-2</v>
      </c>
      <c r="I999" s="953">
        <v>7.0000000000000007E-2</v>
      </c>
      <c r="J999" s="953">
        <v>7.0000000000000007E-2</v>
      </c>
      <c r="K999" s="953">
        <v>7.0000000000000007E-2</v>
      </c>
      <c r="L999" s="953">
        <v>7.0000000000000007E-2</v>
      </c>
      <c r="M999" s="953">
        <v>7.0000000000000007E-2</v>
      </c>
      <c r="N999" s="953">
        <v>7.0000000000000007E-2</v>
      </c>
      <c r="O999" s="953">
        <v>7.0000000000000007E-2</v>
      </c>
    </row>
    <row r="1000" spans="1:15">
      <c r="A1000" s="119"/>
      <c r="B1000" s="333" t="s">
        <v>1360</v>
      </c>
      <c r="C1000">
        <v>7.0000000000000007E-2</v>
      </c>
      <c r="D1000" s="953">
        <v>7.0000000000000007E-2</v>
      </c>
      <c r="E1000" s="953">
        <v>7.0000000000000007E-2</v>
      </c>
      <c r="F1000" s="953">
        <v>7.0000000000000007E-2</v>
      </c>
      <c r="G1000" s="953">
        <v>7.0000000000000007E-2</v>
      </c>
      <c r="H1000" s="953">
        <v>7.0000000000000007E-2</v>
      </c>
      <c r="I1000" s="953">
        <v>7.0000000000000007E-2</v>
      </c>
      <c r="J1000" s="953">
        <v>7.0000000000000007E-2</v>
      </c>
      <c r="K1000" s="953">
        <v>7.0000000000000007E-2</v>
      </c>
      <c r="L1000" s="953">
        <v>7.0000000000000007E-2</v>
      </c>
      <c r="M1000" s="953">
        <v>7.0000000000000007E-2</v>
      </c>
      <c r="N1000" s="953">
        <v>7.0000000000000007E-2</v>
      </c>
      <c r="O1000" s="953">
        <v>7.0000000000000007E-2</v>
      </c>
    </row>
    <row r="1001" spans="1:15">
      <c r="A1001" s="119"/>
      <c r="B1001" s="333" t="s">
        <v>1361</v>
      </c>
      <c r="C1001">
        <v>0.05</v>
      </c>
      <c r="D1001" s="953">
        <v>0.05</v>
      </c>
      <c r="E1001" s="953">
        <v>0.05</v>
      </c>
      <c r="F1001" s="953">
        <v>0.05</v>
      </c>
      <c r="G1001" s="953">
        <v>0.05</v>
      </c>
      <c r="H1001" s="953">
        <v>0.05</v>
      </c>
      <c r="I1001" s="953">
        <v>0.05</v>
      </c>
      <c r="J1001" s="953">
        <v>0.05</v>
      </c>
      <c r="K1001" s="953">
        <v>0.05</v>
      </c>
      <c r="L1001" s="953">
        <v>0.05</v>
      </c>
      <c r="M1001" s="953">
        <v>0.05</v>
      </c>
      <c r="N1001" s="953">
        <v>0.05</v>
      </c>
      <c r="O1001" s="953">
        <v>0.05</v>
      </c>
    </row>
    <row r="1002" spans="1:15">
      <c r="A1002" s="119"/>
      <c r="B1002" s="333" t="s">
        <v>1362</v>
      </c>
      <c r="C1002">
        <v>0.05</v>
      </c>
      <c r="D1002" s="953">
        <v>0.05</v>
      </c>
      <c r="E1002" s="953">
        <v>0.05</v>
      </c>
      <c r="F1002" s="953">
        <v>0.05</v>
      </c>
      <c r="G1002" s="953">
        <v>0.05</v>
      </c>
      <c r="H1002" s="953">
        <v>0.05</v>
      </c>
      <c r="I1002" s="953">
        <v>0.05</v>
      </c>
      <c r="J1002" s="953">
        <v>0.05</v>
      </c>
      <c r="K1002" s="953">
        <v>0.05</v>
      </c>
      <c r="L1002" s="953">
        <v>0.05</v>
      </c>
      <c r="M1002" s="953">
        <v>0.05</v>
      </c>
      <c r="N1002" s="953">
        <v>0.05</v>
      </c>
      <c r="O1002" s="953">
        <v>0.05</v>
      </c>
    </row>
    <row r="1003" spans="1:15">
      <c r="A1003" s="119"/>
      <c r="B1003" s="333" t="s">
        <v>1363</v>
      </c>
      <c r="C1003">
        <v>0.06</v>
      </c>
      <c r="D1003" s="953">
        <v>0.06</v>
      </c>
      <c r="E1003" s="953">
        <v>0.06</v>
      </c>
      <c r="F1003" s="953">
        <v>0.06</v>
      </c>
      <c r="G1003" s="953">
        <v>0.06</v>
      </c>
      <c r="H1003" s="953">
        <v>0.06</v>
      </c>
      <c r="I1003" s="953">
        <v>0.06</v>
      </c>
      <c r="J1003" s="953">
        <v>0.06</v>
      </c>
      <c r="K1003" s="953">
        <v>0.06</v>
      </c>
      <c r="L1003" s="953">
        <v>0.06</v>
      </c>
      <c r="M1003" s="953">
        <v>0.06</v>
      </c>
      <c r="N1003" s="953">
        <v>0.06</v>
      </c>
      <c r="O1003" s="953">
        <v>0.06</v>
      </c>
    </row>
    <row r="1004" spans="1:15">
      <c r="A1004" s="119"/>
      <c r="B1004" s="333" t="s">
        <v>1364</v>
      </c>
      <c r="C1004">
        <v>7.0000000000000007E-2</v>
      </c>
      <c r="D1004" s="953">
        <v>7.0000000000000007E-2</v>
      </c>
      <c r="E1004" s="953">
        <v>7.0000000000000007E-2</v>
      </c>
      <c r="F1004" s="953">
        <v>7.0000000000000007E-2</v>
      </c>
      <c r="G1004" s="953">
        <v>7.0000000000000007E-2</v>
      </c>
      <c r="H1004" s="953">
        <v>7.0000000000000007E-2</v>
      </c>
      <c r="I1004" s="953">
        <v>7.0000000000000007E-2</v>
      </c>
      <c r="J1004" s="953">
        <v>7.0000000000000007E-2</v>
      </c>
      <c r="K1004" s="953">
        <v>7.0000000000000007E-2</v>
      </c>
      <c r="L1004" s="953">
        <v>7.0000000000000007E-2</v>
      </c>
      <c r="M1004" s="953">
        <v>7.0000000000000007E-2</v>
      </c>
      <c r="N1004" s="953">
        <v>7.0000000000000007E-2</v>
      </c>
      <c r="O1004" s="953">
        <v>7.0000000000000007E-2</v>
      </c>
    </row>
    <row r="1005" spans="1:15">
      <c r="A1005" s="119"/>
      <c r="B1005" s="333" t="s">
        <v>1365</v>
      </c>
      <c r="C1005">
        <v>0.08</v>
      </c>
      <c r="D1005" s="953">
        <v>0.08</v>
      </c>
      <c r="E1005" s="953">
        <v>0.08</v>
      </c>
      <c r="F1005" s="953">
        <v>0.08</v>
      </c>
      <c r="G1005" s="953">
        <v>0.08</v>
      </c>
      <c r="H1005" s="953">
        <v>0.08</v>
      </c>
      <c r="I1005" s="953">
        <v>0.08</v>
      </c>
      <c r="J1005" s="953">
        <v>0.08</v>
      </c>
      <c r="K1005" s="953">
        <v>0.08</v>
      </c>
      <c r="L1005" s="953">
        <v>0.08</v>
      </c>
      <c r="M1005" s="953">
        <v>0.08</v>
      </c>
      <c r="N1005" s="953">
        <v>0.08</v>
      </c>
      <c r="O1005" s="953">
        <v>0.08</v>
      </c>
    </row>
    <row r="1006" spans="1:15">
      <c r="A1006" s="119"/>
      <c r="B1006" s="333" t="s">
        <v>1366</v>
      </c>
      <c r="C1006">
        <v>0.1</v>
      </c>
      <c r="D1006" s="953">
        <v>0.1</v>
      </c>
      <c r="E1006" s="953">
        <v>0.1</v>
      </c>
      <c r="F1006" s="953">
        <v>0.1</v>
      </c>
      <c r="G1006" s="953">
        <v>0.1</v>
      </c>
      <c r="H1006" s="953">
        <v>0.1</v>
      </c>
      <c r="I1006" s="953">
        <v>0.1</v>
      </c>
      <c r="J1006" s="953">
        <v>0.1</v>
      </c>
      <c r="K1006" s="953">
        <v>0.1</v>
      </c>
      <c r="L1006" s="953">
        <v>0.1</v>
      </c>
      <c r="M1006" s="953">
        <v>0.1</v>
      </c>
      <c r="N1006" s="953">
        <v>0.1</v>
      </c>
      <c r="O1006" s="953">
        <v>0.1</v>
      </c>
    </row>
    <row r="1007" spans="1:15">
      <c r="A1007" s="119"/>
      <c r="B1007" s="333" t="s">
        <v>1367</v>
      </c>
      <c r="C1007">
        <v>0.1</v>
      </c>
      <c r="D1007" s="953">
        <v>0.1</v>
      </c>
      <c r="E1007" s="953">
        <v>0.1</v>
      </c>
      <c r="F1007" s="953">
        <v>0.1</v>
      </c>
      <c r="G1007" s="953">
        <v>0.1</v>
      </c>
      <c r="H1007" s="953">
        <v>0.1</v>
      </c>
      <c r="I1007" s="953">
        <v>0.1</v>
      </c>
      <c r="J1007" s="953">
        <v>0.1</v>
      </c>
      <c r="K1007" s="953">
        <v>0.1</v>
      </c>
      <c r="L1007" s="953">
        <v>0.1</v>
      </c>
      <c r="M1007" s="953">
        <v>0.1</v>
      </c>
      <c r="N1007" s="953">
        <v>0.1</v>
      </c>
      <c r="O1007" s="953">
        <v>0.1</v>
      </c>
    </row>
    <row r="1008" spans="1:15">
      <c r="A1008" s="119"/>
      <c r="B1008" s="333" t="s">
        <v>1368</v>
      </c>
      <c r="C1008">
        <v>0.12</v>
      </c>
      <c r="D1008" s="953">
        <v>0.12</v>
      </c>
      <c r="E1008" s="953">
        <v>0.12</v>
      </c>
      <c r="F1008" s="953">
        <v>0.12</v>
      </c>
      <c r="G1008" s="953">
        <v>0.12</v>
      </c>
      <c r="H1008" s="953">
        <v>0.12</v>
      </c>
      <c r="I1008" s="953">
        <v>0.12</v>
      </c>
      <c r="J1008" s="953">
        <v>0.12</v>
      </c>
      <c r="K1008" s="953">
        <v>0.12</v>
      </c>
      <c r="L1008" s="953">
        <v>0.12</v>
      </c>
      <c r="M1008" s="953">
        <v>0.12</v>
      </c>
      <c r="N1008" s="953">
        <v>0.12</v>
      </c>
      <c r="O1008" s="953">
        <v>0.12</v>
      </c>
    </row>
    <row r="1009" spans="1:15">
      <c r="A1009" s="119"/>
      <c r="B1009" s="333" t="s">
        <v>1369</v>
      </c>
      <c r="C1009">
        <v>0.12</v>
      </c>
      <c r="D1009" s="953">
        <v>0.12</v>
      </c>
      <c r="E1009" s="953">
        <v>0.12</v>
      </c>
      <c r="F1009" s="953">
        <v>0.12</v>
      </c>
      <c r="G1009" s="953">
        <v>0.12</v>
      </c>
      <c r="H1009" s="953">
        <v>0.12</v>
      </c>
      <c r="I1009" s="953">
        <v>0.12</v>
      </c>
      <c r="J1009" s="953">
        <v>0.12</v>
      </c>
      <c r="K1009" s="953">
        <v>0.12</v>
      </c>
      <c r="L1009" s="953">
        <v>0.12</v>
      </c>
      <c r="M1009" s="953">
        <v>0.12</v>
      </c>
      <c r="N1009" s="953">
        <v>0.12</v>
      </c>
      <c r="O1009" s="953">
        <v>0.12</v>
      </c>
    </row>
    <row r="1010" spans="1:15">
      <c r="A1010" s="119"/>
      <c r="B1010" s="333" t="s">
        <v>1370</v>
      </c>
      <c r="C1010">
        <v>0.11</v>
      </c>
      <c r="D1010" s="953">
        <v>0.11</v>
      </c>
      <c r="E1010" s="953">
        <v>0.11</v>
      </c>
      <c r="F1010" s="953">
        <v>0.11</v>
      </c>
      <c r="G1010" s="953">
        <v>0.11</v>
      </c>
      <c r="H1010" s="953">
        <v>0.11</v>
      </c>
      <c r="I1010" s="953">
        <v>0.11</v>
      </c>
      <c r="J1010" s="953">
        <v>0.11</v>
      </c>
      <c r="K1010" s="953">
        <v>0.11</v>
      </c>
      <c r="L1010" s="953">
        <v>0.11</v>
      </c>
      <c r="M1010" s="953">
        <v>0.11</v>
      </c>
      <c r="N1010" s="953">
        <v>0.11</v>
      </c>
      <c r="O1010" s="953">
        <v>0.11</v>
      </c>
    </row>
    <row r="1011" spans="1:15">
      <c r="A1011" s="119"/>
      <c r="B1011" s="333" t="s">
        <v>1371</v>
      </c>
      <c r="C1011">
        <v>7.0000000000000007E-2</v>
      </c>
      <c r="D1011" s="953">
        <v>7.0000000000000007E-2</v>
      </c>
      <c r="E1011" s="953">
        <v>7.0000000000000007E-2</v>
      </c>
      <c r="F1011" s="953">
        <v>7.0000000000000007E-2</v>
      </c>
      <c r="G1011" s="953">
        <v>7.0000000000000007E-2</v>
      </c>
      <c r="H1011" s="953">
        <v>7.0000000000000007E-2</v>
      </c>
      <c r="I1011" s="953">
        <v>7.0000000000000007E-2</v>
      </c>
      <c r="J1011" s="953">
        <v>7.0000000000000007E-2</v>
      </c>
      <c r="K1011" s="953">
        <v>7.0000000000000007E-2</v>
      </c>
      <c r="L1011" s="953">
        <v>7.0000000000000007E-2</v>
      </c>
      <c r="M1011" s="953">
        <v>7.0000000000000007E-2</v>
      </c>
      <c r="N1011" s="953">
        <v>7.0000000000000007E-2</v>
      </c>
      <c r="O1011" s="953">
        <v>7.0000000000000007E-2</v>
      </c>
    </row>
    <row r="1012" spans="1:15">
      <c r="A1012" s="119"/>
      <c r="B1012" s="333" t="s">
        <v>1372</v>
      </c>
      <c r="C1012">
        <v>7.0000000000000007E-2</v>
      </c>
      <c r="D1012" s="953">
        <v>7.0000000000000007E-2</v>
      </c>
      <c r="E1012" s="953">
        <v>7.0000000000000007E-2</v>
      </c>
      <c r="F1012" s="953">
        <v>7.0000000000000007E-2</v>
      </c>
      <c r="G1012" s="953">
        <v>7.0000000000000007E-2</v>
      </c>
      <c r="H1012" s="953">
        <v>7.0000000000000007E-2</v>
      </c>
      <c r="I1012" s="953">
        <v>7.0000000000000007E-2</v>
      </c>
      <c r="J1012" s="953">
        <v>7.0000000000000007E-2</v>
      </c>
      <c r="K1012" s="953">
        <v>7.0000000000000007E-2</v>
      </c>
      <c r="L1012" s="953">
        <v>7.0000000000000007E-2</v>
      </c>
      <c r="M1012" s="953">
        <v>7.0000000000000007E-2</v>
      </c>
      <c r="N1012" s="953">
        <v>7.0000000000000007E-2</v>
      </c>
      <c r="O1012" s="953">
        <v>7.0000000000000007E-2</v>
      </c>
    </row>
    <row r="1013" spans="1:15">
      <c r="A1013" s="119"/>
      <c r="B1013" s="333" t="s">
        <v>1373</v>
      </c>
      <c r="C1013">
        <v>0.05</v>
      </c>
      <c r="D1013" s="956">
        <v>0.12</v>
      </c>
      <c r="E1013" s="956">
        <v>0.12</v>
      </c>
      <c r="F1013" s="956">
        <v>0.12</v>
      </c>
      <c r="G1013" s="956">
        <v>0.12</v>
      </c>
      <c r="H1013" s="956">
        <v>0.12</v>
      </c>
      <c r="I1013" s="956">
        <v>0.12</v>
      </c>
      <c r="J1013" s="956">
        <v>0.12</v>
      </c>
      <c r="K1013" s="956">
        <v>0.12</v>
      </c>
      <c r="L1013" s="956">
        <v>0.12</v>
      </c>
      <c r="M1013" s="956">
        <v>0.12</v>
      </c>
      <c r="N1013" s="956">
        <v>0.12</v>
      </c>
      <c r="O1013" s="956">
        <v>0.12</v>
      </c>
    </row>
    <row r="1014" spans="1:15">
      <c r="A1014" s="119"/>
      <c r="B1014" s="333" t="s">
        <v>1374</v>
      </c>
      <c r="C1014">
        <v>0.05</v>
      </c>
      <c r="D1014" s="956">
        <v>7.0000000000000007E-2</v>
      </c>
      <c r="E1014" s="956">
        <v>7.0000000000000007E-2</v>
      </c>
      <c r="F1014" s="956">
        <v>7.0000000000000007E-2</v>
      </c>
      <c r="G1014" s="956">
        <v>7.0000000000000007E-2</v>
      </c>
      <c r="H1014" s="956">
        <v>7.0000000000000007E-2</v>
      </c>
      <c r="I1014" s="956">
        <v>7.0000000000000007E-2</v>
      </c>
      <c r="J1014" s="956">
        <v>7.0000000000000007E-2</v>
      </c>
      <c r="K1014" s="956">
        <v>7.0000000000000007E-2</v>
      </c>
      <c r="L1014" s="956">
        <v>7.0000000000000007E-2</v>
      </c>
      <c r="M1014" s="956">
        <v>7.0000000000000007E-2</v>
      </c>
      <c r="N1014" s="956">
        <v>7.0000000000000007E-2</v>
      </c>
      <c r="O1014" s="956">
        <v>7.0000000000000007E-2</v>
      </c>
    </row>
    <row r="1015" spans="1:15">
      <c r="A1015" s="119"/>
      <c r="B1015" s="333" t="s">
        <v>1375</v>
      </c>
      <c r="C1015">
        <v>0.06</v>
      </c>
      <c r="D1015" s="956">
        <v>7.0000000000000007E-2</v>
      </c>
      <c r="E1015" s="956">
        <v>7.0000000000000007E-2</v>
      </c>
      <c r="F1015" s="956">
        <v>7.0000000000000007E-2</v>
      </c>
      <c r="G1015" s="956">
        <v>7.0000000000000007E-2</v>
      </c>
      <c r="H1015" s="956">
        <v>7.0000000000000007E-2</v>
      </c>
      <c r="I1015" s="956">
        <v>7.0000000000000007E-2</v>
      </c>
      <c r="J1015" s="956">
        <v>7.0000000000000007E-2</v>
      </c>
      <c r="K1015" s="956">
        <v>7.0000000000000007E-2</v>
      </c>
      <c r="L1015" s="956">
        <v>7.0000000000000007E-2</v>
      </c>
      <c r="M1015" s="956">
        <v>7.0000000000000007E-2</v>
      </c>
      <c r="N1015" s="956">
        <v>7.0000000000000007E-2</v>
      </c>
      <c r="O1015" s="956">
        <v>7.0000000000000007E-2</v>
      </c>
    </row>
    <row r="1016" spans="1:15">
      <c r="A1016" s="119"/>
      <c r="B1016" s="333" t="s">
        <v>1376</v>
      </c>
      <c r="C1016">
        <v>7.0000000000000007E-2</v>
      </c>
      <c r="D1016" s="953">
        <v>7.0000000000000007E-2</v>
      </c>
      <c r="E1016" s="953">
        <v>7.0000000000000007E-2</v>
      </c>
      <c r="F1016" s="953">
        <v>7.0000000000000007E-2</v>
      </c>
      <c r="G1016" s="953">
        <v>7.0000000000000007E-2</v>
      </c>
      <c r="H1016" s="953">
        <v>7.0000000000000007E-2</v>
      </c>
      <c r="I1016" s="953">
        <v>7.0000000000000007E-2</v>
      </c>
      <c r="J1016" s="953">
        <v>7.0000000000000007E-2</v>
      </c>
      <c r="K1016" s="953">
        <v>7.0000000000000007E-2</v>
      </c>
      <c r="L1016" s="953">
        <v>7.0000000000000007E-2</v>
      </c>
      <c r="M1016" s="953">
        <v>7.0000000000000007E-2</v>
      </c>
      <c r="N1016" s="953">
        <v>7.0000000000000007E-2</v>
      </c>
      <c r="O1016" s="953">
        <v>7.0000000000000007E-2</v>
      </c>
    </row>
    <row r="1017" spans="1:15">
      <c r="A1017" s="119"/>
      <c r="B1017" s="333" t="s">
        <v>1377</v>
      </c>
      <c r="C1017">
        <v>0.08</v>
      </c>
      <c r="D1017" s="956">
        <v>0.06</v>
      </c>
      <c r="E1017" s="956">
        <v>0.06</v>
      </c>
      <c r="F1017" s="956">
        <v>0.06</v>
      </c>
      <c r="G1017" s="956">
        <v>0.06</v>
      </c>
      <c r="H1017" s="956">
        <v>0.06</v>
      </c>
      <c r="I1017" s="956">
        <v>0.06</v>
      </c>
      <c r="J1017" s="956">
        <v>0.06</v>
      </c>
      <c r="K1017" s="956">
        <v>0.06</v>
      </c>
      <c r="L1017" s="956">
        <v>0.06</v>
      </c>
      <c r="M1017" s="956">
        <v>0.06</v>
      </c>
      <c r="N1017" s="956">
        <v>0.06</v>
      </c>
      <c r="O1017" s="956">
        <v>0.06</v>
      </c>
    </row>
    <row r="1018" spans="1:15">
      <c r="A1018" s="119"/>
      <c r="B1018" s="333" t="s">
        <v>1378</v>
      </c>
      <c r="C1018">
        <v>0.1</v>
      </c>
      <c r="D1018" s="956">
        <v>0.05</v>
      </c>
      <c r="E1018" s="956">
        <v>0.05</v>
      </c>
      <c r="F1018" s="956">
        <v>0.05</v>
      </c>
      <c r="G1018" s="956">
        <v>0.05</v>
      </c>
      <c r="H1018" s="956">
        <v>0.05</v>
      </c>
      <c r="I1018" s="956">
        <v>0.05</v>
      </c>
      <c r="J1018" s="956">
        <v>0.05</v>
      </c>
      <c r="K1018" s="956">
        <v>0.05</v>
      </c>
      <c r="L1018" s="956">
        <v>0.05</v>
      </c>
      <c r="M1018" s="956">
        <v>0.05</v>
      </c>
      <c r="N1018" s="956">
        <v>0.05</v>
      </c>
      <c r="O1018" s="956">
        <v>0.05</v>
      </c>
    </row>
    <row r="1019" spans="1:15">
      <c r="A1019" s="119"/>
      <c r="B1019" s="333" t="s">
        <v>1379</v>
      </c>
      <c r="C1019">
        <v>0.1</v>
      </c>
      <c r="D1019" s="956">
        <v>0.06</v>
      </c>
      <c r="E1019" s="956">
        <v>0.06</v>
      </c>
      <c r="F1019" s="956">
        <v>0.06</v>
      </c>
      <c r="G1019" s="956">
        <v>0.06</v>
      </c>
      <c r="H1019" s="956">
        <v>0.06</v>
      </c>
      <c r="I1019" s="956">
        <v>0.06</v>
      </c>
      <c r="J1019" s="956">
        <v>0.06</v>
      </c>
      <c r="K1019" s="956">
        <v>0.06</v>
      </c>
      <c r="L1019" s="956">
        <v>0.06</v>
      </c>
      <c r="M1019" s="956">
        <v>0.06</v>
      </c>
      <c r="N1019" s="956">
        <v>0.06</v>
      </c>
      <c r="O1019" s="956">
        <v>0.06</v>
      </c>
    </row>
    <row r="1020" spans="1:15">
      <c r="A1020" s="119"/>
      <c r="B1020" s="333" t="s">
        <v>1380</v>
      </c>
      <c r="C1020">
        <v>0.12</v>
      </c>
      <c r="D1020" s="956">
        <v>7.0000000000000007E-2</v>
      </c>
      <c r="E1020" s="956">
        <v>7.0000000000000007E-2</v>
      </c>
      <c r="F1020" s="956">
        <v>7.0000000000000007E-2</v>
      </c>
      <c r="G1020" s="956">
        <v>7.0000000000000007E-2</v>
      </c>
      <c r="H1020" s="956">
        <v>7.0000000000000007E-2</v>
      </c>
      <c r="I1020" s="956">
        <v>7.0000000000000007E-2</v>
      </c>
      <c r="J1020" s="956">
        <v>7.0000000000000007E-2</v>
      </c>
      <c r="K1020" s="956">
        <v>7.0000000000000007E-2</v>
      </c>
      <c r="L1020" s="956">
        <v>7.0000000000000007E-2</v>
      </c>
      <c r="M1020" s="956">
        <v>7.0000000000000007E-2</v>
      </c>
      <c r="N1020" s="956">
        <v>7.0000000000000007E-2</v>
      </c>
      <c r="O1020" s="956">
        <v>7.0000000000000007E-2</v>
      </c>
    </row>
    <row r="1021" spans="1:15">
      <c r="A1021" s="119"/>
      <c r="B1021" s="333" t="s">
        <v>1381</v>
      </c>
      <c r="C1021">
        <v>0.12</v>
      </c>
      <c r="D1021" s="956">
        <v>0.08</v>
      </c>
      <c r="E1021" s="956">
        <v>0.08</v>
      </c>
      <c r="F1021" s="956">
        <v>0.08</v>
      </c>
      <c r="G1021" s="956">
        <v>0.08</v>
      </c>
      <c r="H1021" s="956">
        <v>0.08</v>
      </c>
      <c r="I1021" s="956">
        <v>0.08</v>
      </c>
      <c r="J1021" s="956">
        <v>0.08</v>
      </c>
      <c r="K1021" s="956">
        <v>0.08</v>
      </c>
      <c r="L1021" s="956">
        <v>0.08</v>
      </c>
      <c r="M1021" s="956">
        <v>0.08</v>
      </c>
      <c r="N1021" s="956">
        <v>0.08</v>
      </c>
      <c r="O1021" s="956">
        <v>0.08</v>
      </c>
    </row>
    <row r="1022" spans="1:15">
      <c r="A1022" s="119"/>
      <c r="B1022" s="333" t="s">
        <v>1382</v>
      </c>
      <c r="C1022">
        <v>0.11</v>
      </c>
      <c r="D1022" s="953">
        <v>0.11</v>
      </c>
      <c r="E1022" s="953">
        <v>0.11</v>
      </c>
      <c r="F1022" s="953">
        <v>0.11</v>
      </c>
      <c r="G1022" s="953">
        <v>0.11</v>
      </c>
      <c r="H1022" s="953">
        <v>0.11</v>
      </c>
      <c r="I1022" s="953">
        <v>0.11</v>
      </c>
      <c r="J1022" s="953">
        <v>0.11</v>
      </c>
      <c r="K1022" s="953">
        <v>0.11</v>
      </c>
      <c r="L1022" s="953">
        <v>0.11</v>
      </c>
      <c r="M1022" s="953">
        <v>0.11</v>
      </c>
      <c r="N1022" s="953">
        <v>0.11</v>
      </c>
      <c r="O1022" s="953">
        <v>0.11</v>
      </c>
    </row>
    <row r="1023" spans="1:15">
      <c r="A1023" s="119"/>
      <c r="B1023" s="333" t="s">
        <v>1383</v>
      </c>
      <c r="C1023">
        <v>7.0000000000000007E-2</v>
      </c>
      <c r="D1023" s="956">
        <v>0.12</v>
      </c>
      <c r="E1023" s="956">
        <v>0.12</v>
      </c>
      <c r="F1023" s="956">
        <v>0.12</v>
      </c>
      <c r="G1023" s="956">
        <v>0.12</v>
      </c>
      <c r="H1023" s="956">
        <v>0.12</v>
      </c>
      <c r="I1023" s="956">
        <v>0.12</v>
      </c>
      <c r="J1023" s="956">
        <v>0.12</v>
      </c>
      <c r="K1023" s="956">
        <v>0.12</v>
      </c>
      <c r="L1023" s="956">
        <v>0.12</v>
      </c>
      <c r="M1023" s="956">
        <v>0.12</v>
      </c>
      <c r="N1023" s="956">
        <v>0.12</v>
      </c>
      <c r="O1023" s="956">
        <v>0.12</v>
      </c>
    </row>
    <row r="1024" spans="1:15">
      <c r="A1024" s="119"/>
      <c r="B1024" s="333" t="s">
        <v>1384</v>
      </c>
      <c r="C1024">
        <v>7.0000000000000007E-2</v>
      </c>
      <c r="D1024" s="956">
        <v>0.12</v>
      </c>
      <c r="E1024" s="956">
        <v>0.12</v>
      </c>
      <c r="F1024" s="956">
        <v>0.12</v>
      </c>
      <c r="G1024" s="956">
        <v>0.12</v>
      </c>
      <c r="H1024" s="956">
        <v>0.12</v>
      </c>
      <c r="I1024" s="956">
        <v>0.12</v>
      </c>
      <c r="J1024" s="956">
        <v>0.12</v>
      </c>
      <c r="K1024" s="956">
        <v>0.12</v>
      </c>
      <c r="L1024" s="956">
        <v>0.12</v>
      </c>
      <c r="M1024" s="956">
        <v>0.12</v>
      </c>
      <c r="N1024" s="956">
        <v>0.12</v>
      </c>
      <c r="O1024" s="956">
        <v>0.12</v>
      </c>
    </row>
    <row r="1025" spans="1:15">
      <c r="A1025" s="119"/>
      <c r="B1025" s="333" t="s">
        <v>1385</v>
      </c>
      <c r="C1025">
        <v>0.05</v>
      </c>
      <c r="D1025" s="956">
        <v>0.12</v>
      </c>
      <c r="E1025" s="956">
        <v>0.12</v>
      </c>
      <c r="F1025" s="956">
        <v>0.12</v>
      </c>
      <c r="G1025" s="956">
        <v>0.12</v>
      </c>
      <c r="H1025" s="956">
        <v>0.12</v>
      </c>
      <c r="I1025" s="1130">
        <v>0.18</v>
      </c>
      <c r="J1025" s="1130">
        <v>0.18</v>
      </c>
      <c r="K1025" s="1130">
        <v>0.18</v>
      </c>
      <c r="L1025" s="1130">
        <v>0.18</v>
      </c>
      <c r="M1025" s="1130">
        <v>0.18</v>
      </c>
      <c r="N1025" s="1130">
        <v>0.18</v>
      </c>
      <c r="O1025" s="1130">
        <v>0.18</v>
      </c>
    </row>
    <row r="1026" spans="1:15">
      <c r="A1026" s="119"/>
      <c r="B1026" s="333" t="s">
        <v>1386</v>
      </c>
      <c r="C1026">
        <v>0.05</v>
      </c>
      <c r="D1026" s="956">
        <v>7.0000000000000007E-2</v>
      </c>
      <c r="E1026" s="956">
        <v>7.0000000000000007E-2</v>
      </c>
      <c r="F1026" s="956">
        <v>7.0000000000000007E-2</v>
      </c>
      <c r="G1026" s="956">
        <v>7.0000000000000007E-2</v>
      </c>
      <c r="H1026" s="956">
        <v>7.0000000000000007E-2</v>
      </c>
      <c r="I1026" s="1130">
        <v>0.14000000000000001</v>
      </c>
      <c r="J1026" s="1130">
        <v>0.14000000000000001</v>
      </c>
      <c r="K1026" s="1130">
        <v>0.14000000000000001</v>
      </c>
      <c r="L1026" s="1130">
        <v>0.14000000000000001</v>
      </c>
      <c r="M1026" s="1130">
        <v>0.14000000000000001</v>
      </c>
      <c r="N1026" s="1130">
        <v>0.14000000000000001</v>
      </c>
      <c r="O1026" s="1130">
        <v>0.14000000000000001</v>
      </c>
    </row>
    <row r="1027" spans="1:15">
      <c r="A1027" s="119"/>
      <c r="B1027" s="333" t="s">
        <v>1387</v>
      </c>
      <c r="C1027">
        <v>0.06</v>
      </c>
      <c r="D1027" s="956">
        <v>7.0000000000000007E-2</v>
      </c>
      <c r="E1027" s="956">
        <v>7.0000000000000007E-2</v>
      </c>
      <c r="F1027" s="956">
        <v>7.0000000000000007E-2</v>
      </c>
      <c r="G1027" s="956">
        <v>7.0000000000000007E-2</v>
      </c>
      <c r="H1027" s="956">
        <v>7.0000000000000007E-2</v>
      </c>
      <c r="I1027" s="1130">
        <v>0.09</v>
      </c>
      <c r="J1027" s="1130">
        <v>0.09</v>
      </c>
      <c r="K1027" s="1130">
        <v>0.09</v>
      </c>
      <c r="L1027" s="1130">
        <v>0.09</v>
      </c>
      <c r="M1027" s="1130">
        <v>0.09</v>
      </c>
      <c r="N1027" s="1130">
        <v>0.09</v>
      </c>
      <c r="O1027" s="1130">
        <v>0.09</v>
      </c>
    </row>
    <row r="1028" spans="1:15">
      <c r="A1028" s="119"/>
      <c r="B1028" s="333" t="s">
        <v>1388</v>
      </c>
      <c r="C1028">
        <v>7.0000000000000007E-2</v>
      </c>
      <c r="D1028" s="953">
        <v>7.0000000000000007E-2</v>
      </c>
      <c r="E1028" s="953">
        <v>7.0000000000000007E-2</v>
      </c>
      <c r="F1028" s="953">
        <v>7.0000000000000007E-2</v>
      </c>
      <c r="G1028" s="953">
        <v>7.0000000000000007E-2</v>
      </c>
      <c r="H1028" s="953">
        <v>7.0000000000000007E-2</v>
      </c>
      <c r="I1028" s="953">
        <v>7.0000000000000007E-2</v>
      </c>
      <c r="J1028" s="953">
        <v>7.0000000000000007E-2</v>
      </c>
      <c r="K1028" s="953">
        <v>7.0000000000000007E-2</v>
      </c>
      <c r="L1028" s="953">
        <v>7.0000000000000007E-2</v>
      </c>
      <c r="M1028" s="953">
        <v>7.0000000000000007E-2</v>
      </c>
      <c r="N1028" s="953">
        <v>7.0000000000000007E-2</v>
      </c>
      <c r="O1028" s="953">
        <v>7.0000000000000007E-2</v>
      </c>
    </row>
    <row r="1029" spans="1:15">
      <c r="A1029" s="119"/>
      <c r="B1029" s="333" t="s">
        <v>1389</v>
      </c>
      <c r="C1029">
        <v>0.08</v>
      </c>
      <c r="D1029" s="956">
        <v>0.06</v>
      </c>
      <c r="E1029" s="956">
        <v>0.06</v>
      </c>
      <c r="F1029" s="956">
        <v>0.06</v>
      </c>
      <c r="G1029" s="956">
        <v>0.06</v>
      </c>
      <c r="H1029" s="956">
        <v>0.06</v>
      </c>
      <c r="I1029" s="1130">
        <v>0.03</v>
      </c>
      <c r="J1029" s="1130">
        <v>0.03</v>
      </c>
      <c r="K1029" s="1130">
        <v>0.03</v>
      </c>
      <c r="L1029" s="1130">
        <v>0.03</v>
      </c>
      <c r="M1029" s="1130">
        <v>0.03</v>
      </c>
      <c r="N1029" s="1130">
        <v>0.03</v>
      </c>
      <c r="O1029" s="1130">
        <v>0.03</v>
      </c>
    </row>
    <row r="1030" spans="1:15">
      <c r="A1030" s="119"/>
      <c r="B1030" s="333" t="s">
        <v>1390</v>
      </c>
      <c r="C1030">
        <v>0.1</v>
      </c>
      <c r="D1030" s="956">
        <v>0.05</v>
      </c>
      <c r="E1030" s="956">
        <v>0.05</v>
      </c>
      <c r="F1030" s="956">
        <v>0.05</v>
      </c>
      <c r="G1030" s="956">
        <v>0.05</v>
      </c>
      <c r="H1030" s="956">
        <v>0.05</v>
      </c>
      <c r="I1030" s="1130">
        <v>0</v>
      </c>
      <c r="J1030" s="1130">
        <v>0</v>
      </c>
      <c r="K1030" s="1130">
        <v>0</v>
      </c>
      <c r="L1030" s="1130">
        <v>0</v>
      </c>
      <c r="M1030" s="1130">
        <v>0</v>
      </c>
      <c r="N1030" s="1130">
        <v>0</v>
      </c>
      <c r="O1030" s="1130">
        <v>0</v>
      </c>
    </row>
    <row r="1031" spans="1:15">
      <c r="A1031" s="119"/>
      <c r="B1031" s="333" t="s">
        <v>1391</v>
      </c>
      <c r="C1031">
        <v>0.1</v>
      </c>
      <c r="D1031" s="956">
        <v>0.06</v>
      </c>
      <c r="E1031" s="956">
        <v>0.06</v>
      </c>
      <c r="F1031" s="956">
        <v>0.06</v>
      </c>
      <c r="G1031" s="956">
        <v>0.06</v>
      </c>
      <c r="H1031" s="956">
        <v>0.06</v>
      </c>
      <c r="I1031" s="1130">
        <v>0</v>
      </c>
      <c r="J1031" s="1130">
        <v>0</v>
      </c>
      <c r="K1031" s="1130">
        <v>0</v>
      </c>
      <c r="L1031" s="1130">
        <v>0</v>
      </c>
      <c r="M1031" s="1130">
        <v>0</v>
      </c>
      <c r="N1031" s="1130">
        <v>0</v>
      </c>
      <c r="O1031" s="1130">
        <v>0</v>
      </c>
    </row>
    <row r="1032" spans="1:15">
      <c r="A1032" s="119"/>
      <c r="B1032" s="333" t="s">
        <v>1392</v>
      </c>
      <c r="C1032">
        <v>0.12</v>
      </c>
      <c r="D1032" s="956">
        <v>7.0000000000000007E-2</v>
      </c>
      <c r="E1032" s="956">
        <v>7.0000000000000007E-2</v>
      </c>
      <c r="F1032" s="956">
        <v>7.0000000000000007E-2</v>
      </c>
      <c r="G1032" s="956">
        <v>7.0000000000000007E-2</v>
      </c>
      <c r="H1032" s="956">
        <v>7.0000000000000007E-2</v>
      </c>
      <c r="I1032" s="1130">
        <v>0</v>
      </c>
      <c r="J1032" s="1130">
        <v>0</v>
      </c>
      <c r="K1032" s="1130">
        <v>0</v>
      </c>
      <c r="L1032" s="1130">
        <v>0</v>
      </c>
      <c r="M1032" s="1130">
        <v>0</v>
      </c>
      <c r="N1032" s="1130">
        <v>0</v>
      </c>
      <c r="O1032" s="1130">
        <v>0</v>
      </c>
    </row>
    <row r="1033" spans="1:15">
      <c r="A1033" s="119"/>
      <c r="B1033" s="333" t="s">
        <v>1393</v>
      </c>
      <c r="C1033">
        <v>0.12</v>
      </c>
      <c r="D1033" s="956">
        <v>0.08</v>
      </c>
      <c r="E1033" s="956">
        <v>0.08</v>
      </c>
      <c r="F1033" s="956">
        <v>0.08</v>
      </c>
      <c r="G1033" s="956">
        <v>0.08</v>
      </c>
      <c r="H1033" s="956">
        <v>0.08</v>
      </c>
      <c r="I1033" s="1130">
        <v>0.06</v>
      </c>
      <c r="J1033" s="1130">
        <v>0.06</v>
      </c>
      <c r="K1033" s="1130">
        <v>0.06</v>
      </c>
      <c r="L1033" s="1130">
        <v>0.06</v>
      </c>
      <c r="M1033" s="1130">
        <v>0.06</v>
      </c>
      <c r="N1033" s="1130">
        <v>0.06</v>
      </c>
      <c r="O1033" s="1130">
        <v>0.06</v>
      </c>
    </row>
    <row r="1034" spans="1:15">
      <c r="A1034" s="119"/>
      <c r="B1034" s="333" t="s">
        <v>1394</v>
      </c>
      <c r="C1034">
        <v>0.11</v>
      </c>
      <c r="D1034" s="953">
        <v>0.11</v>
      </c>
      <c r="E1034" s="953">
        <v>0.11</v>
      </c>
      <c r="F1034" s="953">
        <v>0.11</v>
      </c>
      <c r="G1034" s="953">
        <v>0.11</v>
      </c>
      <c r="H1034" s="953">
        <v>0.11</v>
      </c>
      <c r="I1034" s="953">
        <v>0.11</v>
      </c>
      <c r="J1034" s="953">
        <v>0.11</v>
      </c>
      <c r="K1034" s="953">
        <v>0.11</v>
      </c>
      <c r="L1034" s="953">
        <v>0.11</v>
      </c>
      <c r="M1034" s="953">
        <v>0.11</v>
      </c>
      <c r="N1034" s="953">
        <v>0.11</v>
      </c>
      <c r="O1034" s="953">
        <v>0.11</v>
      </c>
    </row>
    <row r="1035" spans="1:15">
      <c r="A1035" s="119"/>
      <c r="B1035" s="333" t="s">
        <v>1395</v>
      </c>
      <c r="C1035">
        <v>7.0000000000000007E-2</v>
      </c>
      <c r="D1035" s="956">
        <v>0.12</v>
      </c>
      <c r="E1035" s="956">
        <v>0.12</v>
      </c>
      <c r="F1035" s="956">
        <v>0.12</v>
      </c>
      <c r="G1035" s="956">
        <v>0.12</v>
      </c>
      <c r="H1035" s="956">
        <v>0.12</v>
      </c>
      <c r="I1035" s="1130">
        <v>0.14000000000000001</v>
      </c>
      <c r="J1035" s="1130">
        <v>0.14000000000000001</v>
      </c>
      <c r="K1035" s="1130">
        <v>0.14000000000000001</v>
      </c>
      <c r="L1035" s="1130">
        <v>0.14000000000000001</v>
      </c>
      <c r="M1035" s="1130">
        <v>0.14000000000000001</v>
      </c>
      <c r="N1035" s="1130">
        <v>0.14000000000000001</v>
      </c>
      <c r="O1035" s="1130">
        <v>0.14000000000000001</v>
      </c>
    </row>
    <row r="1036" spans="1:15">
      <c r="A1036" s="119"/>
      <c r="B1036" s="333" t="s">
        <v>1396</v>
      </c>
      <c r="C1036">
        <v>7.0000000000000007E-2</v>
      </c>
      <c r="D1036" s="956">
        <v>0.12</v>
      </c>
      <c r="E1036" s="956">
        <v>0.12</v>
      </c>
      <c r="F1036" s="956">
        <v>0.12</v>
      </c>
      <c r="G1036" s="956">
        <v>0.12</v>
      </c>
      <c r="H1036" s="956">
        <v>0.12</v>
      </c>
      <c r="I1036" s="1130">
        <v>0.18</v>
      </c>
      <c r="J1036" s="1130">
        <v>0.18</v>
      </c>
      <c r="K1036" s="1130">
        <v>0.18</v>
      </c>
      <c r="L1036" s="1130">
        <v>0.18</v>
      </c>
      <c r="M1036" s="1130">
        <v>0.18</v>
      </c>
      <c r="N1036" s="1130">
        <v>0.18</v>
      </c>
      <c r="O1036" s="1130">
        <v>0.18</v>
      </c>
    </row>
    <row r="1037" spans="1:15">
      <c r="A1037" s="119"/>
      <c r="B1037" s="333" t="s">
        <v>1397</v>
      </c>
      <c r="C1037">
        <v>0.05</v>
      </c>
      <c r="D1037" s="953">
        <v>0.05</v>
      </c>
      <c r="E1037" s="953">
        <v>0.05</v>
      </c>
      <c r="F1037" s="953">
        <v>0.05</v>
      </c>
      <c r="G1037" s="953">
        <v>0.05</v>
      </c>
      <c r="H1037" s="953">
        <v>0.05</v>
      </c>
      <c r="I1037" s="953">
        <v>0.05</v>
      </c>
      <c r="J1037" s="953">
        <v>0.05</v>
      </c>
      <c r="K1037" s="953">
        <v>0.05</v>
      </c>
      <c r="L1037" s="953">
        <v>0.05</v>
      </c>
      <c r="M1037" s="953">
        <v>0.05</v>
      </c>
      <c r="N1037" s="953">
        <v>0.05</v>
      </c>
      <c r="O1037" s="953">
        <v>0.05</v>
      </c>
    </row>
    <row r="1038" spans="1:15">
      <c r="A1038" s="119"/>
      <c r="B1038" s="333" t="s">
        <v>1398</v>
      </c>
      <c r="C1038">
        <v>0.05</v>
      </c>
      <c r="D1038" s="953">
        <v>0.05</v>
      </c>
      <c r="E1038" s="953">
        <v>0.05</v>
      </c>
      <c r="F1038" s="953">
        <v>0.05</v>
      </c>
      <c r="G1038" s="953">
        <v>0.05</v>
      </c>
      <c r="H1038" s="953">
        <v>0.05</v>
      </c>
      <c r="I1038" s="953">
        <v>0.05</v>
      </c>
      <c r="J1038" s="953">
        <v>0.05</v>
      </c>
      <c r="K1038" s="953">
        <v>0.05</v>
      </c>
      <c r="L1038" s="953">
        <v>0.05</v>
      </c>
      <c r="M1038" s="953">
        <v>0.05</v>
      </c>
      <c r="N1038" s="953">
        <v>0.05</v>
      </c>
      <c r="O1038" s="953">
        <v>0.05</v>
      </c>
    </row>
    <row r="1039" spans="1:15">
      <c r="A1039" s="119"/>
      <c r="B1039" s="333" t="s">
        <v>1399</v>
      </c>
      <c r="C1039">
        <v>0.06</v>
      </c>
      <c r="D1039" s="953">
        <v>0.06</v>
      </c>
      <c r="E1039" s="953">
        <v>0.06</v>
      </c>
      <c r="F1039" s="953">
        <v>0.06</v>
      </c>
      <c r="G1039" s="953">
        <v>0.06</v>
      </c>
      <c r="H1039" s="953">
        <v>0.06</v>
      </c>
      <c r="I1039" s="953">
        <v>0.06</v>
      </c>
      <c r="J1039" s="953">
        <v>0.06</v>
      </c>
      <c r="K1039" s="953">
        <v>0.06</v>
      </c>
      <c r="L1039" s="953">
        <v>0.06</v>
      </c>
      <c r="M1039" s="953">
        <v>0.06</v>
      </c>
      <c r="N1039" s="953">
        <v>0.06</v>
      </c>
      <c r="O1039" s="953">
        <v>0.06</v>
      </c>
    </row>
    <row r="1040" spans="1:15">
      <c r="A1040" s="119"/>
      <c r="B1040" s="333" t="s">
        <v>1400</v>
      </c>
      <c r="C1040">
        <v>7.0000000000000007E-2</v>
      </c>
      <c r="D1040" s="953">
        <v>7.0000000000000007E-2</v>
      </c>
      <c r="E1040" s="953">
        <v>7.0000000000000007E-2</v>
      </c>
      <c r="F1040" s="953">
        <v>7.0000000000000007E-2</v>
      </c>
      <c r="G1040" s="953">
        <v>7.0000000000000007E-2</v>
      </c>
      <c r="H1040" s="953">
        <v>7.0000000000000007E-2</v>
      </c>
      <c r="I1040" s="953">
        <v>7.0000000000000007E-2</v>
      </c>
      <c r="J1040" s="953">
        <v>7.0000000000000007E-2</v>
      </c>
      <c r="K1040" s="953">
        <v>7.0000000000000007E-2</v>
      </c>
      <c r="L1040" s="953">
        <v>7.0000000000000007E-2</v>
      </c>
      <c r="M1040" s="953">
        <v>7.0000000000000007E-2</v>
      </c>
      <c r="N1040" s="953">
        <v>7.0000000000000007E-2</v>
      </c>
      <c r="O1040" s="953">
        <v>7.0000000000000007E-2</v>
      </c>
    </row>
    <row r="1041" spans="1:15">
      <c r="A1041" s="119"/>
      <c r="B1041" s="333" t="s">
        <v>1401</v>
      </c>
      <c r="C1041">
        <v>0.08</v>
      </c>
      <c r="D1041" s="953">
        <v>0.08</v>
      </c>
      <c r="E1041" s="953">
        <v>0.08</v>
      </c>
      <c r="F1041" s="953">
        <v>0.08</v>
      </c>
      <c r="G1041" s="953">
        <v>0.08</v>
      </c>
      <c r="H1041" s="953">
        <v>0.08</v>
      </c>
      <c r="I1041" s="953">
        <v>0.08</v>
      </c>
      <c r="J1041" s="953">
        <v>0.08</v>
      </c>
      <c r="K1041" s="953">
        <v>0.08</v>
      </c>
      <c r="L1041" s="953">
        <v>0.08</v>
      </c>
      <c r="M1041" s="953">
        <v>0.08</v>
      </c>
      <c r="N1041" s="953">
        <v>0.08</v>
      </c>
      <c r="O1041" s="953">
        <v>0.08</v>
      </c>
    </row>
    <row r="1042" spans="1:15">
      <c r="A1042" s="119"/>
      <c r="B1042" s="333" t="s">
        <v>1402</v>
      </c>
      <c r="C1042">
        <v>0.1</v>
      </c>
      <c r="D1042" s="956">
        <v>0.12</v>
      </c>
      <c r="E1042" s="956">
        <v>0.12</v>
      </c>
      <c r="F1042" s="956">
        <v>0.12</v>
      </c>
      <c r="G1042" s="956">
        <v>0.12</v>
      </c>
      <c r="H1042" s="956">
        <v>0.12</v>
      </c>
      <c r="I1042" s="956">
        <v>0.12</v>
      </c>
      <c r="J1042" s="956">
        <v>0.12</v>
      </c>
      <c r="K1042" s="956">
        <v>0.12</v>
      </c>
      <c r="L1042" s="956">
        <v>0.12</v>
      </c>
      <c r="M1042" s="956">
        <v>0.12</v>
      </c>
      <c r="N1042" s="956">
        <v>0.12</v>
      </c>
      <c r="O1042" s="956">
        <v>0.12</v>
      </c>
    </row>
    <row r="1043" spans="1:15">
      <c r="A1043" s="119"/>
      <c r="B1043" s="333" t="s">
        <v>1403</v>
      </c>
      <c r="C1043">
        <v>0.1</v>
      </c>
      <c r="D1043" s="956">
        <v>0.12</v>
      </c>
      <c r="E1043" s="956">
        <v>0.12</v>
      </c>
      <c r="F1043" s="956">
        <v>0.12</v>
      </c>
      <c r="G1043" s="956">
        <v>0.12</v>
      </c>
      <c r="H1043" s="956">
        <v>0.12</v>
      </c>
      <c r="I1043" s="956">
        <v>0.12</v>
      </c>
      <c r="J1043" s="956">
        <v>0.12</v>
      </c>
      <c r="K1043" s="956">
        <v>0.12</v>
      </c>
      <c r="L1043" s="956">
        <v>0.12</v>
      </c>
      <c r="M1043" s="956">
        <v>0.12</v>
      </c>
      <c r="N1043" s="956">
        <v>0.12</v>
      </c>
      <c r="O1043" s="956">
        <v>0.12</v>
      </c>
    </row>
    <row r="1044" spans="1:15">
      <c r="A1044" s="119"/>
      <c r="B1044" s="333" t="s">
        <v>1404</v>
      </c>
      <c r="C1044">
        <v>0.12</v>
      </c>
      <c r="D1044" s="953">
        <v>0.12</v>
      </c>
      <c r="E1044" s="953">
        <v>0.12</v>
      </c>
      <c r="F1044" s="953">
        <v>0.12</v>
      </c>
      <c r="G1044" s="953">
        <v>0.12</v>
      </c>
      <c r="H1044" s="953">
        <v>0.12</v>
      </c>
      <c r="I1044" s="953">
        <v>0.12</v>
      </c>
      <c r="J1044" s="953">
        <v>0.12</v>
      </c>
      <c r="K1044" s="953">
        <v>0.12</v>
      </c>
      <c r="L1044" s="953">
        <v>0.12</v>
      </c>
      <c r="M1044" s="953">
        <v>0.12</v>
      </c>
      <c r="N1044" s="953">
        <v>0.12</v>
      </c>
      <c r="O1044" s="953">
        <v>0.12</v>
      </c>
    </row>
    <row r="1045" spans="1:15">
      <c r="A1045" s="119"/>
      <c r="B1045" s="333" t="s">
        <v>1405</v>
      </c>
      <c r="C1045">
        <v>0.12</v>
      </c>
      <c r="D1045" s="956">
        <v>0.1</v>
      </c>
      <c r="E1045" s="956">
        <v>0.1</v>
      </c>
      <c r="F1045" s="956">
        <v>0.1</v>
      </c>
      <c r="G1045" s="956">
        <v>0.1</v>
      </c>
      <c r="H1045" s="956">
        <v>0.1</v>
      </c>
      <c r="I1045" s="956">
        <v>0.1</v>
      </c>
      <c r="J1045" s="956">
        <v>0.1</v>
      </c>
      <c r="K1045" s="956">
        <v>0.1</v>
      </c>
      <c r="L1045" s="956">
        <v>0.1</v>
      </c>
      <c r="M1045" s="956">
        <v>0.1</v>
      </c>
      <c r="N1045" s="956">
        <v>0.1</v>
      </c>
      <c r="O1045" s="956">
        <v>0.1</v>
      </c>
    </row>
    <row r="1046" spans="1:15">
      <c r="A1046" s="119"/>
      <c r="B1046" s="333" t="s">
        <v>1406</v>
      </c>
      <c r="C1046">
        <v>0.11</v>
      </c>
      <c r="D1046" s="956">
        <v>0.09</v>
      </c>
      <c r="E1046" s="956">
        <v>0.09</v>
      </c>
      <c r="F1046" s="956">
        <v>0.09</v>
      </c>
      <c r="G1046" s="956">
        <v>0.09</v>
      </c>
      <c r="H1046" s="956">
        <v>0.09</v>
      </c>
      <c r="I1046" s="956">
        <v>0.09</v>
      </c>
      <c r="J1046" s="956">
        <v>0.09</v>
      </c>
      <c r="K1046" s="956">
        <v>0.09</v>
      </c>
      <c r="L1046" s="956">
        <v>0.09</v>
      </c>
      <c r="M1046" s="956">
        <v>0.09</v>
      </c>
      <c r="N1046" s="956">
        <v>0.09</v>
      </c>
      <c r="O1046" s="956">
        <v>0.09</v>
      </c>
    </row>
    <row r="1047" spans="1:15">
      <c r="A1047" s="119"/>
      <c r="B1047" s="333" t="s">
        <v>1407</v>
      </c>
      <c r="C1047">
        <v>7.0000000000000007E-2</v>
      </c>
      <c r="D1047" s="953">
        <v>7.0000000000000007E-2</v>
      </c>
      <c r="E1047" s="953">
        <v>7.0000000000000007E-2</v>
      </c>
      <c r="F1047" s="953">
        <v>7.0000000000000007E-2</v>
      </c>
      <c r="G1047" s="953">
        <v>7.0000000000000007E-2</v>
      </c>
      <c r="H1047" s="953">
        <v>7.0000000000000007E-2</v>
      </c>
      <c r="I1047" s="953">
        <v>7.0000000000000007E-2</v>
      </c>
      <c r="J1047" s="953">
        <v>7.0000000000000007E-2</v>
      </c>
      <c r="K1047" s="953">
        <v>7.0000000000000007E-2</v>
      </c>
      <c r="L1047" s="953">
        <v>7.0000000000000007E-2</v>
      </c>
      <c r="M1047" s="953">
        <v>7.0000000000000007E-2</v>
      </c>
      <c r="N1047" s="953">
        <v>7.0000000000000007E-2</v>
      </c>
      <c r="O1047" s="953">
        <v>7.0000000000000007E-2</v>
      </c>
    </row>
    <row r="1048" spans="1:15">
      <c r="A1048" s="119"/>
      <c r="B1048" s="333" t="s">
        <v>1408</v>
      </c>
      <c r="C1048">
        <v>7.0000000000000007E-2</v>
      </c>
      <c r="D1048" s="953">
        <v>7.0000000000000007E-2</v>
      </c>
      <c r="E1048" s="953">
        <v>7.0000000000000007E-2</v>
      </c>
      <c r="F1048" s="953">
        <v>7.0000000000000007E-2</v>
      </c>
      <c r="G1048" s="953">
        <v>7.0000000000000007E-2</v>
      </c>
      <c r="H1048" s="953">
        <v>7.0000000000000007E-2</v>
      </c>
      <c r="I1048" s="953">
        <v>7.0000000000000007E-2</v>
      </c>
      <c r="J1048" s="953">
        <v>7.0000000000000007E-2</v>
      </c>
      <c r="K1048" s="953">
        <v>7.0000000000000007E-2</v>
      </c>
      <c r="L1048" s="953">
        <v>7.0000000000000007E-2</v>
      </c>
      <c r="M1048" s="953">
        <v>7.0000000000000007E-2</v>
      </c>
      <c r="N1048" s="953">
        <v>7.0000000000000007E-2</v>
      </c>
      <c r="O1048" s="953">
        <v>7.0000000000000007E-2</v>
      </c>
    </row>
    <row r="1049" spans="1:15">
      <c r="A1049" s="119"/>
      <c r="B1049" s="333" t="s">
        <v>1409</v>
      </c>
      <c r="C1049">
        <v>0.05</v>
      </c>
      <c r="D1049" s="953">
        <v>0.05</v>
      </c>
      <c r="E1049" s="953">
        <v>0.05</v>
      </c>
      <c r="F1049" s="953">
        <v>0.05</v>
      </c>
      <c r="G1049" s="953">
        <v>0.05</v>
      </c>
      <c r="H1049" s="953">
        <v>0.05</v>
      </c>
      <c r="I1049" s="953">
        <v>0.05</v>
      </c>
      <c r="J1049" s="953">
        <v>0.05</v>
      </c>
      <c r="K1049" s="953">
        <v>0.05</v>
      </c>
      <c r="L1049" s="953">
        <v>0.05</v>
      </c>
      <c r="M1049" s="953">
        <v>0.05</v>
      </c>
      <c r="N1049" s="953">
        <v>0.05</v>
      </c>
      <c r="O1049" s="953">
        <v>0.05</v>
      </c>
    </row>
    <row r="1050" spans="1:15">
      <c r="A1050" s="119"/>
      <c r="B1050" s="333" t="s">
        <v>1410</v>
      </c>
      <c r="C1050">
        <v>0.05</v>
      </c>
      <c r="D1050" s="953">
        <v>0.05</v>
      </c>
      <c r="E1050" s="953">
        <v>0.05</v>
      </c>
      <c r="F1050" s="953">
        <v>0.05</v>
      </c>
      <c r="G1050" s="953">
        <v>0.05</v>
      </c>
      <c r="H1050" s="953">
        <v>0.05</v>
      </c>
      <c r="I1050" s="953">
        <v>0.05</v>
      </c>
      <c r="J1050" s="953">
        <v>0.05</v>
      </c>
      <c r="K1050" s="953">
        <v>0.05</v>
      </c>
      <c r="L1050" s="953">
        <v>0.05</v>
      </c>
      <c r="M1050" s="953">
        <v>0.05</v>
      </c>
      <c r="N1050" s="953">
        <v>0.05</v>
      </c>
      <c r="O1050" s="953">
        <v>0.05</v>
      </c>
    </row>
    <row r="1051" spans="1:15">
      <c r="A1051" s="119"/>
      <c r="B1051" s="333" t="s">
        <v>1411</v>
      </c>
      <c r="C1051">
        <v>0.06</v>
      </c>
      <c r="D1051" s="953">
        <v>0.06</v>
      </c>
      <c r="E1051" s="953">
        <v>0.06</v>
      </c>
      <c r="F1051" s="953">
        <v>0.06</v>
      </c>
      <c r="G1051" s="953">
        <v>0.06</v>
      </c>
      <c r="H1051" s="953">
        <v>0.06</v>
      </c>
      <c r="I1051" s="953">
        <v>0.06</v>
      </c>
      <c r="J1051" s="953">
        <v>0.06</v>
      </c>
      <c r="K1051" s="953">
        <v>0.06</v>
      </c>
      <c r="L1051" s="953">
        <v>0.06</v>
      </c>
      <c r="M1051" s="953">
        <v>0.06</v>
      </c>
      <c r="N1051" s="953">
        <v>0.06</v>
      </c>
      <c r="O1051" s="953">
        <v>0.06</v>
      </c>
    </row>
    <row r="1052" spans="1:15">
      <c r="A1052" s="119"/>
      <c r="B1052" s="333" t="s">
        <v>1412</v>
      </c>
      <c r="C1052">
        <v>7.0000000000000007E-2</v>
      </c>
      <c r="D1052" s="953">
        <v>7.0000000000000007E-2</v>
      </c>
      <c r="E1052" s="953">
        <v>7.0000000000000007E-2</v>
      </c>
      <c r="F1052" s="953">
        <v>7.0000000000000007E-2</v>
      </c>
      <c r="G1052" s="953">
        <v>7.0000000000000007E-2</v>
      </c>
      <c r="H1052" s="953">
        <v>7.0000000000000007E-2</v>
      </c>
      <c r="I1052" s="953">
        <v>7.0000000000000007E-2</v>
      </c>
      <c r="J1052" s="953">
        <v>7.0000000000000007E-2</v>
      </c>
      <c r="K1052" s="953">
        <v>7.0000000000000007E-2</v>
      </c>
      <c r="L1052" s="953">
        <v>7.0000000000000007E-2</v>
      </c>
      <c r="M1052" s="953">
        <v>7.0000000000000007E-2</v>
      </c>
      <c r="N1052" s="953">
        <v>7.0000000000000007E-2</v>
      </c>
      <c r="O1052" s="953">
        <v>7.0000000000000007E-2</v>
      </c>
    </row>
    <row r="1053" spans="1:15">
      <c r="A1053" s="119"/>
      <c r="B1053" s="333" t="s">
        <v>1413</v>
      </c>
      <c r="C1053">
        <v>0.08</v>
      </c>
      <c r="D1053" s="953">
        <v>0.08</v>
      </c>
      <c r="E1053" s="953">
        <v>0.08</v>
      </c>
      <c r="F1053" s="953">
        <v>0.08</v>
      </c>
      <c r="G1053" s="953">
        <v>0.08</v>
      </c>
      <c r="H1053" s="953">
        <v>0.08</v>
      </c>
      <c r="I1053" s="953">
        <v>0.08</v>
      </c>
      <c r="J1053" s="953">
        <v>0.08</v>
      </c>
      <c r="K1053" s="953">
        <v>0.08</v>
      </c>
      <c r="L1053" s="953">
        <v>0.08</v>
      </c>
      <c r="M1053" s="953">
        <v>0.08</v>
      </c>
      <c r="N1053" s="953">
        <v>0.08</v>
      </c>
      <c r="O1053" s="953">
        <v>0.08</v>
      </c>
    </row>
    <row r="1054" spans="1:15">
      <c r="A1054" s="119"/>
      <c r="B1054" s="333" t="s">
        <v>1414</v>
      </c>
      <c r="C1054">
        <v>0.1</v>
      </c>
      <c r="D1054" s="953">
        <v>0.1</v>
      </c>
      <c r="E1054" s="953">
        <v>0.1</v>
      </c>
      <c r="F1054" s="953">
        <v>0.1</v>
      </c>
      <c r="G1054" s="953">
        <v>0.1</v>
      </c>
      <c r="H1054" s="953">
        <v>0.1</v>
      </c>
      <c r="I1054" s="953">
        <v>0.1</v>
      </c>
      <c r="J1054" s="953">
        <v>0.1</v>
      </c>
      <c r="K1054" s="953">
        <v>0.1</v>
      </c>
      <c r="L1054" s="953">
        <v>0.1</v>
      </c>
      <c r="M1054" s="953">
        <v>0.1</v>
      </c>
      <c r="N1054" s="953">
        <v>0.1</v>
      </c>
      <c r="O1054" s="953">
        <v>0.1</v>
      </c>
    </row>
    <row r="1055" spans="1:15">
      <c r="A1055" s="119"/>
      <c r="B1055" s="333" t="s">
        <v>1415</v>
      </c>
      <c r="C1055">
        <v>0.1</v>
      </c>
      <c r="D1055" s="956">
        <v>0.11</v>
      </c>
      <c r="E1055" s="956">
        <v>0.11</v>
      </c>
      <c r="F1055" s="956">
        <v>0.11</v>
      </c>
      <c r="G1055" s="956">
        <v>0.11</v>
      </c>
      <c r="H1055" s="956">
        <v>0.11</v>
      </c>
      <c r="I1055" s="956">
        <v>0.11</v>
      </c>
      <c r="J1055" s="956">
        <v>0.11</v>
      </c>
      <c r="K1055" s="956">
        <v>0.11</v>
      </c>
      <c r="L1055" s="956">
        <v>0.11</v>
      </c>
      <c r="M1055" s="956">
        <v>0.11</v>
      </c>
      <c r="N1055" s="956">
        <v>0.11</v>
      </c>
      <c r="O1055" s="956">
        <v>0.11</v>
      </c>
    </row>
    <row r="1056" spans="1:15">
      <c r="A1056" s="119"/>
      <c r="B1056" s="333" t="s">
        <v>1416</v>
      </c>
      <c r="C1056">
        <v>0.12</v>
      </c>
      <c r="D1056" s="953">
        <v>0.12</v>
      </c>
      <c r="E1056" s="953">
        <v>0.12</v>
      </c>
      <c r="F1056" s="953">
        <v>0.12</v>
      </c>
      <c r="G1056" s="953">
        <v>0.12</v>
      </c>
      <c r="H1056" s="953">
        <v>0.12</v>
      </c>
      <c r="I1056" s="953">
        <v>0.12</v>
      </c>
      <c r="J1056" s="953">
        <v>0.12</v>
      </c>
      <c r="K1056" s="953">
        <v>0.12</v>
      </c>
      <c r="L1056" s="953">
        <v>0.12</v>
      </c>
      <c r="M1056" s="953">
        <v>0.12</v>
      </c>
      <c r="N1056" s="953">
        <v>0.12</v>
      </c>
      <c r="O1056" s="953">
        <v>0.12</v>
      </c>
    </row>
    <row r="1057" spans="1:15">
      <c r="A1057" s="119"/>
      <c r="B1057" s="333" t="s">
        <v>1417</v>
      </c>
      <c r="C1057">
        <v>0.12</v>
      </c>
      <c r="D1057" s="953">
        <v>0.12</v>
      </c>
      <c r="E1057" s="953">
        <v>0.12</v>
      </c>
      <c r="F1057" s="953">
        <v>0.12</v>
      </c>
      <c r="G1057" s="953">
        <v>0.12</v>
      </c>
      <c r="H1057" s="953">
        <v>0.12</v>
      </c>
      <c r="I1057" s="953">
        <v>0.12</v>
      </c>
      <c r="J1057" s="953">
        <v>0.12</v>
      </c>
      <c r="K1057" s="953">
        <v>0.12</v>
      </c>
      <c r="L1057" s="953">
        <v>0.12</v>
      </c>
      <c r="M1057" s="953">
        <v>0.12</v>
      </c>
      <c r="N1057" s="953">
        <v>0.12</v>
      </c>
      <c r="O1057" s="953">
        <v>0.12</v>
      </c>
    </row>
    <row r="1058" spans="1:15">
      <c r="A1058" s="119"/>
      <c r="B1058" s="333" t="s">
        <v>1418</v>
      </c>
      <c r="C1058">
        <v>0.11</v>
      </c>
      <c r="D1058" s="953">
        <v>0.11</v>
      </c>
      <c r="E1058" s="953">
        <v>0.11</v>
      </c>
      <c r="F1058" s="953">
        <v>0.11</v>
      </c>
      <c r="G1058" s="953">
        <v>0.11</v>
      </c>
      <c r="H1058" s="953">
        <v>0.11</v>
      </c>
      <c r="I1058" s="953">
        <v>0.11</v>
      </c>
      <c r="J1058" s="953">
        <v>0.11</v>
      </c>
      <c r="K1058" s="953">
        <v>0.11</v>
      </c>
      <c r="L1058" s="953">
        <v>0.11</v>
      </c>
      <c r="M1058" s="953">
        <v>0.11</v>
      </c>
      <c r="N1058" s="953">
        <v>0.11</v>
      </c>
      <c r="O1058" s="953">
        <v>0.11</v>
      </c>
    </row>
    <row r="1059" spans="1:15">
      <c r="A1059" s="119"/>
      <c r="B1059" s="333" t="s">
        <v>1419</v>
      </c>
      <c r="C1059">
        <v>7.0000000000000007E-2</v>
      </c>
      <c r="D1059" s="953">
        <v>7.0000000000000007E-2</v>
      </c>
      <c r="E1059" s="953">
        <v>7.0000000000000007E-2</v>
      </c>
      <c r="F1059" s="953">
        <v>7.0000000000000007E-2</v>
      </c>
      <c r="G1059" s="953">
        <v>7.0000000000000007E-2</v>
      </c>
      <c r="H1059" s="953">
        <v>7.0000000000000007E-2</v>
      </c>
      <c r="I1059" s="953">
        <v>7.0000000000000007E-2</v>
      </c>
      <c r="J1059" s="953">
        <v>7.0000000000000007E-2</v>
      </c>
      <c r="K1059" s="953">
        <v>7.0000000000000007E-2</v>
      </c>
      <c r="L1059" s="953">
        <v>7.0000000000000007E-2</v>
      </c>
      <c r="M1059" s="953">
        <v>7.0000000000000007E-2</v>
      </c>
      <c r="N1059" s="953">
        <v>7.0000000000000007E-2</v>
      </c>
      <c r="O1059" s="953">
        <v>7.0000000000000007E-2</v>
      </c>
    </row>
    <row r="1060" spans="1:15">
      <c r="A1060" s="119"/>
      <c r="B1060" s="333" t="s">
        <v>1420</v>
      </c>
      <c r="C1060">
        <v>7.0000000000000007E-2</v>
      </c>
      <c r="D1060" s="956">
        <v>0.06</v>
      </c>
      <c r="E1060" s="956">
        <v>0.06</v>
      </c>
      <c r="F1060" s="956">
        <v>0.06</v>
      </c>
      <c r="G1060" s="956">
        <v>0.06</v>
      </c>
      <c r="H1060" s="956">
        <v>0.06</v>
      </c>
      <c r="I1060" s="956">
        <v>0.06</v>
      </c>
      <c r="J1060" s="956">
        <v>0.06</v>
      </c>
      <c r="K1060" s="956">
        <v>0.06</v>
      </c>
      <c r="L1060" s="956">
        <v>0.06</v>
      </c>
      <c r="M1060" s="956">
        <v>0.06</v>
      </c>
      <c r="N1060" s="956">
        <v>0.06</v>
      </c>
      <c r="O1060" s="956">
        <v>0.06</v>
      </c>
    </row>
    <row r="1062" spans="1:15">
      <c r="A1062" s="119">
        <v>7.1</v>
      </c>
      <c r="B1062" s="331" t="s">
        <v>445</v>
      </c>
      <c r="D1062" s="953"/>
      <c r="E1062" s="953"/>
      <c r="F1062" s="953"/>
      <c r="G1062" s="953"/>
      <c r="H1062" s="953"/>
      <c r="I1062" s="953"/>
      <c r="J1062" s="953"/>
      <c r="K1062" s="953"/>
      <c r="L1062" s="953"/>
      <c r="M1062" s="953"/>
      <c r="N1062" s="953"/>
      <c r="O1062" s="953"/>
    </row>
    <row r="1063" spans="1:15">
      <c r="A1063" s="119"/>
      <c r="B1063" s="331" t="s">
        <v>1421</v>
      </c>
      <c r="C1063">
        <v>1240</v>
      </c>
      <c r="D1063" s="953">
        <v>1240</v>
      </c>
      <c r="E1063" s="953">
        <v>1240</v>
      </c>
      <c r="F1063" s="953">
        <v>1240</v>
      </c>
      <c r="G1063" s="953">
        <v>1240</v>
      </c>
      <c r="H1063" s="953">
        <v>1240</v>
      </c>
      <c r="I1063" s="953">
        <v>1240</v>
      </c>
      <c r="J1063" s="953">
        <v>1240</v>
      </c>
      <c r="K1063" s="953">
        <v>1240</v>
      </c>
      <c r="L1063" s="953">
        <v>1240</v>
      </c>
      <c r="M1063" s="953">
        <v>1240</v>
      </c>
      <c r="N1063" s="953">
        <v>1240</v>
      </c>
      <c r="O1063" s="953">
        <v>1240</v>
      </c>
    </row>
    <row r="1064" spans="1:15">
      <c r="A1064" s="119"/>
      <c r="B1064" s="331" t="s">
        <v>1422</v>
      </c>
      <c r="C1064">
        <v>10</v>
      </c>
      <c r="D1064" s="953">
        <v>10</v>
      </c>
      <c r="E1064" s="953">
        <v>10</v>
      </c>
      <c r="F1064" s="953">
        <v>10</v>
      </c>
      <c r="G1064" s="953">
        <v>10</v>
      </c>
      <c r="H1064" s="953">
        <v>10</v>
      </c>
      <c r="I1064" s="953">
        <v>10</v>
      </c>
      <c r="J1064" s="953">
        <v>10</v>
      </c>
      <c r="K1064" s="953">
        <v>10</v>
      </c>
      <c r="L1064" s="953">
        <v>10</v>
      </c>
      <c r="M1064" s="953">
        <v>10</v>
      </c>
      <c r="N1064" s="953">
        <v>10</v>
      </c>
      <c r="O1064" s="953">
        <v>10</v>
      </c>
    </row>
    <row r="1065" spans="1:15">
      <c r="A1065" s="119"/>
      <c r="B1065" s="331" t="s">
        <v>1423</v>
      </c>
      <c r="C1065">
        <v>124</v>
      </c>
      <c r="D1065" s="953">
        <v>124</v>
      </c>
      <c r="E1065" s="953">
        <v>124</v>
      </c>
      <c r="F1065" s="953">
        <v>124</v>
      </c>
      <c r="G1065" s="953">
        <v>124</v>
      </c>
      <c r="H1065" s="953">
        <v>124</v>
      </c>
      <c r="I1065" s="953">
        <v>124</v>
      </c>
      <c r="J1065" s="953">
        <v>124</v>
      </c>
      <c r="K1065" s="953">
        <v>124</v>
      </c>
      <c r="L1065" s="953">
        <v>124</v>
      </c>
      <c r="M1065" s="953">
        <v>124</v>
      </c>
      <c r="N1065" s="953">
        <v>124</v>
      </c>
      <c r="O1065" s="953">
        <v>124</v>
      </c>
    </row>
    <row r="1067" spans="1:15">
      <c r="A1067" s="119">
        <v>7.2</v>
      </c>
      <c r="B1067" s="331" t="s">
        <v>427</v>
      </c>
      <c r="D1067" s="953"/>
      <c r="E1067" s="953"/>
      <c r="F1067" s="953"/>
      <c r="G1067" s="953"/>
      <c r="H1067" s="953"/>
      <c r="I1067" s="953"/>
      <c r="J1067" s="953"/>
      <c r="K1067" s="953"/>
      <c r="L1067" s="953"/>
      <c r="M1067" s="953"/>
      <c r="N1067" s="953"/>
      <c r="O1067" s="953"/>
    </row>
    <row r="1068" spans="1:15">
      <c r="A1068" s="119"/>
      <c r="B1068" s="331" t="s">
        <v>1424</v>
      </c>
      <c r="C1068">
        <v>155</v>
      </c>
      <c r="D1068" s="953">
        <v>155</v>
      </c>
      <c r="E1068" s="953">
        <v>155</v>
      </c>
      <c r="F1068" s="953">
        <v>155</v>
      </c>
      <c r="G1068" s="953">
        <v>155</v>
      </c>
      <c r="H1068" s="953">
        <v>155</v>
      </c>
      <c r="I1068" s="953">
        <v>155</v>
      </c>
      <c r="J1068" s="953">
        <v>155</v>
      </c>
      <c r="K1068" s="953">
        <v>155</v>
      </c>
      <c r="L1068" s="953">
        <v>155</v>
      </c>
      <c r="M1068" s="953">
        <v>155</v>
      </c>
      <c r="N1068" s="953">
        <v>155</v>
      </c>
      <c r="O1068" s="953">
        <v>155</v>
      </c>
    </row>
    <row r="1069" spans="1:15">
      <c r="A1069" s="119"/>
      <c r="B1069" s="331" t="s">
        <v>1425</v>
      </c>
      <c r="C1069">
        <v>1240</v>
      </c>
      <c r="D1069" s="953">
        <v>1240</v>
      </c>
      <c r="E1069" s="953">
        <v>1240</v>
      </c>
      <c r="F1069" s="953">
        <v>1240</v>
      </c>
      <c r="G1069" s="953">
        <v>1240</v>
      </c>
      <c r="H1069" s="953">
        <v>1240</v>
      </c>
      <c r="I1069" s="953">
        <v>1240</v>
      </c>
      <c r="J1069" s="953">
        <v>1240</v>
      </c>
      <c r="K1069" s="953">
        <v>1240</v>
      </c>
      <c r="L1069" s="953">
        <v>1240</v>
      </c>
      <c r="M1069" s="953">
        <v>1240</v>
      </c>
      <c r="N1069" s="953">
        <v>1240</v>
      </c>
      <c r="O1069" s="953">
        <v>1240</v>
      </c>
    </row>
    <row r="1070" spans="1:15">
      <c r="A1070" s="119"/>
      <c r="B1070" s="331" t="s">
        <v>1426</v>
      </c>
      <c r="C1070">
        <v>1240</v>
      </c>
      <c r="D1070" s="953">
        <v>1240</v>
      </c>
      <c r="E1070" s="953">
        <v>1240</v>
      </c>
      <c r="F1070" s="953">
        <v>1240</v>
      </c>
      <c r="G1070" s="953">
        <v>1240</v>
      </c>
      <c r="H1070" s="953">
        <v>1240</v>
      </c>
      <c r="I1070" s="953">
        <v>1240</v>
      </c>
      <c r="J1070" s="953">
        <v>1240</v>
      </c>
      <c r="K1070" s="953">
        <v>1240</v>
      </c>
      <c r="L1070" s="953">
        <v>1240</v>
      </c>
      <c r="M1070" s="953">
        <v>1240</v>
      </c>
      <c r="N1070" s="953">
        <v>1240</v>
      </c>
      <c r="O1070" s="953">
        <v>1240</v>
      </c>
    </row>
    <row r="1071" spans="1:15">
      <c r="A1071" s="119"/>
      <c r="B1071" s="331" t="s">
        <v>1427</v>
      </c>
      <c r="C1071">
        <v>4960</v>
      </c>
      <c r="D1071" s="953">
        <v>4960</v>
      </c>
      <c r="E1071" s="953">
        <v>4960</v>
      </c>
      <c r="F1071" s="953">
        <v>4960</v>
      </c>
      <c r="G1071" s="953">
        <v>4960</v>
      </c>
      <c r="H1071" s="953">
        <v>4960</v>
      </c>
      <c r="I1071" s="953">
        <v>4960</v>
      </c>
      <c r="J1071" s="953">
        <v>4960</v>
      </c>
      <c r="K1071" s="953">
        <v>4960</v>
      </c>
      <c r="L1071" s="953">
        <v>4960</v>
      </c>
      <c r="M1071" s="953">
        <v>4960</v>
      </c>
      <c r="N1071" s="953">
        <v>4960</v>
      </c>
      <c r="O1071" s="953">
        <v>4960</v>
      </c>
    </row>
    <row r="1072" spans="1:15">
      <c r="A1072" s="119"/>
      <c r="B1072" s="331" t="s">
        <v>1428</v>
      </c>
      <c r="C1072">
        <v>59520</v>
      </c>
      <c r="D1072" s="953">
        <v>59520</v>
      </c>
      <c r="E1072" s="953">
        <v>59520</v>
      </c>
      <c r="F1072" s="953">
        <v>59520</v>
      </c>
      <c r="G1072" s="953">
        <v>59520</v>
      </c>
      <c r="H1072" s="953">
        <v>59520</v>
      </c>
      <c r="I1072" s="953">
        <v>59520</v>
      </c>
      <c r="J1072" s="953">
        <v>59520</v>
      </c>
      <c r="K1072" s="953">
        <v>59520</v>
      </c>
      <c r="L1072" s="953">
        <v>59520</v>
      </c>
      <c r="M1072" s="953">
        <v>59520</v>
      </c>
      <c r="N1072" s="953">
        <v>59520</v>
      </c>
      <c r="O1072" s="953">
        <v>59520</v>
      </c>
    </row>
    <row r="1073" spans="1:15">
      <c r="A1073" s="119"/>
      <c r="B1073" s="331" t="s">
        <v>1429</v>
      </c>
      <c r="C1073">
        <v>155</v>
      </c>
      <c r="D1073" s="953">
        <v>155</v>
      </c>
      <c r="E1073" s="953">
        <v>155</v>
      </c>
      <c r="F1073" s="953">
        <v>155</v>
      </c>
      <c r="G1073" s="953">
        <v>155</v>
      </c>
      <c r="H1073" s="953">
        <v>155</v>
      </c>
      <c r="I1073" s="953">
        <v>155</v>
      </c>
      <c r="J1073" s="953">
        <v>155</v>
      </c>
      <c r="K1073" s="953">
        <v>155</v>
      </c>
      <c r="L1073" s="953">
        <v>155</v>
      </c>
      <c r="M1073" s="953">
        <v>155</v>
      </c>
      <c r="N1073" s="953">
        <v>155</v>
      </c>
      <c r="O1073" s="953">
        <v>155</v>
      </c>
    </row>
    <row r="1074" spans="1:15">
      <c r="A1074" s="119"/>
      <c r="B1074" s="331" t="s">
        <v>1430</v>
      </c>
      <c r="C1074">
        <v>1240</v>
      </c>
      <c r="D1074" s="953">
        <v>1240</v>
      </c>
      <c r="E1074" s="953">
        <v>1240</v>
      </c>
      <c r="F1074" s="953">
        <v>1240</v>
      </c>
      <c r="G1074" s="953">
        <v>1240</v>
      </c>
      <c r="H1074" s="953">
        <v>1240</v>
      </c>
      <c r="I1074" s="953">
        <v>1240</v>
      </c>
      <c r="J1074" s="953">
        <v>1240</v>
      </c>
      <c r="K1074" s="953">
        <v>1240</v>
      </c>
      <c r="L1074" s="953">
        <v>1240</v>
      </c>
      <c r="M1074" s="953">
        <v>1240</v>
      </c>
      <c r="N1074" s="953">
        <v>1240</v>
      </c>
      <c r="O1074" s="953">
        <v>1240</v>
      </c>
    </row>
    <row r="1075" spans="1:15">
      <c r="A1075" s="119"/>
      <c r="B1075" s="331" t="s">
        <v>1431</v>
      </c>
      <c r="C1075">
        <v>1240</v>
      </c>
      <c r="D1075" s="953">
        <v>1240</v>
      </c>
      <c r="E1075" s="953">
        <v>1240</v>
      </c>
      <c r="F1075" s="953">
        <v>1240</v>
      </c>
      <c r="G1075" s="953">
        <v>1240</v>
      </c>
      <c r="H1075" s="953">
        <v>1240</v>
      </c>
      <c r="I1075" s="953">
        <v>1240</v>
      </c>
      <c r="J1075" s="953">
        <v>1240</v>
      </c>
      <c r="K1075" s="953">
        <v>1240</v>
      </c>
      <c r="L1075" s="953">
        <v>1240</v>
      </c>
      <c r="M1075" s="953">
        <v>1240</v>
      </c>
      <c r="N1075" s="953">
        <v>1240</v>
      </c>
      <c r="O1075" s="953">
        <v>1240</v>
      </c>
    </row>
    <row r="1076" spans="1:15">
      <c r="A1076" s="119"/>
      <c r="B1076" s="331" t="s">
        <v>1432</v>
      </c>
      <c r="C1076">
        <v>4960</v>
      </c>
      <c r="D1076" s="953">
        <v>4960</v>
      </c>
      <c r="E1076" s="953">
        <v>4960</v>
      </c>
      <c r="F1076" s="953">
        <v>4960</v>
      </c>
      <c r="G1076" s="953">
        <v>4960</v>
      </c>
      <c r="H1076" s="953">
        <v>4960</v>
      </c>
      <c r="I1076" s="953">
        <v>4960</v>
      </c>
      <c r="J1076" s="953">
        <v>4960</v>
      </c>
      <c r="K1076" s="953">
        <v>4960</v>
      </c>
      <c r="L1076" s="953">
        <v>4960</v>
      </c>
      <c r="M1076" s="953">
        <v>4960</v>
      </c>
      <c r="N1076" s="953">
        <v>4960</v>
      </c>
      <c r="O1076" s="953">
        <v>4960</v>
      </c>
    </row>
    <row r="1077" spans="1:15">
      <c r="A1077" s="119"/>
      <c r="B1077" s="331" t="s">
        <v>1433</v>
      </c>
      <c r="C1077">
        <v>59520</v>
      </c>
      <c r="D1077" s="953">
        <v>59520</v>
      </c>
      <c r="E1077" s="953">
        <v>59520</v>
      </c>
      <c r="F1077" s="953">
        <v>59520</v>
      </c>
      <c r="G1077" s="953">
        <v>59520</v>
      </c>
      <c r="H1077" s="953">
        <v>59520</v>
      </c>
      <c r="I1077" s="953">
        <v>59520</v>
      </c>
      <c r="J1077" s="953">
        <v>59520</v>
      </c>
      <c r="K1077" s="953">
        <v>59520</v>
      </c>
      <c r="L1077" s="953">
        <v>59520</v>
      </c>
      <c r="M1077" s="953">
        <v>59520</v>
      </c>
      <c r="N1077" s="953">
        <v>59520</v>
      </c>
      <c r="O1077" s="953">
        <v>59520</v>
      </c>
    </row>
    <row r="1078" spans="1:15">
      <c r="A1078" s="119"/>
      <c r="B1078" s="331" t="s">
        <v>1434</v>
      </c>
      <c r="C1078">
        <v>155</v>
      </c>
      <c r="D1078" s="953">
        <v>155</v>
      </c>
      <c r="E1078" s="953">
        <v>155</v>
      </c>
      <c r="F1078" s="953">
        <v>155</v>
      </c>
      <c r="G1078" s="953">
        <v>155</v>
      </c>
      <c r="H1078" s="953">
        <v>155</v>
      </c>
      <c r="I1078" s="953">
        <v>155</v>
      </c>
      <c r="J1078" s="953">
        <v>155</v>
      </c>
      <c r="K1078" s="953">
        <v>155</v>
      </c>
      <c r="L1078" s="953">
        <v>155</v>
      </c>
      <c r="M1078" s="953">
        <v>155</v>
      </c>
      <c r="N1078" s="953">
        <v>155</v>
      </c>
      <c r="O1078" s="953">
        <v>155</v>
      </c>
    </row>
    <row r="1079" spans="1:15">
      <c r="A1079" s="119"/>
      <c r="B1079" s="331" t="s">
        <v>1435</v>
      </c>
      <c r="C1079">
        <v>1240</v>
      </c>
      <c r="D1079" s="953">
        <v>1240</v>
      </c>
      <c r="E1079" s="953">
        <v>1240</v>
      </c>
      <c r="F1079" s="953">
        <v>1240</v>
      </c>
      <c r="G1079" s="953">
        <v>1240</v>
      </c>
      <c r="H1079" s="953">
        <v>1240</v>
      </c>
      <c r="I1079" s="953">
        <v>1240</v>
      </c>
      <c r="J1079" s="953">
        <v>1240</v>
      </c>
      <c r="K1079" s="953">
        <v>1240</v>
      </c>
      <c r="L1079" s="953">
        <v>1240</v>
      </c>
      <c r="M1079" s="953">
        <v>1240</v>
      </c>
      <c r="N1079" s="953">
        <v>1240</v>
      </c>
      <c r="O1079" s="953">
        <v>1240</v>
      </c>
    </row>
    <row r="1080" spans="1:15">
      <c r="A1080" s="119"/>
      <c r="B1080" s="331" t="s">
        <v>1436</v>
      </c>
      <c r="C1080">
        <v>1240</v>
      </c>
      <c r="D1080" s="953">
        <v>1240</v>
      </c>
      <c r="E1080" s="953">
        <v>1240</v>
      </c>
      <c r="F1080" s="953">
        <v>1240</v>
      </c>
      <c r="G1080" s="953">
        <v>1240</v>
      </c>
      <c r="H1080" s="953">
        <v>1240</v>
      </c>
      <c r="I1080" s="953">
        <v>1240</v>
      </c>
      <c r="J1080" s="953">
        <v>1240</v>
      </c>
      <c r="K1080" s="953">
        <v>1240</v>
      </c>
      <c r="L1080" s="953">
        <v>1240</v>
      </c>
      <c r="M1080" s="953">
        <v>1240</v>
      </c>
      <c r="N1080" s="953">
        <v>1240</v>
      </c>
      <c r="O1080" s="953">
        <v>1240</v>
      </c>
    </row>
    <row r="1081" spans="1:15">
      <c r="A1081" s="119"/>
      <c r="B1081" s="331" t="s">
        <v>1437</v>
      </c>
      <c r="C1081">
        <v>4960</v>
      </c>
      <c r="D1081" s="953">
        <v>4960</v>
      </c>
      <c r="E1081" s="953">
        <v>4960</v>
      </c>
      <c r="F1081" s="953">
        <v>4960</v>
      </c>
      <c r="G1081" s="953">
        <v>4960</v>
      </c>
      <c r="H1081" s="953">
        <v>4960</v>
      </c>
      <c r="I1081" s="953">
        <v>4960</v>
      </c>
      <c r="J1081" s="953">
        <v>4960</v>
      </c>
      <c r="K1081" s="953">
        <v>4960</v>
      </c>
      <c r="L1081" s="953">
        <v>4960</v>
      </c>
      <c r="M1081" s="953">
        <v>4960</v>
      </c>
      <c r="N1081" s="953">
        <v>4960</v>
      </c>
      <c r="O1081" s="953">
        <v>4960</v>
      </c>
    </row>
    <row r="1082" spans="1:15">
      <c r="A1082" s="119"/>
      <c r="B1082" s="331" t="s">
        <v>1438</v>
      </c>
      <c r="C1082">
        <v>59520</v>
      </c>
      <c r="D1082" s="953">
        <v>59520</v>
      </c>
      <c r="E1082" s="953">
        <v>59520</v>
      </c>
      <c r="F1082" s="953">
        <v>59520</v>
      </c>
      <c r="G1082" s="953">
        <v>59520</v>
      </c>
      <c r="H1082" s="953">
        <v>59520</v>
      </c>
      <c r="I1082" s="953">
        <v>59520</v>
      </c>
      <c r="J1082" s="953">
        <v>59520</v>
      </c>
      <c r="K1082" s="953">
        <v>59520</v>
      </c>
      <c r="L1082" s="953">
        <v>59520</v>
      </c>
      <c r="M1082" s="953">
        <v>59520</v>
      </c>
      <c r="N1082" s="953">
        <v>59520</v>
      </c>
      <c r="O1082" s="953">
        <v>59520</v>
      </c>
    </row>
    <row r="1083" spans="1:15">
      <c r="A1083" s="119"/>
      <c r="B1083" s="331" t="s">
        <v>1439</v>
      </c>
      <c r="C1083">
        <v>155</v>
      </c>
      <c r="D1083" s="953">
        <v>155</v>
      </c>
      <c r="E1083" s="953">
        <v>155</v>
      </c>
      <c r="F1083" s="953">
        <v>155</v>
      </c>
      <c r="G1083" s="953">
        <v>155</v>
      </c>
      <c r="H1083" s="953">
        <v>155</v>
      </c>
      <c r="I1083" s="953">
        <v>155</v>
      </c>
      <c r="J1083" s="953">
        <v>155</v>
      </c>
      <c r="K1083" s="953">
        <v>155</v>
      </c>
      <c r="L1083" s="953">
        <v>155</v>
      </c>
      <c r="M1083" s="953">
        <v>155</v>
      </c>
      <c r="N1083" s="953">
        <v>155</v>
      </c>
      <c r="O1083" s="953">
        <v>155</v>
      </c>
    </row>
    <row r="1084" spans="1:15">
      <c r="A1084" s="119"/>
      <c r="B1084" s="331" t="s">
        <v>1440</v>
      </c>
      <c r="C1084">
        <v>1240</v>
      </c>
      <c r="D1084" s="953">
        <v>1240</v>
      </c>
      <c r="E1084" s="953">
        <v>1240</v>
      </c>
      <c r="F1084" s="953">
        <v>1240</v>
      </c>
      <c r="G1084" s="953">
        <v>1240</v>
      </c>
      <c r="H1084" s="953">
        <v>1240</v>
      </c>
      <c r="I1084" s="953">
        <v>1240</v>
      </c>
      <c r="J1084" s="953">
        <v>1240</v>
      </c>
      <c r="K1084" s="953">
        <v>1240</v>
      </c>
      <c r="L1084" s="953">
        <v>1240</v>
      </c>
      <c r="M1084" s="953">
        <v>1240</v>
      </c>
      <c r="N1084" s="953">
        <v>1240</v>
      </c>
      <c r="O1084" s="953">
        <v>1240</v>
      </c>
    </row>
    <row r="1085" spans="1:15">
      <c r="A1085" s="119"/>
      <c r="B1085" s="331" t="s">
        <v>1441</v>
      </c>
      <c r="C1085">
        <v>1240</v>
      </c>
      <c r="D1085" s="953">
        <v>1240</v>
      </c>
      <c r="E1085" s="953">
        <v>1240</v>
      </c>
      <c r="F1085" s="953">
        <v>1240</v>
      </c>
      <c r="G1085" s="953">
        <v>1240</v>
      </c>
      <c r="H1085" s="953">
        <v>1240</v>
      </c>
      <c r="I1085" s="953">
        <v>1240</v>
      </c>
      <c r="J1085" s="953">
        <v>1240</v>
      </c>
      <c r="K1085" s="953">
        <v>1240</v>
      </c>
      <c r="L1085" s="953">
        <v>1240</v>
      </c>
      <c r="M1085" s="953">
        <v>1240</v>
      </c>
      <c r="N1085" s="953">
        <v>1240</v>
      </c>
      <c r="O1085" s="953">
        <v>1240</v>
      </c>
    </row>
    <row r="1086" spans="1:15">
      <c r="A1086" s="119"/>
      <c r="B1086" s="331" t="s">
        <v>1442</v>
      </c>
      <c r="C1086">
        <v>4960</v>
      </c>
      <c r="D1086" s="953">
        <v>4960</v>
      </c>
      <c r="E1086" s="953">
        <v>4960</v>
      </c>
      <c r="F1086" s="953">
        <v>4960</v>
      </c>
      <c r="G1086" s="953">
        <v>4960</v>
      </c>
      <c r="H1086" s="953">
        <v>4960</v>
      </c>
      <c r="I1086" s="953">
        <v>4960</v>
      </c>
      <c r="J1086" s="953">
        <v>4960</v>
      </c>
      <c r="K1086" s="953">
        <v>4960</v>
      </c>
      <c r="L1086" s="953">
        <v>4960</v>
      </c>
      <c r="M1086" s="953">
        <v>4960</v>
      </c>
      <c r="N1086" s="953">
        <v>4960</v>
      </c>
      <c r="O1086" s="953">
        <v>4960</v>
      </c>
    </row>
    <row r="1087" spans="1:15">
      <c r="A1087" s="119"/>
      <c r="B1087" s="331" t="s">
        <v>1443</v>
      </c>
      <c r="C1087">
        <v>59520</v>
      </c>
      <c r="D1087" s="953">
        <v>59520</v>
      </c>
      <c r="E1087" s="953">
        <v>59520</v>
      </c>
      <c r="F1087" s="953">
        <v>59520</v>
      </c>
      <c r="G1087" s="953">
        <v>59520</v>
      </c>
      <c r="H1087" s="953">
        <v>59520</v>
      </c>
      <c r="I1087" s="953">
        <v>59520</v>
      </c>
      <c r="J1087" s="953">
        <v>59520</v>
      </c>
      <c r="K1087" s="953">
        <v>59520</v>
      </c>
      <c r="L1087" s="953">
        <v>59520</v>
      </c>
      <c r="M1087" s="953">
        <v>59520</v>
      </c>
      <c r="N1087" s="953">
        <v>59520</v>
      </c>
      <c r="O1087" s="953">
        <v>59520</v>
      </c>
    </row>
    <row r="1088" spans="1:15">
      <c r="A1088" s="119"/>
      <c r="B1088" s="331" t="s">
        <v>1444</v>
      </c>
      <c r="C1088">
        <v>155</v>
      </c>
      <c r="D1088" s="953">
        <v>155</v>
      </c>
      <c r="E1088" s="953">
        <v>155</v>
      </c>
      <c r="F1088" s="953">
        <v>155</v>
      </c>
      <c r="G1088" s="953">
        <v>155</v>
      </c>
      <c r="H1088" s="953">
        <v>155</v>
      </c>
      <c r="I1088" s="953">
        <v>155</v>
      </c>
      <c r="J1088" s="953">
        <v>155</v>
      </c>
      <c r="K1088" s="953">
        <v>155</v>
      </c>
      <c r="L1088" s="953">
        <v>155</v>
      </c>
      <c r="M1088" s="953">
        <v>155</v>
      </c>
      <c r="N1088" s="953">
        <v>155</v>
      </c>
      <c r="O1088" s="953">
        <v>155</v>
      </c>
    </row>
    <row r="1089" spans="1:15">
      <c r="A1089" s="119"/>
      <c r="B1089" s="331" t="s">
        <v>1445</v>
      </c>
      <c r="C1089">
        <v>1240</v>
      </c>
      <c r="D1089" s="953">
        <v>1240</v>
      </c>
      <c r="E1089" s="953">
        <v>1240</v>
      </c>
      <c r="F1089" s="953">
        <v>1240</v>
      </c>
      <c r="G1089" s="953">
        <v>1240</v>
      </c>
      <c r="H1089" s="953">
        <v>1240</v>
      </c>
      <c r="I1089" s="953">
        <v>1240</v>
      </c>
      <c r="J1089" s="953">
        <v>1240</v>
      </c>
      <c r="K1089" s="953">
        <v>1240</v>
      </c>
      <c r="L1089" s="953">
        <v>1240</v>
      </c>
      <c r="M1089" s="953">
        <v>1240</v>
      </c>
      <c r="N1089" s="953">
        <v>1240</v>
      </c>
      <c r="O1089" s="953">
        <v>1240</v>
      </c>
    </row>
    <row r="1090" spans="1:15">
      <c r="A1090" s="119"/>
      <c r="B1090" s="331" t="s">
        <v>1446</v>
      </c>
      <c r="C1090">
        <v>1240</v>
      </c>
      <c r="D1090" s="953">
        <v>1240</v>
      </c>
      <c r="E1090" s="953">
        <v>1240</v>
      </c>
      <c r="F1090" s="953">
        <v>1240</v>
      </c>
      <c r="G1090" s="953">
        <v>1240</v>
      </c>
      <c r="H1090" s="953">
        <v>1240</v>
      </c>
      <c r="I1090" s="953">
        <v>1240</v>
      </c>
      <c r="J1090" s="953">
        <v>1240</v>
      </c>
      <c r="K1090" s="953">
        <v>1240</v>
      </c>
      <c r="L1090" s="953">
        <v>1240</v>
      </c>
      <c r="M1090" s="953">
        <v>1240</v>
      </c>
      <c r="N1090" s="953">
        <v>1240</v>
      </c>
      <c r="O1090" s="953">
        <v>1240</v>
      </c>
    </row>
    <row r="1091" spans="1:15">
      <c r="A1091" s="119"/>
      <c r="B1091" s="331" t="s">
        <v>1447</v>
      </c>
      <c r="C1091">
        <v>4960</v>
      </c>
      <c r="D1091" s="953">
        <v>4960</v>
      </c>
      <c r="E1091" s="953">
        <v>4960</v>
      </c>
      <c r="F1091" s="953">
        <v>4960</v>
      </c>
      <c r="G1091" s="953">
        <v>4960</v>
      </c>
      <c r="H1091" s="953">
        <v>4960</v>
      </c>
      <c r="I1091" s="953">
        <v>4960</v>
      </c>
      <c r="J1091" s="953">
        <v>4960</v>
      </c>
      <c r="K1091" s="953">
        <v>4960</v>
      </c>
      <c r="L1091" s="953">
        <v>4960</v>
      </c>
      <c r="M1091" s="953">
        <v>4960</v>
      </c>
      <c r="N1091" s="953">
        <v>4960</v>
      </c>
      <c r="O1091" s="953">
        <v>4960</v>
      </c>
    </row>
    <row r="1092" spans="1:15">
      <c r="A1092" s="119"/>
      <c r="B1092" s="331" t="s">
        <v>1448</v>
      </c>
      <c r="C1092">
        <v>59520</v>
      </c>
      <c r="D1092" s="953">
        <v>59520</v>
      </c>
      <c r="E1092" s="953">
        <v>59520</v>
      </c>
      <c r="F1092" s="953">
        <v>59520</v>
      </c>
      <c r="G1092" s="953">
        <v>59520</v>
      </c>
      <c r="H1092" s="953">
        <v>59520</v>
      </c>
      <c r="I1092" s="953">
        <v>59520</v>
      </c>
      <c r="J1092" s="953">
        <v>59520</v>
      </c>
      <c r="K1092" s="953">
        <v>59520</v>
      </c>
      <c r="L1092" s="953">
        <v>59520</v>
      </c>
      <c r="M1092" s="953">
        <v>59520</v>
      </c>
      <c r="N1092" s="953">
        <v>59520</v>
      </c>
      <c r="O1092" s="953">
        <v>59520</v>
      </c>
    </row>
    <row r="1093" spans="1:15">
      <c r="A1093" s="119"/>
      <c r="B1093" s="331" t="s">
        <v>1449</v>
      </c>
      <c r="C1093">
        <v>155</v>
      </c>
      <c r="D1093" s="953">
        <v>155</v>
      </c>
      <c r="E1093" s="953">
        <v>155</v>
      </c>
      <c r="F1093" s="953">
        <v>155</v>
      </c>
      <c r="G1093" s="953">
        <v>155</v>
      </c>
      <c r="H1093" s="953">
        <v>155</v>
      </c>
      <c r="I1093" s="953">
        <v>155</v>
      </c>
      <c r="J1093" s="953">
        <v>155</v>
      </c>
      <c r="K1093" s="953">
        <v>155</v>
      </c>
      <c r="L1093" s="953">
        <v>155</v>
      </c>
      <c r="M1093" s="953">
        <v>155</v>
      </c>
      <c r="N1093" s="953">
        <v>155</v>
      </c>
      <c r="O1093" s="953">
        <v>155</v>
      </c>
    </row>
    <row r="1094" spans="1:15">
      <c r="A1094" s="119"/>
      <c r="B1094" s="331" t="s">
        <v>1450</v>
      </c>
      <c r="C1094">
        <v>1240</v>
      </c>
      <c r="D1094" s="953">
        <v>1240</v>
      </c>
      <c r="E1094" s="953">
        <v>1240</v>
      </c>
      <c r="F1094" s="953">
        <v>1240</v>
      </c>
      <c r="G1094" s="953">
        <v>1240</v>
      </c>
      <c r="H1094" s="953">
        <v>1240</v>
      </c>
      <c r="I1094" s="953">
        <v>1240</v>
      </c>
      <c r="J1094" s="953">
        <v>1240</v>
      </c>
      <c r="K1094" s="953">
        <v>1240</v>
      </c>
      <c r="L1094" s="953">
        <v>1240</v>
      </c>
      <c r="M1094" s="953">
        <v>1240</v>
      </c>
      <c r="N1094" s="953">
        <v>1240</v>
      </c>
      <c r="O1094" s="953">
        <v>1240</v>
      </c>
    </row>
    <row r="1095" spans="1:15">
      <c r="A1095" s="119"/>
      <c r="B1095" s="331" t="s">
        <v>1451</v>
      </c>
      <c r="C1095">
        <v>1240</v>
      </c>
      <c r="D1095" s="953">
        <v>1240</v>
      </c>
      <c r="E1095" s="953">
        <v>1240</v>
      </c>
      <c r="F1095" s="953">
        <v>1240</v>
      </c>
      <c r="G1095" s="953">
        <v>1240</v>
      </c>
      <c r="H1095" s="953">
        <v>1240</v>
      </c>
      <c r="I1095" s="953">
        <v>1240</v>
      </c>
      <c r="J1095" s="953">
        <v>1240</v>
      </c>
      <c r="K1095" s="953">
        <v>1240</v>
      </c>
      <c r="L1095" s="953">
        <v>1240</v>
      </c>
      <c r="M1095" s="953">
        <v>1240</v>
      </c>
      <c r="N1095" s="953">
        <v>1240</v>
      </c>
      <c r="O1095" s="953">
        <v>1240</v>
      </c>
    </row>
    <row r="1096" spans="1:15">
      <c r="A1096" s="119"/>
      <c r="B1096" s="331" t="s">
        <v>1452</v>
      </c>
      <c r="C1096">
        <v>4960</v>
      </c>
      <c r="D1096" s="953">
        <v>4960</v>
      </c>
      <c r="E1096" s="953">
        <v>4960</v>
      </c>
      <c r="F1096" s="953">
        <v>4960</v>
      </c>
      <c r="G1096" s="953">
        <v>4960</v>
      </c>
      <c r="H1096" s="953">
        <v>4960</v>
      </c>
      <c r="I1096" s="953">
        <v>4960</v>
      </c>
      <c r="J1096" s="953">
        <v>4960</v>
      </c>
      <c r="K1096" s="953">
        <v>4960</v>
      </c>
      <c r="L1096" s="953">
        <v>4960</v>
      </c>
      <c r="M1096" s="953">
        <v>4960</v>
      </c>
      <c r="N1096" s="953">
        <v>4960</v>
      </c>
      <c r="O1096" s="953">
        <v>4960</v>
      </c>
    </row>
    <row r="1097" spans="1:15">
      <c r="A1097" s="119"/>
      <c r="B1097" s="331" t="s">
        <v>1453</v>
      </c>
      <c r="C1097">
        <v>59520</v>
      </c>
      <c r="D1097" s="953">
        <v>59520</v>
      </c>
      <c r="E1097" s="953">
        <v>59520</v>
      </c>
      <c r="F1097" s="953">
        <v>59520</v>
      </c>
      <c r="G1097" s="953">
        <v>59520</v>
      </c>
      <c r="H1097" s="953">
        <v>59520</v>
      </c>
      <c r="I1097" s="953">
        <v>59520</v>
      </c>
      <c r="J1097" s="953">
        <v>59520</v>
      </c>
      <c r="K1097" s="953">
        <v>59520</v>
      </c>
      <c r="L1097" s="953">
        <v>59520</v>
      </c>
      <c r="M1097" s="953">
        <v>59520</v>
      </c>
      <c r="N1097" s="953">
        <v>59520</v>
      </c>
      <c r="O1097" s="953">
        <v>59520</v>
      </c>
    </row>
    <row r="1098" spans="1:15">
      <c r="A1098" s="119"/>
      <c r="B1098" s="331" t="s">
        <v>1454</v>
      </c>
      <c r="C1098">
        <v>155</v>
      </c>
      <c r="D1098" s="953">
        <v>155</v>
      </c>
      <c r="E1098" s="953">
        <v>155</v>
      </c>
      <c r="F1098" s="953">
        <v>155</v>
      </c>
      <c r="G1098" s="953">
        <v>155</v>
      </c>
      <c r="H1098" s="953">
        <v>155</v>
      </c>
      <c r="I1098" s="953">
        <v>155</v>
      </c>
      <c r="J1098" s="953">
        <v>155</v>
      </c>
      <c r="K1098" s="953">
        <v>155</v>
      </c>
      <c r="L1098" s="953">
        <v>155</v>
      </c>
      <c r="M1098" s="953">
        <v>155</v>
      </c>
      <c r="N1098" s="953">
        <v>155</v>
      </c>
      <c r="O1098" s="953">
        <v>155</v>
      </c>
    </row>
    <row r="1099" spans="1:15">
      <c r="A1099" s="119"/>
      <c r="B1099" s="331" t="s">
        <v>1455</v>
      </c>
      <c r="C1099">
        <v>1240</v>
      </c>
      <c r="D1099" s="953">
        <v>1240</v>
      </c>
      <c r="E1099" s="953">
        <v>1240</v>
      </c>
      <c r="F1099" s="953">
        <v>1240</v>
      </c>
      <c r="G1099" s="953">
        <v>1240</v>
      </c>
      <c r="H1099" s="953">
        <v>1240</v>
      </c>
      <c r="I1099" s="953">
        <v>1240</v>
      </c>
      <c r="J1099" s="953">
        <v>1240</v>
      </c>
      <c r="K1099" s="953">
        <v>1240</v>
      </c>
      <c r="L1099" s="953">
        <v>1240</v>
      </c>
      <c r="M1099" s="953">
        <v>1240</v>
      </c>
      <c r="N1099" s="953">
        <v>1240</v>
      </c>
      <c r="O1099" s="953">
        <v>1240</v>
      </c>
    </row>
    <row r="1100" spans="1:15">
      <c r="A1100" s="119"/>
      <c r="B1100" s="331" t="s">
        <v>1456</v>
      </c>
      <c r="C1100">
        <v>1240</v>
      </c>
      <c r="D1100" s="953">
        <v>1240</v>
      </c>
      <c r="E1100" s="953">
        <v>1240</v>
      </c>
      <c r="F1100" s="953">
        <v>1240</v>
      </c>
      <c r="G1100" s="953">
        <v>1240</v>
      </c>
      <c r="H1100" s="953">
        <v>1240</v>
      </c>
      <c r="I1100" s="953">
        <v>1240</v>
      </c>
      <c r="J1100" s="953">
        <v>1240</v>
      </c>
      <c r="K1100" s="953">
        <v>1240</v>
      </c>
      <c r="L1100" s="953">
        <v>1240</v>
      </c>
      <c r="M1100" s="953">
        <v>1240</v>
      </c>
      <c r="N1100" s="953">
        <v>1240</v>
      </c>
      <c r="O1100" s="953">
        <v>1240</v>
      </c>
    </row>
    <row r="1101" spans="1:15">
      <c r="A1101" s="119"/>
      <c r="B1101" s="331" t="s">
        <v>1457</v>
      </c>
      <c r="C1101">
        <v>4960</v>
      </c>
      <c r="D1101" s="953">
        <v>4960</v>
      </c>
      <c r="E1101" s="953">
        <v>4960</v>
      </c>
      <c r="F1101" s="953">
        <v>4960</v>
      </c>
      <c r="G1101" s="953">
        <v>4960</v>
      </c>
      <c r="H1101" s="953">
        <v>4960</v>
      </c>
      <c r="I1101" s="953">
        <v>4960</v>
      </c>
      <c r="J1101" s="953">
        <v>4960</v>
      </c>
      <c r="K1101" s="953">
        <v>4960</v>
      </c>
      <c r="L1101" s="953">
        <v>4960</v>
      </c>
      <c r="M1101" s="953">
        <v>4960</v>
      </c>
      <c r="N1101" s="953">
        <v>4960</v>
      </c>
      <c r="O1101" s="953">
        <v>4960</v>
      </c>
    </row>
    <row r="1102" spans="1:15">
      <c r="A1102" s="119"/>
      <c r="B1102" s="331" t="s">
        <v>1458</v>
      </c>
      <c r="C1102">
        <v>59520</v>
      </c>
      <c r="D1102" s="953">
        <v>59520</v>
      </c>
      <c r="E1102" s="953">
        <v>59520</v>
      </c>
      <c r="F1102" s="953">
        <v>59520</v>
      </c>
      <c r="G1102" s="953">
        <v>59520</v>
      </c>
      <c r="H1102" s="953">
        <v>59520</v>
      </c>
      <c r="I1102" s="953">
        <v>59520</v>
      </c>
      <c r="J1102" s="953">
        <v>59520</v>
      </c>
      <c r="K1102" s="953">
        <v>59520</v>
      </c>
      <c r="L1102" s="953">
        <v>59520</v>
      </c>
      <c r="M1102" s="953">
        <v>59520</v>
      </c>
      <c r="N1102" s="953">
        <v>59520</v>
      </c>
      <c r="O1102" s="953">
        <v>59520</v>
      </c>
    </row>
    <row r="1103" spans="1:15">
      <c r="A1103" s="119"/>
      <c r="B1103" s="331" t="s">
        <v>1459</v>
      </c>
      <c r="C1103">
        <v>155</v>
      </c>
      <c r="D1103" s="953">
        <v>155</v>
      </c>
      <c r="E1103" s="953">
        <v>155</v>
      </c>
      <c r="F1103" s="953">
        <v>155</v>
      </c>
      <c r="G1103" s="953">
        <v>155</v>
      </c>
      <c r="H1103" s="953">
        <v>155</v>
      </c>
      <c r="I1103" s="953">
        <v>155</v>
      </c>
      <c r="J1103" s="953">
        <v>155</v>
      </c>
      <c r="K1103" s="953">
        <v>155</v>
      </c>
      <c r="L1103" s="953">
        <v>155</v>
      </c>
      <c r="M1103" s="953">
        <v>155</v>
      </c>
      <c r="N1103" s="953">
        <v>155</v>
      </c>
      <c r="O1103" s="953">
        <v>155</v>
      </c>
    </row>
    <row r="1104" spans="1:15">
      <c r="A1104" s="119"/>
      <c r="B1104" s="331" t="s">
        <v>1460</v>
      </c>
      <c r="C1104">
        <v>1240</v>
      </c>
      <c r="D1104" s="953">
        <v>1240</v>
      </c>
      <c r="E1104" s="953">
        <v>1240</v>
      </c>
      <c r="F1104" s="953">
        <v>1240</v>
      </c>
      <c r="G1104" s="953">
        <v>1240</v>
      </c>
      <c r="H1104" s="953">
        <v>1240</v>
      </c>
      <c r="I1104" s="953">
        <v>1240</v>
      </c>
      <c r="J1104" s="953">
        <v>1240</v>
      </c>
      <c r="K1104" s="953">
        <v>1240</v>
      </c>
      <c r="L1104" s="953">
        <v>1240</v>
      </c>
      <c r="M1104" s="953">
        <v>1240</v>
      </c>
      <c r="N1104" s="953">
        <v>1240</v>
      </c>
      <c r="O1104" s="953">
        <v>1240</v>
      </c>
    </row>
    <row r="1105" spans="1:15">
      <c r="A1105" s="119"/>
      <c r="B1105" s="331" t="s">
        <v>1461</v>
      </c>
      <c r="C1105">
        <v>1240</v>
      </c>
      <c r="D1105" s="953">
        <v>1240</v>
      </c>
      <c r="E1105" s="953">
        <v>1240</v>
      </c>
      <c r="F1105" s="953">
        <v>1240</v>
      </c>
      <c r="G1105" s="953">
        <v>1240</v>
      </c>
      <c r="H1105" s="953">
        <v>1240</v>
      </c>
      <c r="I1105" s="953">
        <v>1240</v>
      </c>
      <c r="J1105" s="953">
        <v>1240</v>
      </c>
      <c r="K1105" s="953">
        <v>1240</v>
      </c>
      <c r="L1105" s="953">
        <v>1240</v>
      </c>
      <c r="M1105" s="953">
        <v>1240</v>
      </c>
      <c r="N1105" s="953">
        <v>1240</v>
      </c>
      <c r="O1105" s="953">
        <v>1240</v>
      </c>
    </row>
    <row r="1106" spans="1:15">
      <c r="A1106" s="119"/>
      <c r="B1106" s="331" t="s">
        <v>1462</v>
      </c>
      <c r="C1106">
        <v>4960</v>
      </c>
      <c r="D1106" s="953">
        <v>4960</v>
      </c>
      <c r="E1106" s="953">
        <v>4960</v>
      </c>
      <c r="F1106" s="953">
        <v>4960</v>
      </c>
      <c r="G1106" s="953">
        <v>4960</v>
      </c>
      <c r="H1106" s="953">
        <v>4960</v>
      </c>
      <c r="I1106" s="953">
        <v>4960</v>
      </c>
      <c r="J1106" s="953">
        <v>4960</v>
      </c>
      <c r="K1106" s="953">
        <v>4960</v>
      </c>
      <c r="L1106" s="953">
        <v>4960</v>
      </c>
      <c r="M1106" s="953">
        <v>4960</v>
      </c>
      <c r="N1106" s="953">
        <v>4960</v>
      </c>
      <c r="O1106" s="953">
        <v>4960</v>
      </c>
    </row>
    <row r="1107" spans="1:15">
      <c r="A1107" s="119"/>
      <c r="B1107" s="331" t="s">
        <v>1463</v>
      </c>
      <c r="C1107">
        <v>59520</v>
      </c>
      <c r="D1107" s="953">
        <v>59520</v>
      </c>
      <c r="E1107" s="953">
        <v>59520</v>
      </c>
      <c r="F1107" s="953">
        <v>59520</v>
      </c>
      <c r="G1107" s="953">
        <v>59520</v>
      </c>
      <c r="H1107" s="953">
        <v>59520</v>
      </c>
      <c r="I1107" s="953">
        <v>59520</v>
      </c>
      <c r="J1107" s="953">
        <v>59520</v>
      </c>
      <c r="K1107" s="953">
        <v>59520</v>
      </c>
      <c r="L1107" s="953">
        <v>59520</v>
      </c>
      <c r="M1107" s="953">
        <v>59520</v>
      </c>
      <c r="N1107" s="953">
        <v>59520</v>
      </c>
      <c r="O1107" s="953">
        <v>59520</v>
      </c>
    </row>
    <row r="1108" spans="1:15">
      <c r="A1108" s="119"/>
      <c r="B1108" s="331"/>
    </row>
    <row r="1109" spans="1:15">
      <c r="A1109" s="119"/>
      <c r="B1109" s="331"/>
    </row>
    <row r="1110" spans="1:15">
      <c r="A1110" s="119"/>
      <c r="B1110" s="331"/>
    </row>
    <row r="1111" spans="1:15">
      <c r="A1111" s="119"/>
      <c r="B1111" s="331"/>
    </row>
    <row r="1112" spans="1:15">
      <c r="A1112" s="119"/>
      <c r="B1112" s="331"/>
    </row>
    <row r="1113" spans="1:15">
      <c r="A1113" s="119"/>
      <c r="B1113" s="331"/>
    </row>
    <row r="1114" spans="1:15">
      <c r="A1114" s="119"/>
      <c r="B1114" s="331"/>
    </row>
    <row r="1115" spans="1:15">
      <c r="A1115" s="119"/>
      <c r="B1115" s="331"/>
    </row>
  </sheetData>
  <sheetProtection algorithmName="SHA-512" hashValue="JGPobQHJRnUO2ZjMZaG5U7yPh+pvGstj+M9HdjkDSYwjxZnzlmg9LKfReyOsJoz9msIszzyqEmLkrv8iyvN+jw==" saltValue="0sLxv7DgIqvvNIgmHhoCjA==" spinCount="100000" sheet="1" objects="1" scenarios="1"/>
  <mergeCells count="1">
    <mergeCell ref="C1:I1"/>
  </mergeCells>
  <phoneticPr fontId="87" type="noConversion"/>
  <conditionalFormatting sqref="C50:C1112">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4953000</xdr:colOff>
                <xdr:row>1</xdr:row>
                <xdr:rowOff>104775</xdr:rowOff>
              </to>
            </anchor>
          </controlPr>
        </control>
      </mc:Choice>
      <mc:Fallback>
        <control shapeId="55297" r:id="rId4" name="ComboBox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00B0F0"/>
  </sheetPr>
  <dimension ref="A1:R1146"/>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719" customWidth="1"/>
    <col min="8" max="8" width="13.42578125" customWidth="1"/>
    <col min="9" max="9" width="14.85546875" style="520" customWidth="1"/>
    <col min="10" max="10" width="14.140625" customWidth="1"/>
    <col min="11" max="11" width="10.85546875" bestFit="1" customWidth="1"/>
    <col min="12" max="12" width="10.5703125" bestFit="1" customWidth="1"/>
    <col min="15" max="15" width="9.140625" style="520"/>
    <col min="18" max="18" width="9.140625" style="520"/>
  </cols>
  <sheetData>
    <row r="1" spans="1:9" customFormat="1" ht="15.75" customHeight="1"/>
    <row r="2" spans="1:9" customFormat="1" ht="15.75">
      <c r="B2" s="362" t="str">
        <f>"Cycle in Calculation "&amp;MCSCycle</f>
        <v>Cycle in Calculation 4</v>
      </c>
      <c r="C2" s="362" t="str">
        <f>"Required Number of Interactions "&amp;MCSRun</f>
        <v>Required Number of Interactions 30</v>
      </c>
      <c r="G2" s="362" t="str">
        <f>"Current interaction "&amp;MCSInt</f>
        <v>Current interaction 0</v>
      </c>
    </row>
    <row r="3" spans="1:9" customFormat="1" ht="15.75">
      <c r="A3" s="363">
        <v>0</v>
      </c>
      <c r="B3" s="364" t="s">
        <v>531</v>
      </c>
      <c r="C3" s="365"/>
      <c r="D3" s="366"/>
      <c r="E3" s="366"/>
      <c r="F3" s="366"/>
      <c r="G3" s="362"/>
    </row>
    <row r="4" spans="1:9" customFormat="1" ht="15.75">
      <c r="B4" s="367" t="s">
        <v>532</v>
      </c>
      <c r="C4" s="368" t="s">
        <v>533</v>
      </c>
      <c r="D4" s="369" t="s">
        <v>534</v>
      </c>
      <c r="E4" s="370" t="s">
        <v>157</v>
      </c>
      <c r="F4" s="370" t="s">
        <v>156</v>
      </c>
      <c r="G4" s="370" t="s">
        <v>535</v>
      </c>
      <c r="H4" s="370" t="s">
        <v>536</v>
      </c>
      <c r="I4" s="370" t="s">
        <v>537</v>
      </c>
    </row>
    <row r="5" spans="1:9" customFormat="1" ht="15.75">
      <c r="B5" s="371"/>
      <c r="C5" s="372"/>
      <c r="D5" s="367"/>
      <c r="E5" s="371"/>
      <c r="F5" s="371"/>
      <c r="G5" s="371">
        <v>0</v>
      </c>
      <c r="H5" s="371">
        <v>0.5</v>
      </c>
      <c r="I5" s="373">
        <v>0.05</v>
      </c>
    </row>
    <row r="6" spans="1:9" customFormat="1" ht="15.75">
      <c r="B6" s="374"/>
      <c r="C6" s="375" t="s">
        <v>101</v>
      </c>
      <c r="D6" s="376" t="s">
        <v>0</v>
      </c>
      <c r="E6" s="374"/>
      <c r="F6" s="374"/>
      <c r="G6" s="374"/>
      <c r="H6" s="374"/>
      <c r="I6" s="377"/>
    </row>
    <row r="7" spans="1:9" customFormat="1" ht="15.75">
      <c r="B7" s="937">
        <v>1.25</v>
      </c>
      <c r="C7" s="936"/>
      <c r="D7" s="936" t="s">
        <v>447</v>
      </c>
      <c r="E7" s="936"/>
      <c r="F7" s="936"/>
      <c r="G7" s="936"/>
      <c r="H7" s="936"/>
      <c r="I7" s="936"/>
    </row>
    <row r="8" spans="1:9" customFormat="1" ht="15.75">
      <c r="B8" s="935">
        <v>1.26</v>
      </c>
      <c r="C8" s="933"/>
      <c r="D8" s="933" t="s">
        <v>447</v>
      </c>
      <c r="E8" s="933"/>
      <c r="F8" s="933"/>
      <c r="G8" s="933"/>
      <c r="H8" s="933"/>
      <c r="I8" s="933"/>
    </row>
    <row r="9" spans="1:9" customFormat="1" ht="15.75">
      <c r="B9" s="935">
        <v>1.31</v>
      </c>
      <c r="C9" s="933" t="s">
        <v>118</v>
      </c>
      <c r="D9" s="933" t="s">
        <v>447</v>
      </c>
      <c r="E9" s="933"/>
      <c r="F9" s="933"/>
      <c r="G9" s="933"/>
      <c r="H9" s="933"/>
      <c r="I9" s="933"/>
    </row>
    <row r="10" spans="1:9" customFormat="1" ht="15.75">
      <c r="B10" s="935">
        <v>1.41</v>
      </c>
      <c r="C10" s="933"/>
      <c r="D10" s="933" t="s">
        <v>447</v>
      </c>
      <c r="E10" s="933"/>
      <c r="F10" s="933"/>
      <c r="G10" s="933"/>
      <c r="H10" s="933"/>
      <c r="I10" s="933"/>
    </row>
    <row r="11" spans="1:9" customFormat="1" ht="15.75">
      <c r="B11" s="935">
        <v>1.41</v>
      </c>
      <c r="C11" s="933" t="s">
        <v>538</v>
      </c>
      <c r="D11" s="933"/>
      <c r="E11" s="933"/>
      <c r="F11" s="933"/>
      <c r="G11" s="933">
        <v>5.5E-2</v>
      </c>
      <c r="H11" s="933">
        <v>8.2000000000000003E-2</v>
      </c>
      <c r="I11" s="933"/>
    </row>
    <row r="12" spans="1:9" customFormat="1" ht="15.75">
      <c r="B12" s="935">
        <v>1.41</v>
      </c>
      <c r="C12" s="933" t="s">
        <v>539</v>
      </c>
      <c r="D12" s="933"/>
      <c r="E12" s="933"/>
      <c r="F12" s="933"/>
      <c r="G12" s="933">
        <v>5.5E-2</v>
      </c>
      <c r="H12" s="933">
        <v>8.2000000000000003E-2</v>
      </c>
      <c r="I12" s="933"/>
    </row>
    <row r="13" spans="1:9" customFormat="1" ht="15.75">
      <c r="B13" s="935">
        <v>1.41</v>
      </c>
      <c r="C13" s="933" t="s">
        <v>540</v>
      </c>
      <c r="D13" s="933"/>
      <c r="E13" s="933"/>
      <c r="F13" s="933"/>
      <c r="G13" s="933">
        <v>5.5E-2</v>
      </c>
      <c r="H13" s="933">
        <v>8.2000000000000003E-2</v>
      </c>
      <c r="I13" s="933"/>
    </row>
    <row r="14" spans="1:9" customFormat="1" ht="15.75">
      <c r="B14" s="935">
        <v>1.24</v>
      </c>
      <c r="C14" s="933"/>
      <c r="D14" s="933" t="s">
        <v>447</v>
      </c>
      <c r="E14" s="933"/>
      <c r="F14" s="933"/>
      <c r="G14" s="933"/>
      <c r="H14" s="933"/>
      <c r="I14" s="933"/>
    </row>
    <row r="15" spans="1:9" customFormat="1" ht="15.75">
      <c r="B15" s="935">
        <v>1.1200000000000001</v>
      </c>
      <c r="C15" s="933" t="s">
        <v>448</v>
      </c>
      <c r="D15" s="933"/>
      <c r="E15" s="933"/>
      <c r="F15" s="933"/>
      <c r="G15" s="933">
        <v>0</v>
      </c>
      <c r="H15" s="933">
        <v>0.35</v>
      </c>
      <c r="I15" s="933"/>
    </row>
    <row r="16" spans="1:9" customFormat="1" ht="15.75">
      <c r="B16" s="935">
        <v>1.1200000000000001</v>
      </c>
      <c r="C16" s="933" t="s">
        <v>449</v>
      </c>
      <c r="D16" s="933"/>
      <c r="E16" s="933"/>
      <c r="F16" s="933"/>
      <c r="G16" s="933">
        <v>0</v>
      </c>
      <c r="H16" s="933">
        <v>0.35</v>
      </c>
      <c r="I16" s="933"/>
    </row>
    <row r="17" spans="2:18" ht="15.75">
      <c r="B17" s="935">
        <v>1.21</v>
      </c>
      <c r="C17" s="933" t="s">
        <v>551</v>
      </c>
      <c r="D17" s="933" t="s">
        <v>0</v>
      </c>
      <c r="E17" s="933"/>
      <c r="F17" s="933"/>
      <c r="G17" s="933"/>
      <c r="H17" s="933"/>
      <c r="I17" s="933"/>
      <c r="O17"/>
      <c r="R17"/>
    </row>
    <row r="18" spans="2:18" ht="15.75">
      <c r="B18" s="935">
        <v>1.21</v>
      </c>
      <c r="C18" s="933" t="s">
        <v>552</v>
      </c>
      <c r="D18" s="933" t="s">
        <v>0</v>
      </c>
      <c r="E18" s="933"/>
      <c r="F18" s="933"/>
      <c r="G18" s="933"/>
      <c r="H18" s="933"/>
      <c r="I18" s="933"/>
      <c r="O18"/>
      <c r="R18"/>
    </row>
    <row r="19" spans="2:18" ht="15.75">
      <c r="B19" s="935">
        <v>1.21</v>
      </c>
      <c r="C19" s="933" t="s">
        <v>553</v>
      </c>
      <c r="D19" s="933"/>
      <c r="E19" s="933">
        <v>1</v>
      </c>
      <c r="F19" s="933">
        <v>1.05</v>
      </c>
      <c r="G19" s="933"/>
      <c r="H19" s="933"/>
      <c r="I19" s="933"/>
      <c r="O19"/>
      <c r="R19"/>
    </row>
    <row r="20" spans="2:18" ht="15.75">
      <c r="B20" s="935">
        <v>1.22</v>
      </c>
      <c r="C20" s="933" t="s">
        <v>554</v>
      </c>
      <c r="D20" s="933" t="s">
        <v>0</v>
      </c>
      <c r="E20" s="933"/>
      <c r="F20" s="933"/>
      <c r="G20" s="933"/>
      <c r="H20" s="933"/>
      <c r="I20" s="933"/>
      <c r="O20"/>
      <c r="R20"/>
    </row>
    <row r="21" spans="2:18" ht="15.75">
      <c r="B21" s="935">
        <v>1.22</v>
      </c>
      <c r="C21" s="933" t="s">
        <v>555</v>
      </c>
      <c r="D21" s="933"/>
      <c r="E21" s="933">
        <v>1</v>
      </c>
      <c r="F21" s="933">
        <v>1.1000000000000001</v>
      </c>
      <c r="G21" s="933"/>
      <c r="H21" s="933"/>
      <c r="I21" s="933"/>
      <c r="O21"/>
      <c r="R21"/>
    </row>
    <row r="22" spans="2:18" ht="15.75">
      <c r="B22" s="935">
        <v>1.22</v>
      </c>
      <c r="C22" s="933" t="s">
        <v>556</v>
      </c>
      <c r="D22" s="933"/>
      <c r="E22" s="933">
        <v>1</v>
      </c>
      <c r="F22" s="933">
        <v>1.1000000000000001</v>
      </c>
      <c r="G22" s="933"/>
      <c r="H22" s="933"/>
      <c r="I22" s="933"/>
      <c r="O22"/>
      <c r="R22"/>
    </row>
    <row r="23" spans="2:18" ht="15.75">
      <c r="B23" s="935">
        <v>1.23</v>
      </c>
      <c r="C23" s="933" t="s">
        <v>554</v>
      </c>
      <c r="D23" s="933" t="s">
        <v>0</v>
      </c>
      <c r="E23" s="933"/>
      <c r="F23" s="933"/>
      <c r="G23" s="933"/>
      <c r="H23" s="933"/>
      <c r="I23" s="933"/>
      <c r="O23"/>
      <c r="R23"/>
    </row>
    <row r="24" spans="2:18" ht="15.75">
      <c r="B24" s="935">
        <v>1.23</v>
      </c>
      <c r="C24" s="933" t="s">
        <v>555</v>
      </c>
      <c r="D24" s="933"/>
      <c r="E24" s="933">
        <v>1</v>
      </c>
      <c r="F24" s="933">
        <v>1.1000000000000001</v>
      </c>
      <c r="G24" s="933"/>
      <c r="H24" s="933"/>
      <c r="I24" s="933"/>
      <c r="O24"/>
      <c r="R24"/>
    </row>
    <row r="25" spans="2:18" ht="15.75">
      <c r="B25" s="935">
        <v>1.23</v>
      </c>
      <c r="C25" s="933" t="s">
        <v>556</v>
      </c>
      <c r="D25" s="933"/>
      <c r="E25" s="933">
        <v>1</v>
      </c>
      <c r="F25" s="933">
        <v>1.1000000000000001</v>
      </c>
      <c r="G25" s="933"/>
      <c r="H25" s="933"/>
      <c r="I25" s="933"/>
      <c r="O25"/>
      <c r="R25"/>
    </row>
    <row r="26" spans="2:18" ht="15.75">
      <c r="B26" s="935">
        <v>1.4119999999999999</v>
      </c>
      <c r="C26" s="933" t="s">
        <v>538</v>
      </c>
      <c r="D26" s="933"/>
      <c r="E26" s="933"/>
      <c r="F26" s="933"/>
      <c r="G26" s="933">
        <v>5.5E-2</v>
      </c>
      <c r="H26" s="933">
        <v>8.2000000000000003E-2</v>
      </c>
      <c r="I26" s="933"/>
      <c r="O26"/>
      <c r="R26"/>
    </row>
    <row r="27" spans="2:18" ht="15.75">
      <c r="B27" s="935">
        <v>1.4119999999999999</v>
      </c>
      <c r="C27" s="933" t="s">
        <v>539</v>
      </c>
      <c r="D27" s="933"/>
      <c r="E27" s="933"/>
      <c r="F27" s="933"/>
      <c r="G27" s="933">
        <v>5.5E-2</v>
      </c>
      <c r="H27" s="933">
        <v>8.2000000000000003E-2</v>
      </c>
      <c r="I27" s="933"/>
      <c r="O27"/>
      <c r="R27"/>
    </row>
    <row r="28" spans="2:18" ht="15.75">
      <c r="B28" s="935">
        <v>1.4119999999999999</v>
      </c>
      <c r="C28" s="933" t="s">
        <v>540</v>
      </c>
      <c r="D28" s="933"/>
      <c r="E28" s="933"/>
      <c r="F28" s="933"/>
      <c r="G28" s="933">
        <v>5.5E-2</v>
      </c>
      <c r="H28" s="933">
        <v>8.2000000000000003E-2</v>
      </c>
      <c r="I28" s="933"/>
      <c r="O28"/>
      <c r="R28"/>
    </row>
    <row r="29" spans="2:18" ht="15.75">
      <c r="B29" s="935">
        <v>1.413</v>
      </c>
      <c r="C29" s="933" t="s">
        <v>538</v>
      </c>
      <c r="D29" s="933"/>
      <c r="E29" s="933"/>
      <c r="F29" s="933"/>
      <c r="G29" s="933">
        <v>5.5E-2</v>
      </c>
      <c r="H29" s="933">
        <v>8.2000000000000003E-2</v>
      </c>
      <c r="I29" s="933"/>
      <c r="O29"/>
      <c r="R29"/>
    </row>
    <row r="30" spans="2:18" ht="15.75">
      <c r="B30" s="935">
        <v>1.413</v>
      </c>
      <c r="C30" s="933" t="s">
        <v>539</v>
      </c>
      <c r="D30" s="933"/>
      <c r="E30" s="933"/>
      <c r="F30" s="933"/>
      <c r="G30" s="933">
        <v>5.5E-2</v>
      </c>
      <c r="H30" s="933">
        <v>8.2000000000000003E-2</v>
      </c>
      <c r="I30" s="933"/>
      <c r="O30"/>
      <c r="R30"/>
    </row>
    <row r="31" spans="2:18" ht="15.75">
      <c r="B31" s="935">
        <v>1.413</v>
      </c>
      <c r="C31" s="933" t="s">
        <v>540</v>
      </c>
      <c r="D31" s="933"/>
      <c r="E31" s="933"/>
      <c r="F31" s="933"/>
      <c r="G31" s="933">
        <v>5.5E-2</v>
      </c>
      <c r="H31" s="933">
        <v>8.2000000000000003E-2</v>
      </c>
      <c r="I31" s="933"/>
      <c r="O31"/>
      <c r="R31"/>
    </row>
    <row r="32" spans="2:18" ht="15.75">
      <c r="B32" s="935">
        <v>1.1200000000000001</v>
      </c>
      <c r="C32" s="933" t="s">
        <v>709</v>
      </c>
      <c r="D32" s="933" t="s">
        <v>0</v>
      </c>
      <c r="E32" s="933"/>
      <c r="F32" s="933"/>
      <c r="G32" s="933"/>
      <c r="H32" s="933"/>
      <c r="I32" s="933"/>
      <c r="O32"/>
      <c r="R32"/>
    </row>
    <row r="33" spans="1:18" ht="18">
      <c r="A33" s="378"/>
      <c r="B33" s="362">
        <v>1.51</v>
      </c>
      <c r="C33" s="362" t="s">
        <v>591</v>
      </c>
      <c r="D33" t="s">
        <v>447</v>
      </c>
      <c r="G33" s="362"/>
      <c r="H33" s="379"/>
      <c r="I33" s="380"/>
      <c r="O33"/>
      <c r="R33"/>
    </row>
    <row r="34" spans="1:18" ht="18">
      <c r="A34" s="378"/>
      <c r="B34" s="362"/>
      <c r="C34" s="362"/>
      <c r="G34" s="362"/>
      <c r="H34" s="379"/>
      <c r="I34" s="380"/>
      <c r="O34"/>
      <c r="R34"/>
    </row>
    <row r="35" spans="1:18" ht="18">
      <c r="A35" s="378"/>
      <c r="B35" s="362"/>
      <c r="C35" s="362"/>
      <c r="G35" s="362"/>
      <c r="H35" s="379"/>
      <c r="I35" s="380"/>
      <c r="O35"/>
      <c r="R35"/>
    </row>
    <row r="36" spans="1:18" ht="15.75">
      <c r="A36" s="363">
        <v>1</v>
      </c>
      <c r="B36" s="364" t="s">
        <v>24</v>
      </c>
      <c r="C36" s="381"/>
      <c r="D36" s="381"/>
      <c r="E36" s="381"/>
      <c r="F36" s="381"/>
      <c r="G36"/>
      <c r="I36"/>
      <c r="O36"/>
      <c r="R36"/>
    </row>
    <row r="37" spans="1:18" ht="15.75">
      <c r="A37" s="382"/>
      <c r="B37" s="383"/>
      <c r="D37" s="1286" t="s">
        <v>541</v>
      </c>
      <c r="E37" s="1286"/>
      <c r="F37" s="1286"/>
      <c r="G37" s="1286" t="s">
        <v>542</v>
      </c>
      <c r="H37" s="1286"/>
      <c r="I37" s="1286"/>
      <c r="J37" s="1286" t="s">
        <v>543</v>
      </c>
      <c r="K37" s="1286"/>
      <c r="L37" s="384"/>
      <c r="M37" s="385"/>
      <c r="N37" s="385"/>
      <c r="O37" s="385"/>
      <c r="R37"/>
    </row>
    <row r="38" spans="1:18" ht="15.75">
      <c r="A38" s="382"/>
      <c r="B38" s="383"/>
      <c r="C38" s="386" t="s">
        <v>534</v>
      </c>
      <c r="D38" s="387" t="s">
        <v>544</v>
      </c>
      <c r="E38" s="387" t="s">
        <v>157</v>
      </c>
      <c r="F38" s="387" t="s">
        <v>156</v>
      </c>
      <c r="G38" s="387" t="s">
        <v>535</v>
      </c>
      <c r="H38" s="387" t="s">
        <v>536</v>
      </c>
      <c r="I38" s="387" t="s">
        <v>537</v>
      </c>
      <c r="J38" s="387" t="s">
        <v>545</v>
      </c>
      <c r="K38" s="387" t="s">
        <v>546</v>
      </c>
      <c r="M38" s="385"/>
      <c r="N38" s="385"/>
      <c r="O38" s="385"/>
      <c r="R38"/>
    </row>
    <row r="39" spans="1:18" hidden="1">
      <c r="A39" s="388">
        <v>1.1100000000000001</v>
      </c>
      <c r="B39" s="389" t="s">
        <v>15</v>
      </c>
      <c r="C39" s="385"/>
      <c r="D39" s="385"/>
      <c r="E39" s="385"/>
      <c r="F39" s="385"/>
      <c r="G39" s="385"/>
      <c r="H39" s="385"/>
      <c r="I39" s="385"/>
      <c r="J39" s="385"/>
      <c r="K39" s="385"/>
      <c r="L39" s="385"/>
      <c r="M39" s="385"/>
      <c r="N39" s="385"/>
      <c r="O39" s="385"/>
      <c r="R39"/>
    </row>
    <row r="40" spans="1:18" hidden="1">
      <c r="C40" s="385"/>
      <c r="D40" s="385"/>
      <c r="E40" s="385"/>
      <c r="F40" s="385"/>
      <c r="G40" s="385"/>
      <c r="H40" s="385"/>
      <c r="I40" s="385"/>
      <c r="J40" s="385"/>
      <c r="K40" s="385"/>
      <c r="L40" s="385"/>
      <c r="M40" s="385"/>
      <c r="N40" s="385"/>
      <c r="O40" s="385"/>
      <c r="R40"/>
    </row>
    <row r="41" spans="1:18">
      <c r="A41" s="388">
        <v>1.1200000000000001</v>
      </c>
      <c r="B41" s="389" t="s">
        <v>14</v>
      </c>
      <c r="C41" s="385"/>
      <c r="D41" s="385"/>
      <c r="E41" s="385"/>
      <c r="F41" s="385"/>
      <c r="G41" s="385"/>
      <c r="H41" s="385"/>
      <c r="I41" s="385"/>
      <c r="J41" s="385"/>
      <c r="K41" s="385"/>
      <c r="L41" s="385"/>
      <c r="M41" s="385"/>
      <c r="N41" s="385"/>
      <c r="O41" s="385"/>
      <c r="R41"/>
    </row>
    <row r="42" spans="1:18">
      <c r="A42" s="119"/>
      <c r="B42" s="331" t="s">
        <v>775</v>
      </c>
      <c r="C42" s="385"/>
      <c r="D42" s="385">
        <v>52745.061599999994</v>
      </c>
      <c r="E42" s="385">
        <f>CalcMin(D42,G42,H42,I42)</f>
        <v>26562.030053571289</v>
      </c>
      <c r="F42" s="385">
        <f>CalcMax(D42,G42,H42,I42)</f>
        <v>104737.53389996431</v>
      </c>
      <c r="G42" s="385">
        <v>0</v>
      </c>
      <c r="H42" s="385">
        <v>0.35</v>
      </c>
      <c r="I42" s="385">
        <v>0.05</v>
      </c>
      <c r="J42" s="385">
        <v>0.11042601087131673</v>
      </c>
      <c r="K42" s="385">
        <v>58903.243666963856</v>
      </c>
      <c r="L42" s="385"/>
      <c r="M42" s="385"/>
      <c r="N42" s="385"/>
      <c r="O42" s="385"/>
      <c r="R42"/>
    </row>
    <row r="43" spans="1:18">
      <c r="A43" s="119"/>
      <c r="B43" s="331" t="s">
        <v>776</v>
      </c>
      <c r="C43" s="385"/>
      <c r="D43" s="385">
        <v>57053.581200000001</v>
      </c>
      <c r="E43" s="385">
        <f>CalcMin(D43,G43,H43,I43)</f>
        <v>28731.769241089863</v>
      </c>
      <c r="F43" s="385">
        <f>CalcMax(D43,G43,H43,I43)</f>
        <v>113293.09728305195</v>
      </c>
      <c r="G43" s="385">
        <v>0</v>
      </c>
      <c r="H43" s="385">
        <v>0.35</v>
      </c>
      <c r="I43" s="385">
        <v>0.05</v>
      </c>
      <c r="J43" s="385">
        <v>-9.7921282312004324E-2</v>
      </c>
      <c r="K43" s="385">
        <v>51731.638884951884</v>
      </c>
      <c r="L43" s="385"/>
      <c r="M43" s="385"/>
      <c r="N43" s="385"/>
      <c r="O43" s="385"/>
      <c r="R43"/>
    </row>
    <row r="44" spans="1:18">
      <c r="A44" s="119"/>
      <c r="B44" s="331" t="s">
        <v>777</v>
      </c>
      <c r="C44" s="385"/>
      <c r="D44" s="385">
        <v>63228.211200000005</v>
      </c>
      <c r="E44" s="385">
        <f>CalcMin(D44,G44,H44,I44)</f>
        <v>31841.268076705652</v>
      </c>
      <c r="F44" s="385">
        <f>CalcMax(D44,G44,H44,I44)</f>
        <v>125554.25499766797</v>
      </c>
      <c r="G44" s="385">
        <v>0</v>
      </c>
      <c r="H44" s="385">
        <v>0.35</v>
      </c>
      <c r="I44" s="385">
        <v>0.05</v>
      </c>
      <c r="J44" s="385">
        <v>-0.42766078783863887</v>
      </c>
      <c r="K44" s="385">
        <v>41226.852075450224</v>
      </c>
      <c r="L44" s="385"/>
      <c r="M44" s="385"/>
      <c r="N44" s="385"/>
      <c r="O44" s="385"/>
      <c r="R44"/>
    </row>
    <row r="45" spans="1:18">
      <c r="A45" s="119"/>
      <c r="B45" s="331" t="s">
        <v>778</v>
      </c>
      <c r="C45" s="385" t="s">
        <v>0</v>
      </c>
      <c r="D45" s="385">
        <v>173026.85399999999</v>
      </c>
      <c r="E45" s="385"/>
      <c r="F45" s="385"/>
      <c r="G45" s="385"/>
      <c r="H45" s="385"/>
      <c r="I45" s="385"/>
      <c r="J45" s="385"/>
      <c r="K45" s="385">
        <v>173026.85399999999</v>
      </c>
      <c r="L45" s="385"/>
      <c r="M45" s="385"/>
      <c r="N45" s="385"/>
      <c r="O45" s="385"/>
      <c r="R45"/>
    </row>
    <row r="46" spans="1:18">
      <c r="A46" s="119"/>
      <c r="B46" s="331" t="s">
        <v>790</v>
      </c>
      <c r="C46" s="385"/>
      <c r="D46" s="385">
        <v>117400.29839999999</v>
      </c>
      <c r="E46" s="385">
        <f>CalcMin(D46,G46,H46,I46)</f>
        <v>59121.937861174803</v>
      </c>
      <c r="F46" s="385">
        <f>CalcMax(D46,G46,H46,I46)</f>
        <v>233125.47868056575</v>
      </c>
      <c r="G46" s="385">
        <v>0</v>
      </c>
      <c r="H46" s="385">
        <v>0.35</v>
      </c>
      <c r="I46" s="385">
        <v>0.05</v>
      </c>
      <c r="J46" s="385">
        <v>0.22903197693594804</v>
      </c>
      <c r="K46" s="385">
        <v>147617.05083612876</v>
      </c>
      <c r="L46" s="385"/>
      <c r="M46" s="385"/>
      <c r="N46" s="385"/>
      <c r="O46" s="385"/>
      <c r="R46"/>
    </row>
    <row r="47" spans="1:18">
      <c r="A47" s="119"/>
      <c r="B47" s="331" t="s">
        <v>791</v>
      </c>
      <c r="C47" s="385"/>
      <c r="D47" s="385">
        <v>124068.89880000001</v>
      </c>
      <c r="E47" s="385">
        <f>CalcMin(D47,G47,H47,I47)</f>
        <v>62480.196603639866</v>
      </c>
      <c r="F47" s="385">
        <f>CalcMax(D47,G47,H47,I47)</f>
        <v>246367.52901235109</v>
      </c>
      <c r="G47" s="385">
        <v>0</v>
      </c>
      <c r="H47" s="385">
        <v>0.35</v>
      </c>
      <c r="I47" s="385">
        <v>0.05</v>
      </c>
      <c r="J47" s="385">
        <v>-0.13618836341202786</v>
      </c>
      <c r="K47" s="385">
        <v>108272.22779140199</v>
      </c>
      <c r="L47" s="385"/>
      <c r="M47" s="385"/>
      <c r="N47" s="385"/>
      <c r="O47" s="385"/>
      <c r="R47"/>
    </row>
    <row r="48" spans="1:18">
      <c r="A48" s="119"/>
      <c r="B48" s="331" t="s">
        <v>792</v>
      </c>
      <c r="C48" s="385"/>
      <c r="D48" s="385">
        <v>134359.94879999998</v>
      </c>
      <c r="E48" s="385">
        <f>CalcMin(D48,G48,H48,I48)</f>
        <v>67662.694662999493</v>
      </c>
      <c r="F48" s="385">
        <f>CalcMax(D48,G48,H48,I48)</f>
        <v>266802.79187004437</v>
      </c>
      <c r="G48" s="385">
        <v>0</v>
      </c>
      <c r="H48" s="385">
        <v>0.35</v>
      </c>
      <c r="I48" s="385">
        <v>0.05</v>
      </c>
      <c r="J48" s="385">
        <v>-0.56798134097216091</v>
      </c>
      <c r="K48" s="385">
        <v>76137.509634703441</v>
      </c>
      <c r="L48" s="385"/>
      <c r="M48" s="385"/>
      <c r="N48" s="385"/>
      <c r="O48" s="385"/>
      <c r="R48"/>
    </row>
    <row r="49" spans="1:18">
      <c r="A49" s="119"/>
      <c r="B49" s="331" t="s">
        <v>793</v>
      </c>
      <c r="C49" s="385" t="s">
        <v>0</v>
      </c>
      <c r="D49" s="385">
        <v>375829.14599999995</v>
      </c>
      <c r="E49" s="385"/>
      <c r="F49" s="385"/>
      <c r="G49" s="385"/>
      <c r="H49" s="385"/>
      <c r="I49" s="385"/>
      <c r="J49" s="385"/>
      <c r="K49" s="385">
        <v>375829.14599999995</v>
      </c>
      <c r="L49" s="385"/>
      <c r="M49" s="385"/>
      <c r="N49" s="385"/>
      <c r="O49" s="385"/>
      <c r="R49"/>
    </row>
    <row r="50" spans="1:18">
      <c r="B50" s="332"/>
      <c r="C50" s="385"/>
      <c r="D50" s="385"/>
      <c r="E50" s="385"/>
      <c r="F50" s="385"/>
      <c r="G50" s="385"/>
      <c r="H50" s="385"/>
      <c r="I50" s="385"/>
      <c r="J50" s="385"/>
      <c r="K50" s="385"/>
      <c r="L50" s="385"/>
      <c r="M50" s="385"/>
      <c r="N50" s="385"/>
      <c r="O50" s="385"/>
      <c r="R50"/>
    </row>
    <row r="51" spans="1:18">
      <c r="A51" s="388">
        <v>1.21</v>
      </c>
      <c r="B51" s="389" t="s">
        <v>359</v>
      </c>
      <c r="C51" s="385"/>
      <c r="D51" s="385"/>
      <c r="E51" s="385"/>
      <c r="F51" s="385"/>
      <c r="G51" s="385"/>
      <c r="H51" s="385"/>
      <c r="I51" s="385"/>
      <c r="J51" s="385"/>
      <c r="K51" s="385"/>
      <c r="L51" s="385"/>
      <c r="M51" s="385"/>
      <c r="N51" s="385"/>
      <c r="O51" s="385"/>
      <c r="R51"/>
    </row>
    <row r="52" spans="1:18">
      <c r="A52" s="119"/>
      <c r="B52" s="331" t="s">
        <v>799</v>
      </c>
      <c r="C52" s="385" t="s">
        <v>0</v>
      </c>
      <c r="D52" s="385">
        <v>20000</v>
      </c>
      <c r="E52" s="385"/>
      <c r="F52" s="385"/>
      <c r="G52" s="385"/>
      <c r="H52" s="385"/>
      <c r="I52" s="385"/>
      <c r="J52" s="385"/>
      <c r="K52" s="385">
        <v>20000</v>
      </c>
      <c r="L52" s="385"/>
      <c r="M52" s="385"/>
      <c r="N52" s="385"/>
      <c r="O52" s="385"/>
      <c r="R52"/>
    </row>
    <row r="53" spans="1:18">
      <c r="A53" s="119"/>
      <c r="B53" s="331" t="s">
        <v>800</v>
      </c>
      <c r="C53" s="385" t="s">
        <v>0</v>
      </c>
      <c r="D53" s="385">
        <v>1</v>
      </c>
      <c r="E53" s="385"/>
      <c r="F53" s="385"/>
      <c r="G53" s="385"/>
      <c r="H53" s="385"/>
      <c r="I53" s="385"/>
      <c r="J53" s="385"/>
      <c r="K53" s="385">
        <v>1</v>
      </c>
      <c r="L53" s="385"/>
      <c r="M53" s="385"/>
      <c r="N53" s="385"/>
      <c r="O53" s="385"/>
      <c r="R53"/>
    </row>
    <row r="54" spans="1:18">
      <c r="A54" s="119"/>
      <c r="B54" s="331" t="s">
        <v>801</v>
      </c>
      <c r="C54" s="385"/>
      <c r="D54" s="385">
        <v>1.1100000000000001</v>
      </c>
      <c r="E54" s="385">
        <v>1</v>
      </c>
      <c r="F54" s="385">
        <v>1.05</v>
      </c>
      <c r="G54" s="385">
        <f>CalcMu(E54,F54,D54)</f>
        <v>-7.9964933239526803E-2</v>
      </c>
      <c r="H54" s="385">
        <f>CalcSigma(F54,D54,G54,I54)</f>
        <v>1.2446699162403667E-2</v>
      </c>
      <c r="I54" s="385">
        <v>0.05</v>
      </c>
      <c r="J54" s="385">
        <v>-9.5891654116900593E-2</v>
      </c>
      <c r="K54" s="385">
        <v>1.0085043192082213</v>
      </c>
      <c r="L54" s="385"/>
      <c r="M54" s="385"/>
      <c r="N54" s="385"/>
      <c r="O54" s="385"/>
      <c r="R54"/>
    </row>
    <row r="55" spans="1:18">
      <c r="A55" s="119"/>
      <c r="B55" s="331" t="s">
        <v>802</v>
      </c>
      <c r="C55" s="385"/>
      <c r="D55" s="385">
        <v>1.2</v>
      </c>
      <c r="E55" s="385">
        <f>CalcMin(D55,G55,H55,I55)</f>
        <v>0.45038142889581179</v>
      </c>
      <c r="F55" s="385">
        <f>CalcMax(D55,G55,H55,I55)</f>
        <v>3.1972899138634765</v>
      </c>
      <c r="G55" s="385">
        <v>0</v>
      </c>
      <c r="H55" s="385">
        <v>0.5</v>
      </c>
      <c r="I55" s="385">
        <v>0.05</v>
      </c>
      <c r="J55" s="385">
        <v>-0.28869824665470434</v>
      </c>
      <c r="K55" s="385">
        <v>0.89908590773451702</v>
      </c>
      <c r="L55" s="385"/>
      <c r="M55" s="385"/>
      <c r="N55" s="385"/>
      <c r="O55" s="385"/>
      <c r="R55"/>
    </row>
    <row r="56" spans="1:18">
      <c r="A56" s="119"/>
      <c r="B56" s="331" t="s">
        <v>803</v>
      </c>
      <c r="C56" s="385" t="s">
        <v>0</v>
      </c>
      <c r="D56" s="385">
        <v>15000</v>
      </c>
      <c r="E56" s="385"/>
      <c r="F56" s="385"/>
      <c r="G56" s="385"/>
      <c r="H56" s="385"/>
      <c r="I56" s="385"/>
      <c r="J56" s="385"/>
      <c r="K56" s="385">
        <v>15000</v>
      </c>
      <c r="L56" s="385"/>
      <c r="M56" s="385"/>
      <c r="N56" s="385"/>
      <c r="O56" s="385"/>
      <c r="R56"/>
    </row>
    <row r="57" spans="1:18">
      <c r="A57" s="119"/>
      <c r="B57" s="331" t="s">
        <v>804</v>
      </c>
      <c r="C57" s="385" t="s">
        <v>0</v>
      </c>
      <c r="D57" s="385">
        <v>1.5</v>
      </c>
      <c r="E57" s="385"/>
      <c r="F57" s="385"/>
      <c r="G57" s="385"/>
      <c r="H57" s="385"/>
      <c r="I57" s="385"/>
      <c r="J57" s="385"/>
      <c r="K57" s="385">
        <v>1.5</v>
      </c>
      <c r="L57" s="385"/>
      <c r="M57" s="385"/>
      <c r="N57" s="385"/>
      <c r="O57" s="385"/>
      <c r="R57"/>
    </row>
    <row r="58" spans="1:18">
      <c r="A58" s="119"/>
      <c r="B58" s="331" t="s">
        <v>805</v>
      </c>
      <c r="C58" s="385"/>
      <c r="D58" s="385">
        <v>1.05</v>
      </c>
      <c r="E58" s="385">
        <v>1</v>
      </c>
      <c r="F58" s="385">
        <v>1.05</v>
      </c>
      <c r="G58" s="385">
        <f>CalcMu(E58,F58,D58)</f>
        <v>-2.4395082084715972E-2</v>
      </c>
      <c r="H58" s="385">
        <f>CalcSigma(F58,D58,G58,I58)</f>
        <v>1.2446699162403633E-2</v>
      </c>
      <c r="I58" s="385">
        <v>0.05</v>
      </c>
      <c r="J58" s="385">
        <v>-2.1201298763050096E-2</v>
      </c>
      <c r="K58" s="385">
        <v>1.0279729622834335</v>
      </c>
      <c r="L58" s="385"/>
      <c r="M58" s="385"/>
      <c r="N58" s="385"/>
      <c r="O58" s="385"/>
      <c r="R58"/>
    </row>
    <row r="59" spans="1:18">
      <c r="A59" s="119"/>
      <c r="B59" s="331" t="s">
        <v>806</v>
      </c>
      <c r="C59" s="385"/>
      <c r="D59" s="385">
        <v>1.1000000000000001</v>
      </c>
      <c r="E59" s="385">
        <f>CalcMin(D59,G59,H59,I59)</f>
        <v>0.41284964315449424</v>
      </c>
      <c r="F59" s="385">
        <f>CalcMax(D59,G59,H59,I59)</f>
        <v>2.9308490877081868</v>
      </c>
      <c r="G59" s="385">
        <v>0</v>
      </c>
      <c r="H59" s="385">
        <v>0.5</v>
      </c>
      <c r="I59" s="385">
        <v>0.05</v>
      </c>
      <c r="J59" s="385">
        <v>-0.70442913547085495</v>
      </c>
      <c r="K59" s="385">
        <v>0.54382979622583016</v>
      </c>
      <c r="L59" s="385"/>
      <c r="M59" s="385"/>
      <c r="N59" s="385"/>
      <c r="O59" s="385"/>
      <c r="R59"/>
    </row>
    <row r="60" spans="1:18">
      <c r="A60" s="119"/>
      <c r="B60" s="331" t="s">
        <v>807</v>
      </c>
      <c r="C60" s="385" t="s">
        <v>0</v>
      </c>
      <c r="D60" s="385">
        <v>25000</v>
      </c>
      <c r="E60" s="385"/>
      <c r="F60" s="385"/>
      <c r="G60" s="385"/>
      <c r="H60" s="385"/>
      <c r="I60" s="385"/>
      <c r="J60" s="385"/>
      <c r="K60" s="385">
        <v>25000</v>
      </c>
      <c r="L60" s="385"/>
      <c r="M60" s="385"/>
      <c r="N60" s="385"/>
      <c r="O60" s="385"/>
      <c r="R60"/>
    </row>
    <row r="61" spans="1:18">
      <c r="A61" s="119"/>
      <c r="B61" s="331" t="s">
        <v>808</v>
      </c>
      <c r="C61" s="385" t="s">
        <v>0</v>
      </c>
      <c r="D61" s="385">
        <v>0.5</v>
      </c>
      <c r="E61" s="385"/>
      <c r="F61" s="385"/>
      <c r="G61" s="385"/>
      <c r="H61" s="385"/>
      <c r="I61" s="385"/>
      <c r="J61" s="385"/>
      <c r="K61" s="385">
        <v>0.5</v>
      </c>
      <c r="L61" s="385"/>
      <c r="M61" s="385"/>
      <c r="N61" s="385"/>
      <c r="O61" s="385"/>
      <c r="R61"/>
    </row>
    <row r="62" spans="1:18">
      <c r="A62" s="119"/>
      <c r="B62" s="331" t="s">
        <v>809</v>
      </c>
      <c r="C62" s="385"/>
      <c r="D62" s="385">
        <v>1.08</v>
      </c>
      <c r="E62" s="385">
        <v>1</v>
      </c>
      <c r="F62" s="385">
        <v>1.05</v>
      </c>
      <c r="G62" s="385">
        <f>CalcMu(E62,F62,D62)</f>
        <v>-5.2565959051412363E-2</v>
      </c>
      <c r="H62" s="385">
        <f>CalcSigma(F62,D62,G62,I62)</f>
        <v>1.2446699162403662E-2</v>
      </c>
      <c r="I62" s="385">
        <v>0.05</v>
      </c>
      <c r="J62" s="385">
        <v>-4.4124128985083083E-2</v>
      </c>
      <c r="K62" s="385">
        <v>1.0333819934513333</v>
      </c>
      <c r="L62" s="385"/>
      <c r="M62" s="385"/>
      <c r="N62" s="385"/>
      <c r="O62" s="385"/>
      <c r="R62"/>
    </row>
    <row r="63" spans="1:18">
      <c r="A63" s="119"/>
      <c r="B63" s="331" t="s">
        <v>810</v>
      </c>
      <c r="C63" s="385"/>
      <c r="D63" s="385">
        <v>1.1499999999999999</v>
      </c>
      <c r="E63" s="385">
        <f>CalcMin(D63,G63,H63,I63)</f>
        <v>0.43161553602515296</v>
      </c>
      <c r="F63" s="385">
        <f>CalcMax(D63,G63,H63,I63)</f>
        <v>3.0640695007858314</v>
      </c>
      <c r="G63" s="385">
        <v>0</v>
      </c>
      <c r="H63" s="385">
        <v>0.5</v>
      </c>
      <c r="I63" s="385">
        <v>0.05</v>
      </c>
      <c r="J63" s="385">
        <v>-0.47677548431604083</v>
      </c>
      <c r="K63" s="385">
        <v>0.71389917225687427</v>
      </c>
      <c r="L63" s="385"/>
      <c r="M63" s="385"/>
      <c r="N63" s="385"/>
      <c r="O63" s="385"/>
      <c r="R63"/>
    </row>
    <row r="64" spans="1:18">
      <c r="A64" s="119"/>
      <c r="B64" s="331" t="s">
        <v>811</v>
      </c>
      <c r="C64" s="385" t="s">
        <v>0</v>
      </c>
      <c r="D64" s="385">
        <v>1500</v>
      </c>
      <c r="E64" s="385"/>
      <c r="F64" s="385"/>
      <c r="G64" s="385"/>
      <c r="H64" s="385"/>
      <c r="I64" s="385"/>
      <c r="J64" s="385"/>
      <c r="K64" s="385">
        <v>1500</v>
      </c>
      <c r="L64" s="385"/>
      <c r="M64" s="385"/>
      <c r="N64" s="385"/>
      <c r="O64" s="385"/>
      <c r="R64"/>
    </row>
    <row r="65" spans="1:18">
      <c r="A65" s="119"/>
      <c r="B65" s="331" t="s">
        <v>812</v>
      </c>
      <c r="C65" s="385"/>
      <c r="D65" s="385">
        <v>1.1100000000000001</v>
      </c>
      <c r="E65" s="385">
        <v>1</v>
      </c>
      <c r="F65" s="385">
        <v>1.05</v>
      </c>
      <c r="G65" s="385">
        <f>CalcMu(E65,F65,D65)</f>
        <v>-7.9964933239526803E-2</v>
      </c>
      <c r="H65" s="385">
        <f>CalcSigma(F65,D65,G65,I65)</f>
        <v>1.2446699162403667E-2</v>
      </c>
      <c r="I65" s="385">
        <v>0.05</v>
      </c>
      <c r="J65" s="385">
        <v>-8.3078813286869016E-2</v>
      </c>
      <c r="K65" s="385">
        <v>1.0215092617392005</v>
      </c>
      <c r="L65" s="385"/>
      <c r="M65" s="385"/>
      <c r="N65" s="385"/>
      <c r="O65" s="385"/>
      <c r="R65"/>
    </row>
    <row r="66" spans="1:18">
      <c r="A66" s="119"/>
      <c r="B66" s="331" t="s">
        <v>813</v>
      </c>
      <c r="C66" s="385"/>
      <c r="D66" s="385">
        <v>1.2</v>
      </c>
      <c r="E66" s="385">
        <f>CalcMin(D66,G66,H66,I66)</f>
        <v>0.45038142889581179</v>
      </c>
      <c r="F66" s="385">
        <f>CalcMax(D66,G66,H66,I66)</f>
        <v>3.1972899138634765</v>
      </c>
      <c r="G66" s="385">
        <v>0</v>
      </c>
      <c r="H66" s="385">
        <v>0.5</v>
      </c>
      <c r="I66" s="385">
        <v>0.05</v>
      </c>
      <c r="J66" s="385">
        <v>0.15568508452201549</v>
      </c>
      <c r="K66" s="385">
        <v>1.4021498154943604</v>
      </c>
      <c r="L66" s="385"/>
      <c r="M66" s="385"/>
      <c r="N66" s="385"/>
      <c r="O66" s="385"/>
      <c r="R66"/>
    </row>
    <row r="67" spans="1:18">
      <c r="A67" s="119"/>
      <c r="B67" s="331"/>
      <c r="C67" s="385"/>
      <c r="D67" s="385"/>
      <c r="E67" s="385"/>
      <c r="F67" s="385"/>
      <c r="G67" s="385"/>
      <c r="H67" s="385"/>
      <c r="I67" s="385"/>
      <c r="J67" s="385"/>
      <c r="K67" s="385"/>
      <c r="L67" s="385"/>
      <c r="M67" s="385"/>
      <c r="N67" s="385"/>
      <c r="O67" s="385"/>
      <c r="R67"/>
    </row>
    <row r="68" spans="1:18">
      <c r="A68" s="388">
        <v>1.2110000000000001</v>
      </c>
      <c r="B68" s="389" t="s">
        <v>371</v>
      </c>
      <c r="C68" s="385" t="s">
        <v>0</v>
      </c>
      <c r="D68" s="1008">
        <v>61500</v>
      </c>
      <c r="E68" s="385"/>
      <c r="F68" s="385"/>
      <c r="G68" s="385"/>
      <c r="H68" s="385"/>
      <c r="I68" s="385"/>
      <c r="J68" s="385"/>
      <c r="K68" s="1008">
        <v>61500</v>
      </c>
      <c r="L68" s="385"/>
      <c r="M68" s="385"/>
      <c r="N68" s="385"/>
      <c r="O68" s="385"/>
      <c r="R68"/>
    </row>
    <row r="69" spans="1:18">
      <c r="A69" s="388">
        <v>1.212</v>
      </c>
      <c r="B69" s="389" t="s">
        <v>373</v>
      </c>
      <c r="C69" s="385" t="s">
        <v>0</v>
      </c>
      <c r="D69" s="1008">
        <v>66615</v>
      </c>
      <c r="E69" s="385"/>
      <c r="F69" s="385"/>
      <c r="G69" s="385"/>
      <c r="H69" s="385"/>
      <c r="I69" s="385"/>
      <c r="J69" s="385"/>
      <c r="K69" s="1008">
        <v>66615</v>
      </c>
      <c r="L69" s="385"/>
      <c r="M69" s="385"/>
      <c r="N69" s="385"/>
      <c r="O69" s="385"/>
      <c r="R69"/>
    </row>
    <row r="70" spans="1:18">
      <c r="A70" s="388">
        <v>1.2130000000000001</v>
      </c>
      <c r="B70" s="389" t="s">
        <v>374</v>
      </c>
      <c r="C70" s="385" t="s">
        <v>0</v>
      </c>
      <c r="D70" s="1008">
        <v>77013</v>
      </c>
      <c r="E70" s="385"/>
      <c r="F70" s="385"/>
      <c r="G70" s="385"/>
      <c r="H70" s="385"/>
      <c r="I70" s="385"/>
      <c r="J70" s="385"/>
      <c r="K70" s="1008">
        <v>77013</v>
      </c>
      <c r="L70" s="385"/>
      <c r="M70" s="385"/>
      <c r="N70" s="385"/>
      <c r="O70" s="385"/>
      <c r="R70"/>
    </row>
    <row r="71" spans="1:18">
      <c r="A71" s="119"/>
      <c r="B71" s="331"/>
      <c r="C71" s="385"/>
      <c r="D71" s="385"/>
      <c r="E71" s="385"/>
      <c r="F71" s="385"/>
      <c r="G71" s="385"/>
      <c r="H71" s="385"/>
      <c r="I71" s="385"/>
      <c r="J71" s="385"/>
      <c r="K71" s="385"/>
      <c r="L71" s="385"/>
      <c r="M71" s="385"/>
      <c r="N71" s="385"/>
      <c r="O71" s="385"/>
      <c r="R71"/>
    </row>
    <row r="72" spans="1:18">
      <c r="A72" s="388">
        <v>1.22</v>
      </c>
      <c r="B72" s="389" t="s">
        <v>360</v>
      </c>
      <c r="C72" s="385"/>
      <c r="D72" s="385"/>
      <c r="E72" s="385"/>
      <c r="F72" s="385"/>
      <c r="G72" s="385"/>
      <c r="H72" s="385"/>
      <c r="I72" s="385"/>
      <c r="J72" s="385"/>
      <c r="K72" s="385"/>
      <c r="L72" s="385"/>
      <c r="M72" s="385"/>
      <c r="N72" s="385"/>
      <c r="O72" s="385"/>
      <c r="R72"/>
    </row>
    <row r="73" spans="1:18">
      <c r="A73" s="119"/>
      <c r="B73" s="331" t="s">
        <v>830</v>
      </c>
      <c r="C73" s="385" t="s">
        <v>0</v>
      </c>
      <c r="D73" s="385">
        <v>5000</v>
      </c>
      <c r="E73" s="385"/>
      <c r="F73" s="385"/>
      <c r="G73" s="385"/>
      <c r="H73" s="385"/>
      <c r="I73" s="385"/>
      <c r="J73" s="385"/>
      <c r="K73" s="385">
        <v>5000</v>
      </c>
      <c r="L73" s="385"/>
      <c r="M73" s="385"/>
      <c r="N73" s="385"/>
      <c r="O73" s="385"/>
      <c r="R73"/>
    </row>
    <row r="74" spans="1:18">
      <c r="A74" s="119"/>
      <c r="B74" s="331" t="s">
        <v>831</v>
      </c>
      <c r="C74" s="385"/>
      <c r="D74" s="385">
        <v>1.1100000000000001</v>
      </c>
      <c r="E74" s="385">
        <v>1</v>
      </c>
      <c r="F74" s="385">
        <v>1.1000000000000001</v>
      </c>
      <c r="G74" s="385">
        <f>CalcMu(E74,F74,D74)</f>
        <v>-5.6704925422080381E-2</v>
      </c>
      <c r="H74" s="385">
        <f>CalcSigma(F74,D74,G74,I74)</f>
        <v>2.4314268159037481E-2</v>
      </c>
      <c r="I74" s="385">
        <v>0.05</v>
      </c>
      <c r="J74" s="385">
        <v>-5.779337250674467E-2</v>
      </c>
      <c r="K74" s="385">
        <v>1.0476678962825108</v>
      </c>
      <c r="L74" s="385"/>
      <c r="M74" s="385"/>
      <c r="N74" s="385"/>
      <c r="O74" s="385"/>
      <c r="R74"/>
    </row>
    <row r="75" spans="1:18">
      <c r="A75" s="119"/>
      <c r="B75" s="331" t="s">
        <v>832</v>
      </c>
      <c r="C75" s="385"/>
      <c r="D75" s="385">
        <v>1.2</v>
      </c>
      <c r="E75" s="385">
        <v>1</v>
      </c>
      <c r="F75" s="385">
        <v>1.1000000000000001</v>
      </c>
      <c r="G75" s="385">
        <f>CalcMu(E75,F75,D75)</f>
        <v>-0.13466646689179215</v>
      </c>
      <c r="H75" s="385">
        <f>CalcSigma(F75,D75,G75,I75)</f>
        <v>2.4314268159037488E-2</v>
      </c>
      <c r="I75" s="385">
        <v>0.05</v>
      </c>
      <c r="J75" s="385">
        <v>-9.7523740075933479E-2</v>
      </c>
      <c r="K75" s="385">
        <v>1.0884969685595389</v>
      </c>
      <c r="L75" s="385"/>
      <c r="M75" s="385"/>
      <c r="N75" s="385"/>
      <c r="O75" s="385"/>
      <c r="R75"/>
    </row>
    <row r="76" spans="1:18">
      <c r="A76" s="119"/>
      <c r="B76" s="331" t="s">
        <v>833</v>
      </c>
      <c r="C76" s="385" t="s">
        <v>0</v>
      </c>
      <c r="D76" s="385">
        <v>3000</v>
      </c>
      <c r="E76" s="385"/>
      <c r="F76" s="385"/>
      <c r="G76" s="385"/>
      <c r="H76" s="385"/>
      <c r="I76" s="385"/>
      <c r="J76" s="385"/>
      <c r="K76" s="385">
        <v>3000</v>
      </c>
      <c r="L76" s="385"/>
      <c r="M76" s="385"/>
      <c r="N76" s="385"/>
      <c r="O76" s="385"/>
      <c r="R76"/>
    </row>
    <row r="77" spans="1:18">
      <c r="A77" s="119"/>
      <c r="B77" s="331" t="s">
        <v>834</v>
      </c>
      <c r="C77" s="385"/>
      <c r="D77" s="385">
        <v>1.1100000000000001</v>
      </c>
      <c r="E77" s="385">
        <v>1</v>
      </c>
      <c r="F77" s="385">
        <v>1.1000000000000001</v>
      </c>
      <c r="G77" s="385">
        <f>CalcMu(E77,F77,D77)</f>
        <v>-5.6704925422080381E-2</v>
      </c>
      <c r="H77" s="385">
        <f>CalcSigma(F77,D77,G77,I77)</f>
        <v>2.4314268159037481E-2</v>
      </c>
      <c r="I77" s="385">
        <v>0.05</v>
      </c>
      <c r="J77" s="385">
        <v>-6.5364020613396412E-2</v>
      </c>
      <c r="K77" s="385">
        <v>1.0397663190770576</v>
      </c>
      <c r="L77" s="385"/>
      <c r="M77" s="385"/>
      <c r="N77" s="385"/>
      <c r="O77" s="385"/>
      <c r="R77"/>
    </row>
    <row r="78" spans="1:18">
      <c r="A78" s="119"/>
      <c r="B78" s="331" t="s">
        <v>835</v>
      </c>
      <c r="C78" s="385"/>
      <c r="D78" s="385">
        <v>1.2</v>
      </c>
      <c r="E78" s="385">
        <v>1</v>
      </c>
      <c r="F78" s="385">
        <v>1.1000000000000001</v>
      </c>
      <c r="G78" s="385">
        <f>CalcMu(E78,F78,D78)</f>
        <v>-0.13466646689179215</v>
      </c>
      <c r="H78" s="385">
        <f>CalcSigma(F78,D78,G78,I78)</f>
        <v>2.4314268159037488E-2</v>
      </c>
      <c r="I78" s="385">
        <v>0.05</v>
      </c>
      <c r="J78" s="385">
        <v>-0.1091505216012213</v>
      </c>
      <c r="K78" s="385">
        <v>1.0759145404295036</v>
      </c>
      <c r="L78" s="385"/>
      <c r="M78" s="385"/>
      <c r="N78" s="385"/>
      <c r="O78" s="385"/>
      <c r="R78"/>
    </row>
    <row r="79" spans="1:18">
      <c r="A79" s="119"/>
      <c r="B79" s="331" t="s">
        <v>836</v>
      </c>
      <c r="C79" s="385" t="s">
        <v>0</v>
      </c>
      <c r="D79" s="385">
        <v>3500</v>
      </c>
      <c r="E79" s="385"/>
      <c r="F79" s="385"/>
      <c r="G79" s="385"/>
      <c r="H79" s="385"/>
      <c r="I79" s="385"/>
      <c r="J79" s="385"/>
      <c r="K79" s="385">
        <v>3500</v>
      </c>
      <c r="L79" s="385"/>
      <c r="M79" s="385"/>
      <c r="N79" s="385"/>
      <c r="O79" s="385"/>
      <c r="R79"/>
    </row>
    <row r="80" spans="1:18">
      <c r="A80" s="119"/>
      <c r="B80" s="331" t="s">
        <v>837</v>
      </c>
      <c r="C80" s="385"/>
      <c r="D80" s="385">
        <v>1.1100000000000001</v>
      </c>
      <c r="E80" s="385">
        <v>1</v>
      </c>
      <c r="F80" s="385">
        <v>1.1000000000000001</v>
      </c>
      <c r="G80" s="385">
        <f>CalcMu(E80,F80,D80)</f>
        <v>-5.6704925422080381E-2</v>
      </c>
      <c r="H80" s="385">
        <f>CalcSigma(F80,D80,G80,I80)</f>
        <v>2.4314268159037481E-2</v>
      </c>
      <c r="I80" s="385">
        <v>0.05</v>
      </c>
      <c r="J80" s="385">
        <v>-4.7452235778064983E-2</v>
      </c>
      <c r="K80" s="385">
        <v>1.0585581851778141</v>
      </c>
      <c r="L80" s="385"/>
      <c r="M80" s="385"/>
      <c r="N80" s="385"/>
      <c r="O80" s="385"/>
      <c r="R80"/>
    </row>
    <row r="81" spans="1:18">
      <c r="A81" s="119"/>
      <c r="B81" s="331" t="s">
        <v>838</v>
      </c>
      <c r="C81" s="385"/>
      <c r="D81" s="385">
        <v>1.2</v>
      </c>
      <c r="E81" s="385">
        <v>1</v>
      </c>
      <c r="F81" s="385">
        <v>1.1000000000000001</v>
      </c>
      <c r="G81" s="385">
        <f>CalcMu(E81,F81,D81)</f>
        <v>-0.13466646689179215</v>
      </c>
      <c r="H81" s="385">
        <f>CalcSigma(F81,D81,G81,I81)</f>
        <v>2.4314268159037488E-2</v>
      </c>
      <c r="I81" s="385">
        <v>0.05</v>
      </c>
      <c r="J81" s="385">
        <v>-9.4486044535875224E-2</v>
      </c>
      <c r="K81" s="385">
        <v>1.0918085181395247</v>
      </c>
      <c r="L81" s="385"/>
      <c r="M81" s="385"/>
      <c r="N81" s="385"/>
      <c r="O81" s="385"/>
      <c r="R81"/>
    </row>
    <row r="82" spans="1:18">
      <c r="A82" s="119"/>
      <c r="B82" s="331" t="s">
        <v>839</v>
      </c>
      <c r="C82" s="385" t="s">
        <v>0</v>
      </c>
      <c r="D82" s="385">
        <v>6000</v>
      </c>
      <c r="E82" s="385"/>
      <c r="F82" s="385"/>
      <c r="G82" s="385"/>
      <c r="H82" s="385"/>
      <c r="I82" s="385"/>
      <c r="J82" s="385"/>
      <c r="K82" s="385">
        <v>6000</v>
      </c>
      <c r="L82" s="385"/>
      <c r="M82" s="385"/>
      <c r="N82" s="385"/>
      <c r="O82" s="385"/>
      <c r="R82"/>
    </row>
    <row r="83" spans="1:18">
      <c r="A83" s="119"/>
      <c r="B83" s="331" t="s">
        <v>840</v>
      </c>
      <c r="C83" s="385"/>
      <c r="D83" s="385">
        <v>1.1100000000000001</v>
      </c>
      <c r="E83" s="385">
        <v>1</v>
      </c>
      <c r="F83" s="385">
        <v>1.1000000000000001</v>
      </c>
      <c r="G83" s="385">
        <f>CalcMu(E83,F83,D83)</f>
        <v>-5.6704925422080381E-2</v>
      </c>
      <c r="H83" s="385">
        <f>CalcSigma(F83,D83,G83,I83)</f>
        <v>2.4314268159037481E-2</v>
      </c>
      <c r="I83" s="385">
        <v>0.05</v>
      </c>
      <c r="J83" s="385">
        <v>-2.2693383440970619E-2</v>
      </c>
      <c r="K83" s="385">
        <v>1.0850940137794196</v>
      </c>
      <c r="L83" s="385"/>
      <c r="M83" s="385"/>
      <c r="N83" s="385"/>
      <c r="O83" s="385"/>
      <c r="R83"/>
    </row>
    <row r="84" spans="1:18">
      <c r="A84" s="119"/>
      <c r="B84" s="331" t="s">
        <v>841</v>
      </c>
      <c r="C84" s="385"/>
      <c r="D84" s="385">
        <v>1.2</v>
      </c>
      <c r="E84" s="385">
        <v>1</v>
      </c>
      <c r="F84" s="385">
        <v>1.1000000000000001</v>
      </c>
      <c r="G84" s="385">
        <f>CalcMu(E84,F84,D84)</f>
        <v>-0.13466646689179215</v>
      </c>
      <c r="H84" s="385">
        <f>CalcSigma(F84,D84,G84,I84)</f>
        <v>2.4314268159037488E-2</v>
      </c>
      <c r="I84" s="385">
        <v>0.05</v>
      </c>
      <c r="J84" s="385">
        <v>-0.13683368051252676</v>
      </c>
      <c r="K84" s="385">
        <v>1.0465383166010105</v>
      </c>
      <c r="L84" s="385"/>
      <c r="M84" s="385"/>
      <c r="N84" s="385"/>
      <c r="O84" s="385"/>
      <c r="R84"/>
    </row>
    <row r="85" spans="1:18">
      <c r="A85" s="119"/>
      <c r="B85" s="331" t="s">
        <v>842</v>
      </c>
      <c r="C85" s="385" t="s">
        <v>0</v>
      </c>
      <c r="D85" s="385">
        <v>7500</v>
      </c>
      <c r="E85" s="385"/>
      <c r="F85" s="385"/>
      <c r="G85" s="385"/>
      <c r="H85" s="385"/>
      <c r="I85" s="385"/>
      <c r="J85" s="385"/>
      <c r="K85" s="385">
        <v>7500</v>
      </c>
      <c r="L85" s="385"/>
      <c r="M85" s="385"/>
      <c r="N85" s="385"/>
      <c r="O85" s="385"/>
      <c r="R85"/>
    </row>
    <row r="86" spans="1:18">
      <c r="A86" s="119"/>
      <c r="B86" s="331" t="s">
        <v>843</v>
      </c>
      <c r="C86" s="385"/>
      <c r="D86" s="385">
        <v>1.9</v>
      </c>
      <c r="E86" s="385">
        <v>1</v>
      </c>
      <c r="F86" s="385">
        <v>1.1000000000000001</v>
      </c>
      <c r="G86" s="385">
        <f>CalcMu(E86,F86,D86)</f>
        <v>-0.59419879627023231</v>
      </c>
      <c r="H86" s="385">
        <f>CalcSigma(F86,D86,G86,I86)</f>
        <v>2.4314268159037446E-2</v>
      </c>
      <c r="I86" s="385">
        <v>0.05</v>
      </c>
      <c r="J86" s="385">
        <v>-0.62634355089563909</v>
      </c>
      <c r="K86" s="385">
        <v>1.0156312448340643</v>
      </c>
      <c r="L86" s="385"/>
      <c r="M86" s="385"/>
      <c r="N86" s="385"/>
      <c r="O86" s="385"/>
      <c r="R86"/>
    </row>
    <row r="87" spans="1:18">
      <c r="A87" s="119"/>
      <c r="B87" s="331" t="s">
        <v>844</v>
      </c>
      <c r="C87" s="385"/>
      <c r="D87" s="385">
        <v>0.9</v>
      </c>
      <c r="E87" s="385">
        <v>1</v>
      </c>
      <c r="F87" s="385">
        <v>1.1000000000000001</v>
      </c>
      <c r="G87" s="385">
        <f>CalcMu(E87,F87,D87)</f>
        <v>0.15301560555998875</v>
      </c>
      <c r="H87" s="385">
        <f>CalcSigma(F87,D87,G87,I87)</f>
        <v>2.4314268159037502E-2</v>
      </c>
      <c r="I87" s="385">
        <v>0.05</v>
      </c>
      <c r="J87" s="385">
        <v>0.14785128464576699</v>
      </c>
      <c r="K87" s="385">
        <v>1.0434064246319343</v>
      </c>
      <c r="L87" s="385"/>
      <c r="M87" s="385"/>
      <c r="N87" s="385"/>
      <c r="O87" s="385"/>
      <c r="R87"/>
    </row>
    <row r="88" spans="1:18">
      <c r="A88" s="119"/>
      <c r="B88" s="331"/>
      <c r="C88" s="385"/>
      <c r="D88" s="385"/>
      <c r="E88" s="385"/>
      <c r="F88" s="385"/>
      <c r="G88" s="385"/>
      <c r="H88" s="385"/>
      <c r="I88" s="385"/>
      <c r="J88" s="385"/>
      <c r="K88" s="385"/>
      <c r="L88" s="385"/>
      <c r="M88" s="385"/>
      <c r="N88" s="385"/>
      <c r="O88" s="385"/>
      <c r="R88"/>
    </row>
    <row r="89" spans="1:18">
      <c r="A89" s="388">
        <v>1.2210000000000001</v>
      </c>
      <c r="B89" s="389" t="s">
        <v>372</v>
      </c>
      <c r="C89" s="385" t="s">
        <v>0</v>
      </c>
      <c r="D89" s="1008">
        <v>25000</v>
      </c>
      <c r="E89" s="385"/>
      <c r="F89" s="385"/>
      <c r="G89" s="385"/>
      <c r="H89" s="385"/>
      <c r="I89" s="385"/>
      <c r="J89" s="385"/>
      <c r="K89" s="1008">
        <v>25000</v>
      </c>
      <c r="L89" s="385"/>
      <c r="M89" s="385"/>
      <c r="N89" s="385"/>
      <c r="O89" s="385"/>
      <c r="R89"/>
    </row>
    <row r="90" spans="1:18">
      <c r="A90" s="388">
        <v>1.222</v>
      </c>
      <c r="B90" s="389" t="s">
        <v>375</v>
      </c>
      <c r="C90" s="385" t="s">
        <v>0</v>
      </c>
      <c r="D90" s="1008">
        <v>33675</v>
      </c>
      <c r="E90" s="385"/>
      <c r="F90" s="385"/>
      <c r="G90" s="385"/>
      <c r="H90" s="385"/>
      <c r="I90" s="385"/>
      <c r="J90" s="385"/>
      <c r="K90" s="1008">
        <v>33675</v>
      </c>
      <c r="L90" s="385"/>
      <c r="M90" s="385"/>
      <c r="N90" s="385"/>
      <c r="O90" s="385"/>
      <c r="R90"/>
    </row>
    <row r="91" spans="1:18">
      <c r="A91" s="388">
        <v>1.2230000000000001</v>
      </c>
      <c r="B91" s="389" t="s">
        <v>376</v>
      </c>
      <c r="C91" s="385" t="s">
        <v>0</v>
      </c>
      <c r="D91" s="1008">
        <v>36135</v>
      </c>
      <c r="E91" s="385"/>
      <c r="F91" s="385"/>
      <c r="G91" s="385"/>
      <c r="H91" s="385"/>
      <c r="I91" s="385"/>
      <c r="J91" s="385"/>
      <c r="K91" s="1008">
        <v>36135</v>
      </c>
      <c r="L91" s="385"/>
      <c r="M91" s="385"/>
      <c r="N91" s="385"/>
      <c r="O91" s="385"/>
      <c r="R91"/>
    </row>
    <row r="92" spans="1:18">
      <c r="A92" s="119"/>
      <c r="B92" s="331"/>
      <c r="C92" s="385"/>
      <c r="D92" s="385"/>
      <c r="E92" s="385"/>
      <c r="F92" s="385"/>
      <c r="G92" s="385"/>
      <c r="H92" s="385"/>
      <c r="I92" s="385"/>
      <c r="J92" s="385"/>
      <c r="K92" s="385"/>
      <c r="L92" s="385"/>
      <c r="M92" s="385"/>
      <c r="N92" s="385"/>
      <c r="O92" s="385"/>
      <c r="R92"/>
    </row>
    <row r="93" spans="1:18">
      <c r="A93" s="388">
        <v>1.23</v>
      </c>
      <c r="B93" s="389" t="s">
        <v>366</v>
      </c>
      <c r="C93" s="385"/>
      <c r="D93" s="385"/>
      <c r="E93" s="385"/>
      <c r="F93" s="385"/>
      <c r="G93" s="385"/>
      <c r="H93" s="385"/>
      <c r="I93" s="385"/>
      <c r="J93" s="385"/>
      <c r="K93" s="385"/>
      <c r="L93" s="385"/>
      <c r="M93" s="385"/>
      <c r="N93" s="385"/>
      <c r="O93" s="385"/>
      <c r="R93"/>
    </row>
    <row r="94" spans="1:18">
      <c r="A94" s="119"/>
      <c r="B94" s="331" t="s">
        <v>845</v>
      </c>
      <c r="C94" s="385" t="s">
        <v>0</v>
      </c>
      <c r="D94" s="385">
        <v>30000</v>
      </c>
      <c r="E94" s="385"/>
      <c r="F94" s="385"/>
      <c r="G94" s="385"/>
      <c r="H94" s="385"/>
      <c r="I94" s="385"/>
      <c r="J94" s="385"/>
      <c r="K94" s="385">
        <v>30000</v>
      </c>
      <c r="L94" s="385"/>
      <c r="M94" s="385"/>
      <c r="N94" s="385"/>
      <c r="O94" s="385"/>
      <c r="R94"/>
    </row>
    <row r="95" spans="1:18">
      <c r="A95" s="119"/>
      <c r="B95" s="331" t="s">
        <v>846</v>
      </c>
      <c r="C95" s="385"/>
      <c r="D95" s="385">
        <v>1.1100000000000001</v>
      </c>
      <c r="E95" s="385">
        <v>1</v>
      </c>
      <c r="F95" s="385">
        <v>1.1000000000000001</v>
      </c>
      <c r="G95" s="385">
        <f>CalcMu(E95,F95,D95)</f>
        <v>-5.6704925422080381E-2</v>
      </c>
      <c r="H95" s="385">
        <f>CalcSigma(F95,D95,G95,I95)</f>
        <v>2.4314268159037481E-2</v>
      </c>
      <c r="I95" s="385">
        <v>0.05</v>
      </c>
      <c r="J95" s="385">
        <v>-3.5152580120522768E-2</v>
      </c>
      <c r="K95" s="385">
        <v>1.0716584857898672</v>
      </c>
      <c r="L95" s="385"/>
      <c r="M95" s="385"/>
      <c r="N95" s="385"/>
      <c r="O95" s="385"/>
      <c r="R95"/>
    </row>
    <row r="96" spans="1:18">
      <c r="A96" s="119"/>
      <c r="B96" s="331" t="s">
        <v>847</v>
      </c>
      <c r="C96" s="385"/>
      <c r="D96" s="385">
        <v>1.2</v>
      </c>
      <c r="E96" s="385">
        <v>1</v>
      </c>
      <c r="F96" s="385">
        <v>1.1000000000000001</v>
      </c>
      <c r="G96" s="385">
        <f>CalcMu(E96,F96,D96)</f>
        <v>-0.13466646689179215</v>
      </c>
      <c r="H96" s="385">
        <f>CalcSigma(F96,D96,G96,I96)</f>
        <v>2.4314268159037488E-2</v>
      </c>
      <c r="I96" s="385">
        <v>0.05</v>
      </c>
      <c r="J96" s="385">
        <v>-0.13731659409454985</v>
      </c>
      <c r="K96" s="385">
        <v>1.0460330510434357</v>
      </c>
      <c r="L96" s="385"/>
      <c r="M96" s="385"/>
      <c r="N96" s="385"/>
      <c r="O96" s="385"/>
      <c r="R96"/>
    </row>
    <row r="97" spans="1:18">
      <c r="A97" s="119"/>
      <c r="B97" s="331" t="s">
        <v>1467</v>
      </c>
      <c r="C97" s="385" t="s">
        <v>0</v>
      </c>
      <c r="D97" s="385">
        <v>5000</v>
      </c>
      <c r="E97" s="385"/>
      <c r="F97" s="385"/>
      <c r="G97" s="385"/>
      <c r="H97" s="385"/>
      <c r="I97" s="385"/>
      <c r="J97" s="385"/>
      <c r="K97" s="385">
        <v>5000</v>
      </c>
      <c r="L97" s="385"/>
      <c r="M97" s="385"/>
      <c r="N97" s="385"/>
      <c r="O97" s="385"/>
      <c r="R97"/>
    </row>
    <row r="98" spans="1:18">
      <c r="A98" s="119"/>
      <c r="B98" s="331" t="s">
        <v>1468</v>
      </c>
      <c r="C98" s="385"/>
      <c r="D98" s="385">
        <v>1.02</v>
      </c>
      <c r="E98" s="385">
        <v>1</v>
      </c>
      <c r="F98" s="385">
        <v>1.1000000000000001</v>
      </c>
      <c r="G98" s="385">
        <f>CalcMu(E98,F98,D98)</f>
        <v>2.7852462605982793E-2</v>
      </c>
      <c r="H98" s="385">
        <f>CalcSigma(F98,D98,G98,I98)</f>
        <v>2.4314268159037505E-2</v>
      </c>
      <c r="I98" s="385">
        <v>0.05</v>
      </c>
      <c r="J98" s="385">
        <v>2.0984131491708809E-2</v>
      </c>
      <c r="K98" s="385">
        <v>1.0416299634254214</v>
      </c>
      <c r="L98" s="385"/>
      <c r="M98" s="385"/>
      <c r="N98" s="385"/>
      <c r="O98" s="385"/>
      <c r="R98"/>
    </row>
    <row r="99" spans="1:18">
      <c r="A99" s="119"/>
      <c r="B99" s="331" t="s">
        <v>1469</v>
      </c>
      <c r="C99" s="385"/>
      <c r="D99" s="385">
        <v>1.05</v>
      </c>
      <c r="E99" s="385">
        <v>1</v>
      </c>
      <c r="F99" s="385">
        <v>1.1000000000000001</v>
      </c>
      <c r="G99" s="385">
        <f>CalcMu(E99,F99,D99)</f>
        <v>-1.1350742672695373E-3</v>
      </c>
      <c r="H99" s="385">
        <f>CalcSigma(F99,D99,G99,I99)</f>
        <v>2.4314268159037478E-2</v>
      </c>
      <c r="I99" s="385">
        <v>0.05</v>
      </c>
      <c r="J99" s="385">
        <v>2.4074207882046408E-2</v>
      </c>
      <c r="K99" s="385">
        <v>1.0755846476823718</v>
      </c>
      <c r="L99" s="385"/>
      <c r="M99" s="385"/>
      <c r="N99" s="385"/>
      <c r="O99" s="385"/>
      <c r="R99"/>
    </row>
    <row r="100" spans="1:18">
      <c r="A100" s="119"/>
      <c r="B100" s="331" t="s">
        <v>1470</v>
      </c>
      <c r="C100" s="385" t="s">
        <v>0</v>
      </c>
      <c r="D100" s="385">
        <v>2500</v>
      </c>
      <c r="E100" s="385"/>
      <c r="F100" s="385"/>
      <c r="G100" s="385"/>
      <c r="H100" s="385"/>
      <c r="I100" s="385"/>
      <c r="J100" s="385"/>
      <c r="K100" s="385">
        <v>2500</v>
      </c>
      <c r="L100" s="385"/>
      <c r="M100" s="385"/>
      <c r="N100" s="385"/>
      <c r="O100" s="385"/>
      <c r="R100"/>
    </row>
    <row r="101" spans="1:18">
      <c r="A101" s="119"/>
      <c r="B101" s="331" t="s">
        <v>1471</v>
      </c>
      <c r="C101" s="385"/>
      <c r="D101" s="385">
        <v>1.1000000000000001</v>
      </c>
      <c r="E101" s="385">
        <v>1</v>
      </c>
      <c r="F101" s="385">
        <v>1.1000000000000001</v>
      </c>
      <c r="G101" s="385">
        <f>CalcMu(E101,F101,D101)</f>
        <v>-4.7655089902162447E-2</v>
      </c>
      <c r="H101" s="385">
        <f>CalcSigma(F101,D101,G101,I101)</f>
        <v>2.4314268159037478E-2</v>
      </c>
      <c r="I101" s="385">
        <v>0.05</v>
      </c>
      <c r="J101" s="385">
        <v>-4.5625994613803407E-2</v>
      </c>
      <c r="K101" s="385">
        <v>1.050939141815854</v>
      </c>
      <c r="L101" s="385"/>
      <c r="M101" s="385"/>
      <c r="N101" s="385"/>
      <c r="O101" s="385"/>
      <c r="R101"/>
    </row>
    <row r="102" spans="1:18">
      <c r="A102" s="119"/>
      <c r="B102" s="331" t="s">
        <v>1472</v>
      </c>
      <c r="C102" s="385"/>
      <c r="D102" s="385">
        <v>1.2</v>
      </c>
      <c r="E102" s="385">
        <v>1</v>
      </c>
      <c r="F102" s="385">
        <v>1.1000000000000001</v>
      </c>
      <c r="G102" s="385">
        <f>CalcMu(E102,F102,D102)</f>
        <v>-0.13466646689179215</v>
      </c>
      <c r="H102" s="385">
        <f>CalcSigma(F102,D102,G102,I102)</f>
        <v>2.4314268159037488E-2</v>
      </c>
      <c r="I102" s="385">
        <v>0.05</v>
      </c>
      <c r="J102" s="385">
        <v>-0.14333830413752402</v>
      </c>
      <c r="K102" s="385">
        <v>1.039753070402448</v>
      </c>
      <c r="L102" s="385"/>
      <c r="M102" s="385"/>
      <c r="N102" s="385"/>
      <c r="O102" s="385"/>
      <c r="R102"/>
    </row>
    <row r="103" spans="1:18">
      <c r="A103" s="119"/>
      <c r="B103" s="331" t="s">
        <v>1476</v>
      </c>
      <c r="C103" s="385" t="s">
        <v>0</v>
      </c>
      <c r="D103" s="385">
        <v>6000</v>
      </c>
      <c r="E103" s="385"/>
      <c r="F103" s="385"/>
      <c r="G103" s="385"/>
      <c r="H103" s="385"/>
      <c r="I103" s="385"/>
      <c r="J103" s="385"/>
      <c r="K103" s="385">
        <v>6000</v>
      </c>
      <c r="L103" s="385"/>
      <c r="M103" s="385"/>
      <c r="N103" s="385"/>
      <c r="O103" s="385"/>
      <c r="R103"/>
    </row>
    <row r="104" spans="1:18">
      <c r="A104" s="119"/>
      <c r="B104" s="331" t="s">
        <v>1477</v>
      </c>
      <c r="C104" s="385"/>
      <c r="D104" s="385">
        <v>0.2</v>
      </c>
      <c r="E104" s="385">
        <v>1</v>
      </c>
      <c r="F104" s="385">
        <v>1.1000000000000001</v>
      </c>
      <c r="G104" s="385">
        <f>CalcMu(E104,F104,D104)</f>
        <v>1.6570930023362627</v>
      </c>
      <c r="H104" s="385">
        <f>CalcSigma(F104,D104,G104,I104)</f>
        <v>2.4314268159037557E-2</v>
      </c>
      <c r="I104" s="385">
        <v>0.05</v>
      </c>
      <c r="J104" s="385">
        <v>1.683721383417178</v>
      </c>
      <c r="K104" s="385">
        <v>1.0771120922478823</v>
      </c>
      <c r="L104" s="385"/>
      <c r="M104" s="385"/>
      <c r="N104" s="385"/>
      <c r="O104" s="385"/>
      <c r="R104"/>
    </row>
    <row r="105" spans="1:18">
      <c r="A105" s="119"/>
      <c r="B105" s="331" t="s">
        <v>1478</v>
      </c>
      <c r="C105" s="385"/>
      <c r="D105" s="385">
        <v>0.2</v>
      </c>
      <c r="E105" s="385">
        <v>1</v>
      </c>
      <c r="F105" s="385">
        <v>1.1000000000000001</v>
      </c>
      <c r="G105" s="385">
        <f>CalcMu(E105,F105,D105)</f>
        <v>1.6570930023362627</v>
      </c>
      <c r="H105" s="385">
        <f>CalcSigma(F105,D105,G105,I105)</f>
        <v>2.4314268159037557E-2</v>
      </c>
      <c r="I105" s="385">
        <v>0.05</v>
      </c>
      <c r="J105" s="385">
        <v>1.6180116404605236</v>
      </c>
      <c r="K105" s="385">
        <v>1.0086105876988538</v>
      </c>
      <c r="L105" s="385"/>
      <c r="M105" s="385"/>
      <c r="N105" s="385"/>
      <c r="O105" s="385"/>
      <c r="R105"/>
    </row>
    <row r="106" spans="1:18">
      <c r="A106" s="119"/>
      <c r="B106" s="331" t="s">
        <v>1479</v>
      </c>
      <c r="C106" s="385" t="s">
        <v>0</v>
      </c>
      <c r="D106" s="385">
        <v>3000</v>
      </c>
      <c r="E106" s="385"/>
      <c r="F106" s="385"/>
      <c r="G106" s="385"/>
      <c r="H106" s="385"/>
      <c r="I106" s="385"/>
      <c r="J106" s="385"/>
      <c r="K106" s="385">
        <v>3000</v>
      </c>
      <c r="L106" s="385"/>
      <c r="M106" s="385"/>
      <c r="N106" s="385"/>
      <c r="O106" s="385"/>
      <c r="R106"/>
    </row>
    <row r="107" spans="1:18">
      <c r="A107" s="119"/>
      <c r="B107" s="331" t="s">
        <v>1480</v>
      </c>
      <c r="C107" s="385"/>
      <c r="D107" s="385">
        <v>1.1000000000000001</v>
      </c>
      <c r="E107" s="385">
        <v>1</v>
      </c>
      <c r="F107" s="385">
        <v>1.1000000000000001</v>
      </c>
      <c r="G107" s="385">
        <f>CalcMu(E107,F107,D107)</f>
        <v>-4.7655089902162447E-2</v>
      </c>
      <c r="H107" s="385">
        <f>CalcSigma(F107,D107,G107,I107)</f>
        <v>2.4314268159037478E-2</v>
      </c>
      <c r="I107" s="385">
        <v>0.05</v>
      </c>
      <c r="J107" s="385">
        <v>-5.8559250788328396E-2</v>
      </c>
      <c r="K107" s="385">
        <v>1.0374345938010376</v>
      </c>
      <c r="L107" s="385"/>
      <c r="M107" s="385"/>
      <c r="N107" s="385"/>
      <c r="O107" s="385"/>
      <c r="R107"/>
    </row>
    <row r="108" spans="1:18">
      <c r="A108" s="119"/>
      <c r="B108" s="331" t="s">
        <v>1481</v>
      </c>
      <c r="C108" s="385"/>
      <c r="D108" s="385">
        <v>1.1000000000000001</v>
      </c>
      <c r="E108" s="385">
        <v>1</v>
      </c>
      <c r="F108" s="385">
        <v>1.1000000000000001</v>
      </c>
      <c r="G108" s="385">
        <f>CalcMu(E108,F108,D108)</f>
        <v>-4.7655089902162447E-2</v>
      </c>
      <c r="H108" s="385">
        <f>CalcSigma(F108,D108,G108,I108)</f>
        <v>2.4314268159037478E-2</v>
      </c>
      <c r="I108" s="385">
        <v>0.05</v>
      </c>
      <c r="J108" s="385">
        <v>-5.0640617858604124E-2</v>
      </c>
      <c r="K108" s="385">
        <v>1.0456822695992063</v>
      </c>
      <c r="L108" s="385"/>
      <c r="M108" s="385"/>
      <c r="N108" s="385"/>
      <c r="O108" s="385"/>
      <c r="R108"/>
    </row>
    <row r="109" spans="1:18">
      <c r="A109" s="119"/>
      <c r="B109" s="331" t="s">
        <v>1482</v>
      </c>
      <c r="C109" s="385" t="s">
        <v>0</v>
      </c>
      <c r="D109" s="385">
        <v>5000</v>
      </c>
      <c r="E109" s="385"/>
      <c r="F109" s="385"/>
      <c r="G109" s="385"/>
      <c r="H109" s="385"/>
      <c r="I109" s="385"/>
      <c r="J109" s="385"/>
      <c r="K109" s="385">
        <v>5000</v>
      </c>
      <c r="L109" s="385"/>
      <c r="M109" s="385"/>
      <c r="N109" s="385"/>
      <c r="O109" s="385"/>
      <c r="R109"/>
    </row>
    <row r="110" spans="1:18">
      <c r="A110" s="119"/>
      <c r="B110" s="331" t="s">
        <v>1483</v>
      </c>
      <c r="C110" s="385"/>
      <c r="D110" s="385">
        <v>1.1100000000000001</v>
      </c>
      <c r="E110" s="385">
        <v>1</v>
      </c>
      <c r="F110" s="385">
        <v>1.1000000000000001</v>
      </c>
      <c r="G110" s="385">
        <f>CalcMu(E110,F110,D110)</f>
        <v>-5.6704925422080381E-2</v>
      </c>
      <c r="H110" s="385">
        <f>CalcSigma(F110,D110,G110,I110)</f>
        <v>2.4314268159037481E-2</v>
      </c>
      <c r="I110" s="385">
        <v>0.05</v>
      </c>
      <c r="J110" s="385">
        <v>-5.5783031934512034E-2</v>
      </c>
      <c r="K110" s="385">
        <v>1.0497761840387918</v>
      </c>
      <c r="L110" s="385"/>
      <c r="M110" s="385"/>
      <c r="N110" s="385"/>
      <c r="O110" s="385"/>
      <c r="R110"/>
    </row>
    <row r="111" spans="1:18">
      <c r="A111" s="119"/>
      <c r="B111" s="331" t="s">
        <v>1484</v>
      </c>
      <c r="C111" s="385"/>
      <c r="D111" s="385">
        <v>1.2</v>
      </c>
      <c r="E111" s="385">
        <v>1</v>
      </c>
      <c r="F111" s="385">
        <v>1.1000000000000001</v>
      </c>
      <c r="G111" s="385">
        <f>CalcMu(E111,F111,D111)</f>
        <v>-0.13466646689179215</v>
      </c>
      <c r="H111" s="385">
        <f>CalcSigma(F111,D111,G111,I111)</f>
        <v>2.4314268159037488E-2</v>
      </c>
      <c r="I111" s="385">
        <v>0.05</v>
      </c>
      <c r="J111" s="385">
        <v>-0.12747663225206732</v>
      </c>
      <c r="K111" s="385">
        <v>1.0563767838590565</v>
      </c>
      <c r="L111" s="385"/>
      <c r="M111" s="385"/>
      <c r="N111" s="385"/>
      <c r="O111" s="385"/>
      <c r="R111"/>
    </row>
    <row r="112" spans="1:18">
      <c r="A112" s="119"/>
      <c r="B112" s="331"/>
      <c r="C112" s="385"/>
      <c r="D112" s="385"/>
      <c r="E112" s="385"/>
      <c r="F112" s="385"/>
      <c r="G112" s="385"/>
      <c r="H112" s="385"/>
      <c r="I112" s="385"/>
      <c r="J112" s="385"/>
      <c r="K112" s="385"/>
      <c r="L112" s="385"/>
      <c r="M112" s="385"/>
      <c r="N112" s="385"/>
      <c r="O112" s="385"/>
      <c r="R112"/>
    </row>
    <row r="113" spans="1:18">
      <c r="A113" s="388">
        <v>1.2310000000000001</v>
      </c>
      <c r="B113" s="389" t="s">
        <v>377</v>
      </c>
      <c r="C113" s="385" t="s">
        <v>0</v>
      </c>
      <c r="D113" s="1008">
        <v>51500</v>
      </c>
      <c r="E113" s="385"/>
      <c r="F113" s="385"/>
      <c r="G113" s="385"/>
      <c r="H113" s="385"/>
      <c r="I113" s="385"/>
      <c r="J113" s="385"/>
      <c r="K113" s="1008">
        <v>51500</v>
      </c>
      <c r="L113" s="385"/>
      <c r="M113" s="385"/>
      <c r="N113" s="385"/>
      <c r="O113" s="385"/>
      <c r="R113"/>
    </row>
    <row r="114" spans="1:18">
      <c r="A114" s="388">
        <v>1.232</v>
      </c>
      <c r="B114" s="389" t="s">
        <v>378</v>
      </c>
      <c r="C114" s="385" t="s">
        <v>0</v>
      </c>
      <c r="D114" s="1008">
        <v>51200</v>
      </c>
      <c r="E114" s="385"/>
      <c r="F114" s="385"/>
      <c r="G114" s="385"/>
      <c r="H114" s="385"/>
      <c r="I114" s="385"/>
      <c r="J114" s="385"/>
      <c r="K114" s="1008">
        <v>51200</v>
      </c>
      <c r="L114" s="385"/>
      <c r="M114" s="385"/>
      <c r="N114" s="385"/>
      <c r="O114" s="385"/>
      <c r="R114"/>
    </row>
    <row r="115" spans="1:18">
      <c r="A115" s="388">
        <v>1.2330000000000001</v>
      </c>
      <c r="B115" s="389" t="s">
        <v>379</v>
      </c>
      <c r="C115" s="385" t="s">
        <v>0</v>
      </c>
      <c r="D115" s="1008">
        <v>59145</v>
      </c>
      <c r="E115" s="385"/>
      <c r="F115" s="385"/>
      <c r="G115" s="385"/>
      <c r="H115" s="385"/>
      <c r="I115" s="385"/>
      <c r="J115" s="385"/>
      <c r="K115" s="1008">
        <v>59145</v>
      </c>
      <c r="L115" s="385"/>
      <c r="M115" s="385"/>
      <c r="N115" s="385"/>
      <c r="O115" s="385"/>
      <c r="R115"/>
    </row>
    <row r="116" spans="1:18">
      <c r="A116" s="119"/>
      <c r="B116" s="331"/>
      <c r="C116" s="385"/>
      <c r="D116" s="385"/>
      <c r="E116" s="385"/>
      <c r="F116" s="385"/>
      <c r="G116" s="385"/>
      <c r="H116" s="385"/>
      <c r="I116" s="385"/>
      <c r="J116" s="385"/>
      <c r="K116" s="385"/>
      <c r="L116" s="385"/>
      <c r="M116" s="385"/>
      <c r="N116" s="385"/>
      <c r="O116" s="385"/>
      <c r="R116"/>
    </row>
    <row r="117" spans="1:18">
      <c r="A117" s="388">
        <v>1.24</v>
      </c>
      <c r="B117" s="389" t="s">
        <v>83</v>
      </c>
      <c r="C117" s="385"/>
      <c r="D117" s="385"/>
      <c r="E117" s="385"/>
      <c r="F117" s="385"/>
      <c r="G117" s="385"/>
      <c r="H117" s="385"/>
      <c r="I117" s="385"/>
      <c r="J117" s="385"/>
      <c r="K117" s="385"/>
      <c r="L117" s="385"/>
      <c r="M117" s="385"/>
      <c r="N117" s="385"/>
      <c r="O117" s="385"/>
      <c r="R117"/>
    </row>
    <row r="118" spans="1:18">
      <c r="A118" s="119"/>
      <c r="B118" s="331" t="s">
        <v>851</v>
      </c>
      <c r="C118" s="385" t="s">
        <v>447</v>
      </c>
      <c r="D118" s="385">
        <v>5000</v>
      </c>
      <c r="E118" s="385"/>
      <c r="F118" s="385"/>
      <c r="G118" s="385"/>
      <c r="H118" s="385"/>
      <c r="I118" s="385"/>
      <c r="J118" s="385"/>
      <c r="K118" s="385">
        <v>5000</v>
      </c>
      <c r="L118" s="385"/>
      <c r="M118" s="385"/>
      <c r="N118" s="385"/>
      <c r="O118" s="385"/>
      <c r="R118"/>
    </row>
    <row r="119" spans="1:18">
      <c r="A119" s="119"/>
      <c r="B119" s="331" t="s">
        <v>852</v>
      </c>
      <c r="C119" s="385" t="s">
        <v>447</v>
      </c>
      <c r="D119" s="385">
        <v>100</v>
      </c>
      <c r="E119" s="385"/>
      <c r="F119" s="385"/>
      <c r="G119" s="385"/>
      <c r="H119" s="385"/>
      <c r="I119" s="385"/>
      <c r="J119" s="385"/>
      <c r="K119" s="385">
        <v>100</v>
      </c>
      <c r="L119" s="385"/>
      <c r="M119" s="385"/>
      <c r="N119" s="385"/>
      <c r="O119" s="385"/>
      <c r="R119"/>
    </row>
    <row r="120" spans="1:18">
      <c r="A120" s="119"/>
      <c r="B120" s="331" t="s">
        <v>853</v>
      </c>
      <c r="C120" s="385" t="s">
        <v>447</v>
      </c>
      <c r="D120" s="385">
        <v>1.08</v>
      </c>
      <c r="E120" s="385"/>
      <c r="F120" s="385"/>
      <c r="G120" s="385"/>
      <c r="H120" s="385"/>
      <c r="I120" s="385"/>
      <c r="J120" s="385"/>
      <c r="K120" s="385">
        <v>1.08</v>
      </c>
      <c r="L120" s="385"/>
      <c r="M120" s="385"/>
      <c r="N120" s="385"/>
      <c r="O120" s="385"/>
      <c r="R120"/>
    </row>
    <row r="121" spans="1:18">
      <c r="A121" s="119"/>
      <c r="B121" s="331" t="s">
        <v>854</v>
      </c>
      <c r="C121" s="385" t="s">
        <v>447</v>
      </c>
      <c r="D121" s="385">
        <v>1.1599999999999999</v>
      </c>
      <c r="E121" s="385"/>
      <c r="F121" s="385"/>
      <c r="G121" s="385"/>
      <c r="H121" s="385"/>
      <c r="I121" s="385"/>
      <c r="J121" s="385"/>
      <c r="K121" s="385">
        <v>1.1599999999999999</v>
      </c>
      <c r="L121" s="385"/>
      <c r="M121" s="385"/>
      <c r="N121" s="385"/>
      <c r="O121" s="385"/>
      <c r="R121"/>
    </row>
    <row r="122" spans="1:18">
      <c r="A122" s="119"/>
      <c r="B122" s="331"/>
      <c r="C122" s="385"/>
      <c r="D122" s="385"/>
      <c r="E122" s="385"/>
      <c r="F122" s="385"/>
      <c r="G122" s="385"/>
      <c r="H122" s="385"/>
      <c r="I122" s="385"/>
      <c r="J122" s="385"/>
      <c r="K122" s="385"/>
      <c r="L122" s="385"/>
      <c r="M122" s="385"/>
      <c r="N122" s="385"/>
      <c r="O122" s="385"/>
      <c r="R122"/>
    </row>
    <row r="123" spans="1:18">
      <c r="A123" s="388">
        <v>1.2410000000000001</v>
      </c>
      <c r="B123" s="389" t="s">
        <v>380</v>
      </c>
      <c r="C123" t="s">
        <v>0</v>
      </c>
      <c r="D123" s="147">
        <v>5000</v>
      </c>
      <c r="G123"/>
      <c r="I123"/>
      <c r="K123" s="147">
        <v>5000</v>
      </c>
      <c r="O123"/>
      <c r="R123"/>
    </row>
    <row r="124" spans="1:18">
      <c r="A124" s="388">
        <v>1.242</v>
      </c>
      <c r="B124" s="389" t="s">
        <v>381</v>
      </c>
      <c r="C124" t="s">
        <v>0</v>
      </c>
      <c r="D124" s="147">
        <v>5400</v>
      </c>
      <c r="G124"/>
      <c r="I124"/>
      <c r="K124" s="147">
        <v>5400</v>
      </c>
      <c r="O124"/>
      <c r="R124"/>
    </row>
    <row r="125" spans="1:18">
      <c r="A125" s="388">
        <v>1.2430000000000001</v>
      </c>
      <c r="B125" s="389" t="s">
        <v>382</v>
      </c>
      <c r="C125" t="s">
        <v>0</v>
      </c>
      <c r="D125" s="147">
        <v>6264</v>
      </c>
      <c r="G125"/>
      <c r="I125"/>
      <c r="K125" s="147">
        <v>6264</v>
      </c>
      <c r="O125"/>
      <c r="R125"/>
    </row>
    <row r="126" spans="1:18">
      <c r="A126" s="119"/>
      <c r="B126" s="331"/>
      <c r="G126"/>
      <c r="I126"/>
      <c r="O126"/>
      <c r="R126"/>
    </row>
    <row r="127" spans="1:18">
      <c r="A127" s="388">
        <v>1.25</v>
      </c>
      <c r="B127" s="389" t="s">
        <v>335</v>
      </c>
      <c r="G127"/>
      <c r="I127"/>
      <c r="O127"/>
      <c r="R127"/>
    </row>
    <row r="128" spans="1:18">
      <c r="A128" s="119"/>
      <c r="B128" s="331" t="s">
        <v>855</v>
      </c>
      <c r="C128" t="s">
        <v>447</v>
      </c>
      <c r="D128">
        <v>60000</v>
      </c>
      <c r="G128"/>
      <c r="I128"/>
      <c r="K128">
        <v>60000</v>
      </c>
      <c r="O128"/>
      <c r="R128"/>
    </row>
    <row r="129" spans="1:18">
      <c r="A129" s="119"/>
      <c r="B129" s="331" t="s">
        <v>856</v>
      </c>
      <c r="C129" t="s">
        <v>447</v>
      </c>
      <c r="D129">
        <v>5.5E-2</v>
      </c>
      <c r="G129"/>
      <c r="I129"/>
      <c r="K129">
        <v>5.5E-2</v>
      </c>
      <c r="O129"/>
      <c r="R129"/>
    </row>
    <row r="130" spans="1:18">
      <c r="A130" s="119"/>
      <c r="B130" s="331" t="s">
        <v>857</v>
      </c>
      <c r="C130" t="s">
        <v>447</v>
      </c>
      <c r="D130">
        <v>36</v>
      </c>
      <c r="G130"/>
      <c r="I130"/>
      <c r="K130">
        <v>36</v>
      </c>
      <c r="O130"/>
      <c r="R130"/>
    </row>
    <row r="131" spans="1:18">
      <c r="A131" s="119"/>
      <c r="B131" s="331" t="s">
        <v>858</v>
      </c>
      <c r="C131" t="s">
        <v>447</v>
      </c>
      <c r="D131">
        <v>12</v>
      </c>
      <c r="G131"/>
      <c r="I131"/>
      <c r="K131">
        <v>12</v>
      </c>
      <c r="O131"/>
      <c r="R131"/>
    </row>
    <row r="132" spans="1:18">
      <c r="A132" s="119"/>
      <c r="B132" s="331" t="s">
        <v>859</v>
      </c>
      <c r="C132" t="s">
        <v>447</v>
      </c>
      <c r="D132" t="s">
        <v>370</v>
      </c>
      <c r="G132"/>
      <c r="I132"/>
      <c r="K132" t="s">
        <v>370</v>
      </c>
      <c r="O132"/>
      <c r="R132"/>
    </row>
    <row r="133" spans="1:18">
      <c r="A133" s="119"/>
      <c r="B133" s="331"/>
      <c r="G133"/>
      <c r="I133"/>
      <c r="O133"/>
      <c r="R133"/>
    </row>
    <row r="134" spans="1:18">
      <c r="A134" s="388">
        <v>1.2509999999999999</v>
      </c>
      <c r="B134" s="389" t="s">
        <v>383</v>
      </c>
      <c r="C134" t="s">
        <v>0</v>
      </c>
      <c r="D134" s="147">
        <v>21697.57</v>
      </c>
      <c r="G134"/>
      <c r="I134"/>
      <c r="K134" s="147">
        <v>21697.57</v>
      </c>
      <c r="O134"/>
      <c r="R134"/>
    </row>
    <row r="135" spans="1:18">
      <c r="A135" s="388">
        <v>1.252</v>
      </c>
      <c r="B135" s="389" t="s">
        <v>385</v>
      </c>
      <c r="C135" t="s">
        <v>0</v>
      </c>
      <c r="D135" s="147">
        <v>21697.57</v>
      </c>
      <c r="G135"/>
      <c r="I135"/>
      <c r="K135" s="147">
        <v>21697.57</v>
      </c>
      <c r="O135"/>
      <c r="R135"/>
    </row>
    <row r="136" spans="1:18">
      <c r="A136" s="388">
        <v>1.2529999999999999</v>
      </c>
      <c r="B136" s="389" t="s">
        <v>384</v>
      </c>
      <c r="C136" t="s">
        <v>0</v>
      </c>
      <c r="D136" s="147">
        <v>21697.57</v>
      </c>
      <c r="G136"/>
      <c r="I136"/>
      <c r="K136" s="147">
        <v>21697.57</v>
      </c>
      <c r="O136"/>
      <c r="R136"/>
    </row>
    <row r="137" spans="1:18">
      <c r="A137" s="119"/>
      <c r="B137" s="331"/>
      <c r="G137"/>
      <c r="I137"/>
      <c r="O137"/>
      <c r="R137"/>
    </row>
    <row r="138" spans="1:18">
      <c r="A138" s="388">
        <v>1.26</v>
      </c>
      <c r="B138" s="390" t="s">
        <v>76</v>
      </c>
      <c r="G138"/>
      <c r="I138"/>
      <c r="O138"/>
      <c r="R138"/>
    </row>
    <row r="139" spans="1:18">
      <c r="A139" s="349"/>
      <c r="B139" s="350" t="s">
        <v>860</v>
      </c>
      <c r="C139" t="s">
        <v>447</v>
      </c>
      <c r="D139">
        <v>0.05</v>
      </c>
      <c r="G139"/>
      <c r="I139"/>
      <c r="K139">
        <v>0.05</v>
      </c>
      <c r="O139"/>
      <c r="R139"/>
    </row>
    <row r="140" spans="1:18">
      <c r="A140" s="119"/>
      <c r="B140" s="331" t="s">
        <v>461</v>
      </c>
      <c r="C140" t="s">
        <v>447</v>
      </c>
      <c r="D140" s="147">
        <v>2625</v>
      </c>
      <c r="G140"/>
      <c r="I140"/>
      <c r="K140" s="147">
        <v>2625</v>
      </c>
      <c r="O140"/>
      <c r="R140"/>
    </row>
    <row r="141" spans="1:18">
      <c r="A141" s="349"/>
      <c r="B141" s="350" t="s">
        <v>861</v>
      </c>
      <c r="C141" t="s">
        <v>447</v>
      </c>
      <c r="D141">
        <v>9.5000000000000001E-2</v>
      </c>
      <c r="G141"/>
      <c r="I141"/>
      <c r="K141">
        <v>9.5000000000000001E-2</v>
      </c>
      <c r="O141"/>
      <c r="R141"/>
    </row>
    <row r="142" spans="1:18">
      <c r="A142" s="119"/>
      <c r="B142" s="331" t="s">
        <v>462</v>
      </c>
      <c r="C142" t="s">
        <v>447</v>
      </c>
      <c r="D142" s="147">
        <v>4987.5</v>
      </c>
      <c r="G142"/>
      <c r="I142"/>
      <c r="K142" s="147">
        <v>4987.5</v>
      </c>
      <c r="O142"/>
      <c r="R142"/>
    </row>
    <row r="143" spans="1:18">
      <c r="A143" s="391"/>
      <c r="B143" s="350" t="s">
        <v>862</v>
      </c>
      <c r="C143" t="s">
        <v>447</v>
      </c>
      <c r="D143">
        <v>8.5500000000000007E-2</v>
      </c>
      <c r="G143"/>
      <c r="I143"/>
      <c r="K143">
        <v>8.5500000000000007E-2</v>
      </c>
      <c r="O143"/>
      <c r="R143"/>
    </row>
    <row r="144" spans="1:18">
      <c r="A144" s="119"/>
      <c r="B144" s="331" t="s">
        <v>463</v>
      </c>
      <c r="C144" t="s">
        <v>447</v>
      </c>
      <c r="D144" s="147">
        <v>4488.75</v>
      </c>
      <c r="G144"/>
      <c r="I144"/>
      <c r="K144" s="147">
        <v>4488.75</v>
      </c>
      <c r="O144"/>
      <c r="R144"/>
    </row>
    <row r="145" spans="1:18">
      <c r="A145" s="119"/>
      <c r="B145" s="331"/>
      <c r="G145"/>
      <c r="I145"/>
      <c r="O145"/>
      <c r="R145"/>
    </row>
    <row r="146" spans="1:18">
      <c r="A146" s="388">
        <v>1.31</v>
      </c>
      <c r="B146" s="389" t="s">
        <v>343</v>
      </c>
      <c r="G146"/>
      <c r="I146"/>
      <c r="O146"/>
      <c r="R146"/>
    </row>
    <row r="147" spans="1:18">
      <c r="A147" s="119"/>
      <c r="B147" s="331" t="s">
        <v>865</v>
      </c>
      <c r="C147" t="s">
        <v>447</v>
      </c>
      <c r="D147">
        <v>0.29849999999999999</v>
      </c>
      <c r="G147"/>
      <c r="I147"/>
      <c r="K147">
        <v>0.29849999999999999</v>
      </c>
      <c r="O147"/>
      <c r="R147"/>
    </row>
    <row r="148" spans="1:18">
      <c r="B148" s="332"/>
      <c r="G148"/>
      <c r="I148"/>
      <c r="O148"/>
      <c r="R148"/>
    </row>
    <row r="149" spans="1:18">
      <c r="A149" s="388">
        <v>1.32</v>
      </c>
      <c r="B149" s="389" t="s">
        <v>361</v>
      </c>
      <c r="G149"/>
      <c r="I149"/>
      <c r="O149"/>
      <c r="R149"/>
    </row>
    <row r="150" spans="1:18">
      <c r="A150" s="119"/>
      <c r="B150" s="331"/>
      <c r="G150"/>
      <c r="I150"/>
      <c r="O150"/>
      <c r="R150"/>
    </row>
    <row r="151" spans="1:18">
      <c r="A151" s="388">
        <v>1.321</v>
      </c>
      <c r="B151" s="389" t="s">
        <v>386</v>
      </c>
      <c r="G151"/>
      <c r="I151"/>
      <c r="O151"/>
      <c r="R151"/>
    </row>
    <row r="152" spans="1:18">
      <c r="A152" s="119"/>
      <c r="B152" s="331"/>
      <c r="G152"/>
      <c r="I152"/>
      <c r="O152"/>
      <c r="R152"/>
    </row>
    <row r="153" spans="1:18">
      <c r="A153" s="388">
        <v>1.41</v>
      </c>
      <c r="B153" s="389" t="s">
        <v>547</v>
      </c>
      <c r="G153"/>
      <c r="I153"/>
      <c r="O153"/>
      <c r="R153"/>
    </row>
    <row r="154" spans="1:18">
      <c r="A154" s="119"/>
      <c r="B154" s="331" t="s">
        <v>866</v>
      </c>
      <c r="C154" t="s">
        <v>447</v>
      </c>
      <c r="D154" t="s">
        <v>409</v>
      </c>
      <c r="G154"/>
      <c r="I154"/>
      <c r="K154" t="s">
        <v>409</v>
      </c>
      <c r="O154"/>
      <c r="R154"/>
    </row>
    <row r="155" spans="1:18">
      <c r="A155" s="119"/>
      <c r="B155" s="331" t="s">
        <v>867</v>
      </c>
      <c r="C155" t="s">
        <v>447</v>
      </c>
      <c r="D155" t="s">
        <v>69</v>
      </c>
      <c r="G155"/>
      <c r="I155"/>
      <c r="K155" t="s">
        <v>69</v>
      </c>
      <c r="O155"/>
      <c r="R155"/>
    </row>
    <row r="156" spans="1:18">
      <c r="A156" s="119"/>
      <c r="B156" s="331" t="s">
        <v>868</v>
      </c>
      <c r="D156">
        <v>0.56000000000000005</v>
      </c>
      <c r="E156">
        <f>CalcMin(D156,G156,H156,I156)</f>
        <v>0.50382034036749712</v>
      </c>
      <c r="F156">
        <f>CalcMax(D156,G156,H156,I156)</f>
        <v>0.69482070263490647</v>
      </c>
      <c r="G156">
        <v>5.5E-2</v>
      </c>
      <c r="H156">
        <v>8.2000000000000003E-2</v>
      </c>
      <c r="I156">
        <v>0.05</v>
      </c>
      <c r="J156">
        <v>1.7593257629826248E-2</v>
      </c>
      <c r="K156">
        <v>0.56993940112381969</v>
      </c>
      <c r="O156"/>
      <c r="R156"/>
    </row>
    <row r="157" spans="1:18">
      <c r="A157" s="119"/>
      <c r="B157" s="331" t="s">
        <v>869</v>
      </c>
      <c r="D157">
        <v>0.3</v>
      </c>
      <c r="E157">
        <f>CalcMin(D157,G157,H157,I157)</f>
        <v>0.269903753768302</v>
      </c>
      <c r="F157">
        <f>CalcMax(D157,G157,H157,I157)</f>
        <v>0.37222537641155701</v>
      </c>
      <c r="G157">
        <v>5.5E-2</v>
      </c>
      <c r="H157">
        <v>8.2000000000000003E-2</v>
      </c>
      <c r="I157">
        <v>0.05</v>
      </c>
      <c r="J157">
        <v>3.3111454492670708E-2</v>
      </c>
      <c r="K157">
        <v>0.31009972185359425</v>
      </c>
      <c r="O157"/>
      <c r="R157"/>
    </row>
    <row r="158" spans="1:18">
      <c r="A158" s="119"/>
      <c r="B158" s="331" t="s">
        <v>870</v>
      </c>
      <c r="D158">
        <v>0.3</v>
      </c>
      <c r="E158">
        <f>CalcMin(D158,G158,H158,I158)</f>
        <v>0.269903753768302</v>
      </c>
      <c r="F158">
        <f>CalcMax(D158,G158,H158,I158)</f>
        <v>0.37222537641155701</v>
      </c>
      <c r="G158">
        <v>5.5E-2</v>
      </c>
      <c r="H158">
        <v>8.2000000000000003E-2</v>
      </c>
      <c r="I158">
        <v>0.05</v>
      </c>
      <c r="J158">
        <v>-2.4586637021306083E-2</v>
      </c>
      <c r="K158">
        <v>0.29271394571258763</v>
      </c>
      <c r="O158"/>
      <c r="R158"/>
    </row>
    <row r="159" spans="1:18">
      <c r="A159" s="119"/>
      <c r="B159" s="331" t="s">
        <v>871</v>
      </c>
      <c r="C159" t="s">
        <v>447</v>
      </c>
      <c r="D159">
        <v>8</v>
      </c>
      <c r="G159"/>
      <c r="I159"/>
      <c r="K159">
        <v>8</v>
      </c>
      <c r="O159"/>
      <c r="R159"/>
    </row>
    <row r="160" spans="1:18">
      <c r="A160" s="119"/>
      <c r="B160" s="331" t="s">
        <v>872</v>
      </c>
      <c r="C160" t="s">
        <v>447</v>
      </c>
      <c r="D160">
        <v>1</v>
      </c>
      <c r="G160"/>
      <c r="I160"/>
      <c r="K160">
        <v>1</v>
      </c>
      <c r="O160"/>
      <c r="R160"/>
    </row>
    <row r="161" spans="1:11" customFormat="1">
      <c r="A161" s="119"/>
      <c r="B161" s="331" t="s">
        <v>873</v>
      </c>
      <c r="C161" t="s">
        <v>447</v>
      </c>
      <c r="D161">
        <v>0.8</v>
      </c>
      <c r="K161">
        <v>0.8</v>
      </c>
    </row>
    <row r="162" spans="1:11" customFormat="1">
      <c r="A162" s="119"/>
      <c r="B162" s="331" t="s">
        <v>874</v>
      </c>
      <c r="C162" t="s">
        <v>447</v>
      </c>
      <c r="D162">
        <v>1.05</v>
      </c>
      <c r="K162">
        <v>1.05</v>
      </c>
    </row>
    <row r="163" spans="1:11" customFormat="1">
      <c r="A163" s="119"/>
      <c r="B163" s="331" t="s">
        <v>875</v>
      </c>
      <c r="C163" t="s">
        <v>447</v>
      </c>
      <c r="D163">
        <v>1.3</v>
      </c>
      <c r="K163">
        <v>1.3</v>
      </c>
    </row>
    <row r="164" spans="1:11" customFormat="1">
      <c r="A164" s="119"/>
      <c r="B164" s="331" t="s">
        <v>876</v>
      </c>
      <c r="C164" t="s">
        <v>447</v>
      </c>
      <c r="D164">
        <v>0</v>
      </c>
      <c r="K164">
        <v>0</v>
      </c>
    </row>
    <row r="165" spans="1:11" customFormat="1">
      <c r="A165" s="119"/>
      <c r="B165" s="331" t="s">
        <v>877</v>
      </c>
      <c r="C165" t="s">
        <v>447</v>
      </c>
      <c r="D165">
        <v>0</v>
      </c>
      <c r="K165">
        <v>0</v>
      </c>
    </row>
    <row r="166" spans="1:11" customFormat="1">
      <c r="A166" s="119"/>
      <c r="B166" s="331" t="s">
        <v>878</v>
      </c>
      <c r="C166" t="s">
        <v>447</v>
      </c>
      <c r="D166" t="s">
        <v>409</v>
      </c>
      <c r="K166" t="s">
        <v>409</v>
      </c>
    </row>
    <row r="167" spans="1:11" customFormat="1">
      <c r="A167" s="119"/>
      <c r="B167" s="331" t="s">
        <v>879</v>
      </c>
      <c r="C167" t="s">
        <v>447</v>
      </c>
      <c r="D167" t="s">
        <v>68</v>
      </c>
      <c r="K167" t="s">
        <v>68</v>
      </c>
    </row>
    <row r="168" spans="1:11" customFormat="1">
      <c r="A168" s="119"/>
      <c r="B168" s="331" t="s">
        <v>880</v>
      </c>
      <c r="D168">
        <v>0.5</v>
      </c>
      <c r="E168">
        <f>CalcMin(D168,G168,H168,I168)</f>
        <v>0.44983958961383669</v>
      </c>
      <c r="F168">
        <f>CalcMax(D168,G168,H168,I168)</f>
        <v>0.62037562735259499</v>
      </c>
      <c r="G168">
        <v>5.5E-2</v>
      </c>
      <c r="H168">
        <v>8.2000000000000003E-2</v>
      </c>
      <c r="I168">
        <v>0.05</v>
      </c>
      <c r="J168">
        <v>7.7180510548297235E-2</v>
      </c>
      <c r="K168">
        <v>0.54011852648856484</v>
      </c>
    </row>
    <row r="169" spans="1:11" customFormat="1">
      <c r="A169" s="119"/>
      <c r="B169" s="331" t="s">
        <v>881</v>
      </c>
      <c r="D169">
        <v>0.3</v>
      </c>
      <c r="E169">
        <f>CalcMin(D169,G169,H169,I169)</f>
        <v>0.269903753768302</v>
      </c>
      <c r="F169">
        <f>CalcMax(D169,G169,H169,I169)</f>
        <v>0.37222537641155701</v>
      </c>
      <c r="G169">
        <v>5.5E-2</v>
      </c>
      <c r="H169">
        <v>8.2000000000000003E-2</v>
      </c>
      <c r="I169">
        <v>0.05</v>
      </c>
      <c r="J169">
        <v>0.16635829685469297</v>
      </c>
      <c r="K169">
        <v>0.35429885194212346</v>
      </c>
    </row>
    <row r="170" spans="1:11" customFormat="1">
      <c r="A170" s="119"/>
      <c r="B170" s="331" t="s">
        <v>882</v>
      </c>
      <c r="D170">
        <v>0.3</v>
      </c>
      <c r="E170">
        <f>CalcMin(D170,G170,H170,I170)</f>
        <v>0.269903753768302</v>
      </c>
      <c r="F170">
        <f>CalcMax(D170,G170,H170,I170)</f>
        <v>0.37222537641155701</v>
      </c>
      <c r="G170">
        <v>5.5E-2</v>
      </c>
      <c r="H170">
        <v>8.2000000000000003E-2</v>
      </c>
      <c r="I170">
        <v>0.05</v>
      </c>
      <c r="J170">
        <v>-9.1132515923001423E-2</v>
      </c>
      <c r="K170">
        <v>0.27386901885922355</v>
      </c>
    </row>
    <row r="171" spans="1:11" customFormat="1">
      <c r="A171" s="119"/>
      <c r="B171" s="331" t="s">
        <v>883</v>
      </c>
      <c r="C171" t="s">
        <v>447</v>
      </c>
      <c r="D171">
        <v>8</v>
      </c>
      <c r="K171">
        <v>8</v>
      </c>
    </row>
    <row r="172" spans="1:11" customFormat="1">
      <c r="A172" s="119"/>
      <c r="B172" s="331" t="s">
        <v>884</v>
      </c>
      <c r="C172" t="s">
        <v>447</v>
      </c>
      <c r="D172">
        <v>1</v>
      </c>
      <c r="K172">
        <v>1</v>
      </c>
    </row>
    <row r="173" spans="1:11" customFormat="1">
      <c r="A173" s="119"/>
      <c r="B173" s="331" t="s">
        <v>885</v>
      </c>
      <c r="C173" t="s">
        <v>447</v>
      </c>
      <c r="D173">
        <v>0.8</v>
      </c>
      <c r="K173">
        <v>0.8</v>
      </c>
    </row>
    <row r="174" spans="1:11" customFormat="1">
      <c r="A174" s="119"/>
      <c r="B174" s="331" t="s">
        <v>886</v>
      </c>
      <c r="C174" t="s">
        <v>447</v>
      </c>
      <c r="D174">
        <v>1.05</v>
      </c>
      <c r="K174">
        <v>1.05</v>
      </c>
    </row>
    <row r="175" spans="1:11" customFormat="1">
      <c r="A175" s="119"/>
      <c r="B175" s="331" t="s">
        <v>887</v>
      </c>
      <c r="C175" t="s">
        <v>447</v>
      </c>
      <c r="D175">
        <v>1.3</v>
      </c>
      <c r="K175">
        <v>1.3</v>
      </c>
    </row>
    <row r="176" spans="1:11" customFormat="1">
      <c r="A176" s="119"/>
      <c r="B176" s="331" t="s">
        <v>888</v>
      </c>
      <c r="C176" t="s">
        <v>447</v>
      </c>
      <c r="D176">
        <v>0</v>
      </c>
      <c r="K176">
        <v>0</v>
      </c>
    </row>
    <row r="177" spans="1:11" customFormat="1">
      <c r="A177" s="119"/>
      <c r="B177" s="331" t="s">
        <v>889</v>
      </c>
      <c r="C177" t="s">
        <v>447</v>
      </c>
      <c r="D177">
        <v>0</v>
      </c>
      <c r="K177">
        <v>0</v>
      </c>
    </row>
    <row r="178" spans="1:11" customFormat="1">
      <c r="A178" s="119"/>
      <c r="B178" s="331" t="s">
        <v>890</v>
      </c>
      <c r="C178" t="s">
        <v>447</v>
      </c>
      <c r="D178" t="s">
        <v>409</v>
      </c>
      <c r="K178" t="s">
        <v>409</v>
      </c>
    </row>
    <row r="179" spans="1:11" customFormat="1">
      <c r="A179" s="119"/>
      <c r="B179" s="331" t="s">
        <v>891</v>
      </c>
      <c r="C179" t="s">
        <v>447</v>
      </c>
      <c r="D179" t="s">
        <v>433</v>
      </c>
      <c r="K179" t="s">
        <v>433</v>
      </c>
    </row>
    <row r="180" spans="1:11" customFormat="1">
      <c r="A180" s="119"/>
      <c r="B180" s="331" t="s">
        <v>892</v>
      </c>
      <c r="D180">
        <v>0.5</v>
      </c>
      <c r="E180">
        <f>CalcMin(D180,G180,H180,I180)</f>
        <v>0.44983958961383669</v>
      </c>
      <c r="F180">
        <f>CalcMax(D180,G180,H180,I180)</f>
        <v>0.62037562735259499</v>
      </c>
      <c r="G180">
        <v>5.5E-2</v>
      </c>
      <c r="H180">
        <v>8.2000000000000003E-2</v>
      </c>
      <c r="I180">
        <v>0.05</v>
      </c>
      <c r="J180">
        <v>-5.0103344256971487E-2</v>
      </c>
      <c r="K180">
        <v>0.4755655627410183</v>
      </c>
    </row>
    <row r="181" spans="1:11" customFormat="1">
      <c r="A181" s="119"/>
      <c r="B181" s="331" t="s">
        <v>893</v>
      </c>
      <c r="D181">
        <v>0.3</v>
      </c>
      <c r="E181">
        <f>CalcMin(D181,G181,H181,I181)</f>
        <v>0.269903753768302</v>
      </c>
      <c r="F181">
        <f>CalcMax(D181,G181,H181,I181)</f>
        <v>0.37222537641155701</v>
      </c>
      <c r="G181">
        <v>5.5E-2</v>
      </c>
      <c r="H181">
        <v>8.2000000000000003E-2</v>
      </c>
      <c r="I181">
        <v>0.05</v>
      </c>
      <c r="J181">
        <v>8.7962756431827938E-2</v>
      </c>
      <c r="K181">
        <v>0.32758423597543845</v>
      </c>
    </row>
    <row r="182" spans="1:11" customFormat="1">
      <c r="A182" s="119"/>
      <c r="B182" s="331" t="s">
        <v>894</v>
      </c>
      <c r="D182">
        <v>0.3</v>
      </c>
      <c r="E182">
        <f>CalcMin(D182,G182,H182,I182)</f>
        <v>0.269903753768302</v>
      </c>
      <c r="F182">
        <f>CalcMax(D182,G182,H182,I182)</f>
        <v>0.37222537641155701</v>
      </c>
      <c r="G182">
        <v>5.5E-2</v>
      </c>
      <c r="H182">
        <v>8.2000000000000003E-2</v>
      </c>
      <c r="I182">
        <v>0.05</v>
      </c>
      <c r="J182">
        <v>5.4231619712208551E-2</v>
      </c>
      <c r="K182">
        <v>0.31671873045276405</v>
      </c>
    </row>
    <row r="183" spans="1:11" customFormat="1">
      <c r="A183" s="119"/>
      <c r="B183" s="331" t="s">
        <v>895</v>
      </c>
      <c r="C183" t="s">
        <v>447</v>
      </c>
      <c r="D183">
        <v>7.5</v>
      </c>
      <c r="K183">
        <v>7.5</v>
      </c>
    </row>
    <row r="184" spans="1:11" customFormat="1">
      <c r="A184" s="119"/>
      <c r="B184" s="331" t="s">
        <v>896</v>
      </c>
      <c r="C184" t="s">
        <v>447</v>
      </c>
      <c r="D184">
        <v>1</v>
      </c>
      <c r="K184">
        <v>1</v>
      </c>
    </row>
    <row r="185" spans="1:11" customFormat="1">
      <c r="A185" s="119"/>
      <c r="B185" s="331" t="s">
        <v>897</v>
      </c>
      <c r="C185" t="s">
        <v>447</v>
      </c>
      <c r="D185">
        <v>0.8</v>
      </c>
      <c r="K185">
        <v>0.8</v>
      </c>
    </row>
    <row r="186" spans="1:11" customFormat="1">
      <c r="A186" s="119"/>
      <c r="B186" s="331" t="s">
        <v>898</v>
      </c>
      <c r="C186" t="s">
        <v>447</v>
      </c>
      <c r="D186">
        <v>1.05</v>
      </c>
      <c r="K186">
        <v>1.05</v>
      </c>
    </row>
    <row r="187" spans="1:11" customFormat="1">
      <c r="A187" s="119"/>
      <c r="B187" s="331" t="s">
        <v>899</v>
      </c>
      <c r="C187" t="s">
        <v>447</v>
      </c>
      <c r="D187">
        <v>1.3</v>
      </c>
      <c r="K187">
        <v>1.3</v>
      </c>
    </row>
    <row r="188" spans="1:11" customFormat="1">
      <c r="A188" s="119"/>
      <c r="B188" s="331" t="s">
        <v>900</v>
      </c>
      <c r="C188" t="s">
        <v>447</v>
      </c>
      <c r="D188">
        <v>0</v>
      </c>
      <c r="K188">
        <v>0</v>
      </c>
    </row>
    <row r="189" spans="1:11" customFormat="1">
      <c r="A189" s="119"/>
      <c r="B189" s="331" t="s">
        <v>901</v>
      </c>
      <c r="C189" t="s">
        <v>447</v>
      </c>
      <c r="D189">
        <v>0</v>
      </c>
      <c r="K189">
        <v>0</v>
      </c>
    </row>
    <row r="190" spans="1:11" customFormat="1">
      <c r="A190" s="119"/>
      <c r="B190" s="331" t="s">
        <v>902</v>
      </c>
      <c r="C190" t="s">
        <v>447</v>
      </c>
      <c r="D190" t="s">
        <v>409</v>
      </c>
      <c r="K190" t="s">
        <v>409</v>
      </c>
    </row>
    <row r="191" spans="1:11" customFormat="1">
      <c r="A191" s="119"/>
      <c r="B191" s="331" t="s">
        <v>903</v>
      </c>
      <c r="C191" t="s">
        <v>447</v>
      </c>
      <c r="D191" t="s">
        <v>434</v>
      </c>
      <c r="K191" t="s">
        <v>434</v>
      </c>
    </row>
    <row r="192" spans="1:11" customFormat="1">
      <c r="A192" s="119"/>
      <c r="B192" s="331" t="s">
        <v>904</v>
      </c>
      <c r="D192">
        <v>0.5</v>
      </c>
      <c r="E192">
        <f>CalcMin(D192,G192,H192,I192)</f>
        <v>0.44983958961383669</v>
      </c>
      <c r="F192">
        <f>CalcMax(D192,G192,H192,I192)</f>
        <v>0.62037562735259499</v>
      </c>
      <c r="G192">
        <v>5.5E-2</v>
      </c>
      <c r="H192">
        <v>8.2000000000000003E-2</v>
      </c>
      <c r="I192">
        <v>0.05</v>
      </c>
      <c r="J192">
        <v>4.0129742342542997E-2</v>
      </c>
      <c r="K192">
        <v>0.52047291009038898</v>
      </c>
    </row>
    <row r="193" spans="1:11" customFormat="1">
      <c r="A193" s="119"/>
      <c r="B193" s="331" t="s">
        <v>905</v>
      </c>
      <c r="D193">
        <v>0.3</v>
      </c>
      <c r="E193">
        <f>CalcMin(D193,G193,H193,I193)</f>
        <v>0.269903753768302</v>
      </c>
      <c r="F193">
        <f>CalcMax(D193,G193,H193,I193)</f>
        <v>0.37222537641155701</v>
      </c>
      <c r="G193">
        <v>5.5E-2</v>
      </c>
      <c r="H193">
        <v>8.2000000000000003E-2</v>
      </c>
      <c r="I193">
        <v>0.05</v>
      </c>
      <c r="J193">
        <v>0.12168820996465279</v>
      </c>
      <c r="K193">
        <v>0.33882057318500752</v>
      </c>
    </row>
    <row r="194" spans="1:11" customFormat="1">
      <c r="A194" s="119"/>
      <c r="B194" s="331" t="s">
        <v>906</v>
      </c>
      <c r="D194">
        <v>0.3</v>
      </c>
      <c r="E194">
        <f>CalcMin(D194,G194,H194,I194)</f>
        <v>0.269903753768302</v>
      </c>
      <c r="F194">
        <f>CalcMax(D194,G194,H194,I194)</f>
        <v>0.37222537641155701</v>
      </c>
      <c r="G194">
        <v>5.5E-2</v>
      </c>
      <c r="H194">
        <v>8.2000000000000003E-2</v>
      </c>
      <c r="I194">
        <v>0.05</v>
      </c>
      <c r="J194">
        <v>0.13179304724837265</v>
      </c>
      <c r="K194">
        <v>0.34226165645864642</v>
      </c>
    </row>
    <row r="195" spans="1:11" customFormat="1">
      <c r="A195" s="119"/>
      <c r="B195" s="331" t="s">
        <v>907</v>
      </c>
      <c r="C195" t="s">
        <v>447</v>
      </c>
      <c r="D195">
        <v>7.5</v>
      </c>
      <c r="K195">
        <v>7.5</v>
      </c>
    </row>
    <row r="196" spans="1:11" customFormat="1">
      <c r="A196" s="119"/>
      <c r="B196" s="331" t="s">
        <v>908</v>
      </c>
      <c r="C196" t="s">
        <v>447</v>
      </c>
      <c r="D196">
        <v>1</v>
      </c>
      <c r="K196">
        <v>1</v>
      </c>
    </row>
    <row r="197" spans="1:11" customFormat="1">
      <c r="A197" s="119"/>
      <c r="B197" s="331" t="s">
        <v>909</v>
      </c>
      <c r="C197" t="s">
        <v>447</v>
      </c>
      <c r="D197">
        <v>0.8</v>
      </c>
      <c r="K197">
        <v>0.8</v>
      </c>
    </row>
    <row r="198" spans="1:11" customFormat="1">
      <c r="A198" s="119"/>
      <c r="B198" s="331" t="s">
        <v>910</v>
      </c>
      <c r="C198" t="s">
        <v>447</v>
      </c>
      <c r="D198">
        <v>1.05</v>
      </c>
      <c r="K198">
        <v>1.05</v>
      </c>
    </row>
    <row r="199" spans="1:11" customFormat="1">
      <c r="A199" s="119"/>
      <c r="B199" s="331" t="s">
        <v>911</v>
      </c>
      <c r="C199" t="s">
        <v>447</v>
      </c>
      <c r="D199">
        <v>1.3</v>
      </c>
      <c r="K199">
        <v>1.3</v>
      </c>
    </row>
    <row r="200" spans="1:11" customFormat="1">
      <c r="A200" s="119"/>
      <c r="B200" s="331" t="s">
        <v>912</v>
      </c>
      <c r="C200" t="s">
        <v>447</v>
      </c>
      <c r="D200">
        <v>0</v>
      </c>
      <c r="K200">
        <v>0</v>
      </c>
    </row>
    <row r="201" spans="1:11" customFormat="1">
      <c r="A201" s="119"/>
      <c r="B201" s="331" t="s">
        <v>913</v>
      </c>
      <c r="C201" t="s">
        <v>447</v>
      </c>
      <c r="D201">
        <v>0</v>
      </c>
      <c r="K201">
        <v>0</v>
      </c>
    </row>
    <row r="202" spans="1:11" customFormat="1">
      <c r="A202" s="119"/>
      <c r="B202" s="331" t="s">
        <v>914</v>
      </c>
      <c r="C202" t="s">
        <v>447</v>
      </c>
      <c r="D202" t="s">
        <v>409</v>
      </c>
      <c r="K202" t="s">
        <v>409</v>
      </c>
    </row>
    <row r="203" spans="1:11" customFormat="1">
      <c r="A203" s="119"/>
      <c r="B203" s="331" t="s">
        <v>915</v>
      </c>
      <c r="C203" t="s">
        <v>447</v>
      </c>
      <c r="D203" t="s">
        <v>435</v>
      </c>
      <c r="K203" t="s">
        <v>435</v>
      </c>
    </row>
    <row r="204" spans="1:11" customFormat="1">
      <c r="A204" s="119"/>
      <c r="B204" s="331" t="s">
        <v>916</v>
      </c>
      <c r="D204">
        <v>0.5</v>
      </c>
      <c r="E204">
        <f>CalcMin(D204,G204,H204,I204)</f>
        <v>0.44983958961383669</v>
      </c>
      <c r="F204">
        <f>CalcMax(D204,G204,H204,I204)</f>
        <v>0.62037562735259499</v>
      </c>
      <c r="G204">
        <v>5.5E-2</v>
      </c>
      <c r="H204">
        <v>8.2000000000000003E-2</v>
      </c>
      <c r="I204">
        <v>0.05</v>
      </c>
      <c r="J204">
        <v>-3.3698672137308143E-2</v>
      </c>
      <c r="K204">
        <v>0.48343140172457899</v>
      </c>
    </row>
    <row r="205" spans="1:11" customFormat="1">
      <c r="A205" s="119"/>
      <c r="B205" s="331" t="s">
        <v>917</v>
      </c>
      <c r="D205">
        <v>0.3</v>
      </c>
      <c r="E205">
        <f>CalcMin(D205,G205,H205,I205)</f>
        <v>0.269903753768302</v>
      </c>
      <c r="F205">
        <f>CalcMax(D205,G205,H205,I205)</f>
        <v>0.37222537641155701</v>
      </c>
      <c r="G205">
        <v>5.5E-2</v>
      </c>
      <c r="H205">
        <v>8.2000000000000003E-2</v>
      </c>
      <c r="I205">
        <v>0.05</v>
      </c>
      <c r="J205">
        <v>1.9128813592303583E-2</v>
      </c>
      <c r="K205">
        <v>0.30579388245682504</v>
      </c>
    </row>
    <row r="206" spans="1:11" customFormat="1">
      <c r="A206" s="119"/>
      <c r="B206" s="331" t="s">
        <v>918</v>
      </c>
      <c r="D206">
        <v>0.3</v>
      </c>
      <c r="E206">
        <f>CalcMin(D206,G206,H206,I206)</f>
        <v>0.269903753768302</v>
      </c>
      <c r="F206">
        <f>CalcMax(D206,G206,H206,I206)</f>
        <v>0.37222537641155701</v>
      </c>
      <c r="G206">
        <v>5.5E-2</v>
      </c>
      <c r="H206">
        <v>8.2000000000000003E-2</v>
      </c>
      <c r="I206">
        <v>0.05</v>
      </c>
      <c r="J206">
        <v>-6.5097683054646416E-2</v>
      </c>
      <c r="K206">
        <v>0.28109277967072932</v>
      </c>
    </row>
    <row r="207" spans="1:11" customFormat="1">
      <c r="A207" s="119"/>
      <c r="B207" s="331" t="s">
        <v>919</v>
      </c>
      <c r="C207" t="s">
        <v>447</v>
      </c>
      <c r="D207">
        <v>7.5</v>
      </c>
      <c r="K207">
        <v>7.5</v>
      </c>
    </row>
    <row r="208" spans="1:11" customFormat="1">
      <c r="A208" s="119"/>
      <c r="B208" s="331" t="s">
        <v>920</v>
      </c>
      <c r="C208" t="s">
        <v>447</v>
      </c>
      <c r="D208">
        <v>1</v>
      </c>
      <c r="K208">
        <v>1</v>
      </c>
    </row>
    <row r="209" spans="1:11" customFormat="1">
      <c r="A209" s="119"/>
      <c r="B209" s="331" t="s">
        <v>921</v>
      </c>
      <c r="C209" t="s">
        <v>447</v>
      </c>
      <c r="D209">
        <v>0.8</v>
      </c>
      <c r="K209">
        <v>0.8</v>
      </c>
    </row>
    <row r="210" spans="1:11" customFormat="1">
      <c r="A210" s="119"/>
      <c r="B210" s="331" t="s">
        <v>922</v>
      </c>
      <c r="C210" t="s">
        <v>447</v>
      </c>
      <c r="D210">
        <v>1.05</v>
      </c>
      <c r="K210">
        <v>1.05</v>
      </c>
    </row>
    <row r="211" spans="1:11" customFormat="1">
      <c r="A211" s="119"/>
      <c r="B211" s="331" t="s">
        <v>923</v>
      </c>
      <c r="C211" t="s">
        <v>447</v>
      </c>
      <c r="D211">
        <v>1.3</v>
      </c>
      <c r="K211">
        <v>1.3</v>
      </c>
    </row>
    <row r="212" spans="1:11" customFormat="1">
      <c r="A212" s="119"/>
      <c r="B212" s="331" t="s">
        <v>924</v>
      </c>
      <c r="C212" t="s">
        <v>447</v>
      </c>
      <c r="D212">
        <v>0</v>
      </c>
      <c r="K212">
        <v>0</v>
      </c>
    </row>
    <row r="213" spans="1:11" customFormat="1">
      <c r="A213" s="119"/>
      <c r="B213" s="331" t="s">
        <v>925</v>
      </c>
      <c r="C213" t="s">
        <v>447</v>
      </c>
      <c r="D213">
        <v>0</v>
      </c>
      <c r="K213">
        <v>0</v>
      </c>
    </row>
    <row r="214" spans="1:11" customFormat="1">
      <c r="A214" s="119"/>
      <c r="B214" s="331" t="s">
        <v>926</v>
      </c>
      <c r="C214" t="s">
        <v>447</v>
      </c>
      <c r="D214" t="s">
        <v>409</v>
      </c>
      <c r="K214" t="s">
        <v>409</v>
      </c>
    </row>
    <row r="215" spans="1:11" customFormat="1">
      <c r="A215" s="119"/>
      <c r="B215" s="331" t="s">
        <v>927</v>
      </c>
      <c r="C215" t="s">
        <v>447</v>
      </c>
      <c r="D215" t="s">
        <v>436</v>
      </c>
      <c r="K215" t="s">
        <v>436</v>
      </c>
    </row>
    <row r="216" spans="1:11" customFormat="1">
      <c r="A216" s="119"/>
      <c r="B216" s="331" t="s">
        <v>928</v>
      </c>
      <c r="D216">
        <v>0.5</v>
      </c>
      <c r="E216">
        <f>CalcMin(D216,G216,H216,I216)</f>
        <v>0.44983958961383669</v>
      </c>
      <c r="F216">
        <f>CalcMax(D216,G216,H216,I216)</f>
        <v>0.62037562735259499</v>
      </c>
      <c r="G216">
        <v>5.5E-2</v>
      </c>
      <c r="H216">
        <v>8.2000000000000003E-2</v>
      </c>
      <c r="I216">
        <v>0.05</v>
      </c>
      <c r="J216">
        <v>6.7407368879526197E-2</v>
      </c>
      <c r="K216">
        <v>0.5348655823059747</v>
      </c>
    </row>
    <row r="217" spans="1:11" customFormat="1">
      <c r="A217" s="119"/>
      <c r="B217" s="331" t="s">
        <v>929</v>
      </c>
      <c r="D217">
        <v>0.3</v>
      </c>
      <c r="E217">
        <f>CalcMin(D217,G217,H217,I217)</f>
        <v>0.269903753768302</v>
      </c>
      <c r="F217">
        <f>CalcMax(D217,G217,H217,I217)</f>
        <v>0.37222537641155701</v>
      </c>
      <c r="G217">
        <v>5.5E-2</v>
      </c>
      <c r="H217">
        <v>8.2000000000000003E-2</v>
      </c>
      <c r="I217">
        <v>0.05</v>
      </c>
      <c r="J217">
        <v>0.14120414345953233</v>
      </c>
      <c r="K217">
        <v>0.34549791833698812</v>
      </c>
    </row>
    <row r="218" spans="1:11" customFormat="1">
      <c r="A218" s="119"/>
      <c r="B218" s="331" t="s">
        <v>930</v>
      </c>
      <c r="D218">
        <v>0.3</v>
      </c>
      <c r="E218">
        <f>CalcMin(D218,G218,H218,I218)</f>
        <v>0.269903753768302</v>
      </c>
      <c r="F218">
        <f>CalcMax(D218,G218,H218,I218)</f>
        <v>0.37222537641155701</v>
      </c>
      <c r="G218">
        <v>5.5E-2</v>
      </c>
      <c r="H218">
        <v>8.2000000000000003E-2</v>
      </c>
      <c r="I218">
        <v>0.05</v>
      </c>
      <c r="J218">
        <v>7.0337642363100611E-2</v>
      </c>
      <c r="K218">
        <v>0.32186110997762873</v>
      </c>
    </row>
    <row r="219" spans="1:11" customFormat="1">
      <c r="A219" s="119"/>
      <c r="B219" s="331" t="s">
        <v>931</v>
      </c>
      <c r="C219" t="s">
        <v>447</v>
      </c>
      <c r="D219">
        <v>7.5</v>
      </c>
      <c r="K219">
        <v>7.5</v>
      </c>
    </row>
    <row r="220" spans="1:11" customFormat="1">
      <c r="A220" s="119"/>
      <c r="B220" s="331" t="s">
        <v>932</v>
      </c>
      <c r="C220" t="s">
        <v>447</v>
      </c>
      <c r="D220">
        <v>1</v>
      </c>
      <c r="K220">
        <v>1</v>
      </c>
    </row>
    <row r="221" spans="1:11" customFormat="1">
      <c r="A221" s="119"/>
      <c r="B221" s="331" t="s">
        <v>933</v>
      </c>
      <c r="C221" t="s">
        <v>447</v>
      </c>
      <c r="D221">
        <v>0.8</v>
      </c>
      <c r="K221">
        <v>0.8</v>
      </c>
    </row>
    <row r="222" spans="1:11" customFormat="1">
      <c r="A222" s="119"/>
      <c r="B222" s="331" t="s">
        <v>934</v>
      </c>
      <c r="C222" t="s">
        <v>447</v>
      </c>
      <c r="D222">
        <v>1.05</v>
      </c>
      <c r="K222">
        <v>1.05</v>
      </c>
    </row>
    <row r="223" spans="1:11" customFormat="1">
      <c r="A223" s="119"/>
      <c r="B223" s="331" t="s">
        <v>935</v>
      </c>
      <c r="C223" t="s">
        <v>447</v>
      </c>
      <c r="D223">
        <v>1.3</v>
      </c>
      <c r="K223">
        <v>1.3</v>
      </c>
    </row>
    <row r="224" spans="1:11" customFormat="1">
      <c r="A224" s="119"/>
      <c r="B224" s="331" t="s">
        <v>936</v>
      </c>
      <c r="C224" t="s">
        <v>447</v>
      </c>
      <c r="D224">
        <v>0</v>
      </c>
      <c r="K224">
        <v>0</v>
      </c>
    </row>
    <row r="225" spans="1:11" customFormat="1">
      <c r="A225" s="119"/>
      <c r="B225" s="331" t="s">
        <v>937</v>
      </c>
      <c r="C225" t="s">
        <v>447</v>
      </c>
      <c r="D225">
        <v>0</v>
      </c>
      <c r="K225">
        <v>0</v>
      </c>
    </row>
    <row r="226" spans="1:11" customFormat="1">
      <c r="A226" s="119"/>
      <c r="B226" s="331" t="s">
        <v>938</v>
      </c>
      <c r="C226" t="s">
        <v>447</v>
      </c>
      <c r="D226" t="s">
        <v>410</v>
      </c>
      <c r="K226" t="s">
        <v>410</v>
      </c>
    </row>
    <row r="227" spans="1:11" customFormat="1">
      <c r="A227" s="119"/>
      <c r="B227" s="331" t="s">
        <v>939</v>
      </c>
      <c r="C227" t="s">
        <v>447</v>
      </c>
      <c r="D227" t="s">
        <v>69</v>
      </c>
      <c r="K227" t="s">
        <v>69</v>
      </c>
    </row>
    <row r="228" spans="1:11" customFormat="1">
      <c r="A228" s="119"/>
      <c r="B228" s="331" t="s">
        <v>940</v>
      </c>
      <c r="D228">
        <v>0.56000000000000005</v>
      </c>
      <c r="E228">
        <f>CalcMin(D228,G228,H228,I228)</f>
        <v>0.50382034036749712</v>
      </c>
      <c r="F228">
        <f>CalcMax(D228,G228,H228,I228)</f>
        <v>0.69482070263490647</v>
      </c>
      <c r="G228">
        <v>5.5E-2</v>
      </c>
      <c r="H228">
        <v>8.2000000000000003E-2</v>
      </c>
      <c r="I228">
        <v>0.05</v>
      </c>
      <c r="J228">
        <v>-0.10488514187968681</v>
      </c>
      <c r="K228">
        <v>0.50423964534022481</v>
      </c>
    </row>
    <row r="229" spans="1:11" customFormat="1">
      <c r="A229" s="119"/>
      <c r="B229" s="331" t="s">
        <v>941</v>
      </c>
      <c r="D229">
        <v>0.24</v>
      </c>
      <c r="E229">
        <f>CalcMin(D229,G229,H229,I229)</f>
        <v>0.2159230030146416</v>
      </c>
      <c r="F229">
        <f>CalcMax(D229,G229,H229,I229)</f>
        <v>0.29778030112924558</v>
      </c>
      <c r="G229">
        <v>5.5E-2</v>
      </c>
      <c r="H229">
        <v>8.2000000000000003E-2</v>
      </c>
      <c r="I229">
        <v>0.05</v>
      </c>
      <c r="J229">
        <v>0.11928348517544907</v>
      </c>
      <c r="K229">
        <v>0.27040542545429885</v>
      </c>
    </row>
    <row r="230" spans="1:11" customFormat="1">
      <c r="A230" s="119"/>
      <c r="B230" s="331" t="s">
        <v>942</v>
      </c>
      <c r="D230">
        <v>0.26</v>
      </c>
      <c r="E230">
        <f>CalcMin(D230,G230,H230,I230)</f>
        <v>0.23391658659919509</v>
      </c>
      <c r="F230">
        <f>CalcMax(D230,G230,H230,I230)</f>
        <v>0.32259532622334941</v>
      </c>
      <c r="G230">
        <v>5.5E-2</v>
      </c>
      <c r="H230">
        <v>8.2000000000000003E-2</v>
      </c>
      <c r="I230">
        <v>0.05</v>
      </c>
      <c r="J230">
        <v>-2.5144229518712376E-2</v>
      </c>
      <c r="K230">
        <v>0.25354400596015697</v>
      </c>
    </row>
    <row r="231" spans="1:11" customFormat="1">
      <c r="A231" s="119"/>
      <c r="B231" s="331" t="s">
        <v>943</v>
      </c>
      <c r="C231" t="s">
        <v>447</v>
      </c>
      <c r="D231">
        <v>3.3</v>
      </c>
      <c r="K231">
        <v>3.3</v>
      </c>
    </row>
    <row r="232" spans="1:11" customFormat="1">
      <c r="A232" s="119"/>
      <c r="B232" s="331" t="s">
        <v>944</v>
      </c>
      <c r="C232" t="s">
        <v>447</v>
      </c>
      <c r="D232">
        <v>124</v>
      </c>
      <c r="K232">
        <v>124</v>
      </c>
    </row>
    <row r="233" spans="1:11" customFormat="1">
      <c r="A233" s="119"/>
      <c r="B233" s="331" t="s">
        <v>945</v>
      </c>
      <c r="C233" t="s">
        <v>447</v>
      </c>
      <c r="D233">
        <v>0.8</v>
      </c>
      <c r="K233">
        <v>0.8</v>
      </c>
    </row>
    <row r="234" spans="1:11" customFormat="1">
      <c r="A234" s="119"/>
      <c r="B234" s="331" t="s">
        <v>946</v>
      </c>
      <c r="C234" t="s">
        <v>447</v>
      </c>
      <c r="D234">
        <v>130.80000000000001</v>
      </c>
      <c r="K234">
        <v>130.80000000000001</v>
      </c>
    </row>
    <row r="235" spans="1:11" customFormat="1">
      <c r="A235" s="119"/>
      <c r="B235" s="331" t="s">
        <v>947</v>
      </c>
      <c r="C235" t="s">
        <v>447</v>
      </c>
      <c r="D235">
        <v>160.5</v>
      </c>
      <c r="K235">
        <v>160.5</v>
      </c>
    </row>
    <row r="236" spans="1:11" customFormat="1">
      <c r="A236" s="119"/>
      <c r="B236" s="331" t="s">
        <v>948</v>
      </c>
      <c r="C236" t="s">
        <v>447</v>
      </c>
      <c r="D236" t="s">
        <v>349</v>
      </c>
      <c r="K236" t="s">
        <v>349</v>
      </c>
    </row>
    <row r="237" spans="1:11" customFormat="1">
      <c r="A237" s="119"/>
      <c r="B237" s="331" t="s">
        <v>949</v>
      </c>
      <c r="C237" t="s">
        <v>447</v>
      </c>
      <c r="D237">
        <v>16</v>
      </c>
      <c r="K237">
        <v>16</v>
      </c>
    </row>
    <row r="238" spans="1:11" customFormat="1">
      <c r="A238" s="119"/>
      <c r="B238" s="331" t="s">
        <v>950</v>
      </c>
      <c r="C238" t="s">
        <v>447</v>
      </c>
      <c r="D238" t="s">
        <v>410</v>
      </c>
      <c r="K238" t="s">
        <v>410</v>
      </c>
    </row>
    <row r="239" spans="1:11" customFormat="1">
      <c r="A239" s="119"/>
      <c r="B239" s="331" t="s">
        <v>951</v>
      </c>
      <c r="C239" t="s">
        <v>447</v>
      </c>
      <c r="D239" t="s">
        <v>68</v>
      </c>
      <c r="K239" t="s">
        <v>68</v>
      </c>
    </row>
    <row r="240" spans="1:11" customFormat="1">
      <c r="A240" s="119"/>
      <c r="B240" s="331" t="s">
        <v>952</v>
      </c>
      <c r="D240">
        <v>0.56000000000000005</v>
      </c>
      <c r="E240">
        <f>CalcMin(D240,G240,H240,I240)</f>
        <v>0.50382034036749712</v>
      </c>
      <c r="F240">
        <f>CalcMax(D240,G240,H240,I240)</f>
        <v>0.69482070263490647</v>
      </c>
      <c r="G240">
        <v>5.5E-2</v>
      </c>
      <c r="H240">
        <v>8.2000000000000003E-2</v>
      </c>
      <c r="I240">
        <v>0.05</v>
      </c>
      <c r="J240">
        <v>-5.6394862486795601E-2</v>
      </c>
      <c r="K240">
        <v>0.52929287692884741</v>
      </c>
    </row>
    <row r="241" spans="1:11" customFormat="1">
      <c r="A241" s="119"/>
      <c r="B241" s="331" t="s">
        <v>953</v>
      </c>
      <c r="D241">
        <v>0.24</v>
      </c>
      <c r="E241">
        <f>CalcMin(D241,G241,H241,I241)</f>
        <v>0.2159230030146416</v>
      </c>
      <c r="F241">
        <f>CalcMax(D241,G241,H241,I241)</f>
        <v>0.29778030112924558</v>
      </c>
      <c r="G241">
        <v>5.5E-2</v>
      </c>
      <c r="H241">
        <v>8.2000000000000003E-2</v>
      </c>
      <c r="I241">
        <v>0.05</v>
      </c>
      <c r="J241">
        <v>0.13602003771452645</v>
      </c>
      <c r="K241">
        <v>0.27496916416118083</v>
      </c>
    </row>
    <row r="242" spans="1:11" customFormat="1">
      <c r="A242" s="119"/>
      <c r="B242" s="331" t="s">
        <v>954</v>
      </c>
      <c r="D242">
        <v>0.26</v>
      </c>
      <c r="E242">
        <f>CalcMin(D242,G242,H242,I242)</f>
        <v>0.23391658659919509</v>
      </c>
      <c r="F242">
        <f>CalcMax(D242,G242,H242,I242)</f>
        <v>0.32259532622334941</v>
      </c>
      <c r="G242">
        <v>5.5E-2</v>
      </c>
      <c r="H242">
        <v>8.2000000000000003E-2</v>
      </c>
      <c r="I242">
        <v>0.05</v>
      </c>
      <c r="J242">
        <v>6.0598491573413925E-2</v>
      </c>
      <c r="K242">
        <v>0.27624278161467497</v>
      </c>
    </row>
    <row r="243" spans="1:11" customFormat="1">
      <c r="A243" s="119"/>
      <c r="B243" s="331" t="s">
        <v>955</v>
      </c>
      <c r="C243" t="s">
        <v>447</v>
      </c>
      <c r="D243">
        <v>3.3</v>
      </c>
      <c r="K243">
        <v>3.3</v>
      </c>
    </row>
    <row r="244" spans="1:11" customFormat="1">
      <c r="A244" s="119"/>
      <c r="B244" s="331" t="s">
        <v>956</v>
      </c>
      <c r="C244" t="s">
        <v>447</v>
      </c>
      <c r="D244">
        <v>124</v>
      </c>
      <c r="K244">
        <v>124</v>
      </c>
    </row>
    <row r="245" spans="1:11" customFormat="1">
      <c r="A245" s="119"/>
      <c r="B245" s="331" t="s">
        <v>957</v>
      </c>
      <c r="C245" t="s">
        <v>447</v>
      </c>
      <c r="D245">
        <v>0.8</v>
      </c>
      <c r="K245">
        <v>0.8</v>
      </c>
    </row>
    <row r="246" spans="1:11" customFormat="1">
      <c r="A246" s="119"/>
      <c r="B246" s="331" t="s">
        <v>958</v>
      </c>
      <c r="C246" t="s">
        <v>447</v>
      </c>
      <c r="D246">
        <v>130.80000000000001</v>
      </c>
      <c r="K246">
        <v>130.80000000000001</v>
      </c>
    </row>
    <row r="247" spans="1:11" customFormat="1">
      <c r="A247" s="119"/>
      <c r="B247" s="331" t="s">
        <v>959</v>
      </c>
      <c r="C247" t="s">
        <v>447</v>
      </c>
      <c r="D247">
        <v>160.5</v>
      </c>
      <c r="K247">
        <v>160.5</v>
      </c>
    </row>
    <row r="248" spans="1:11" customFormat="1">
      <c r="A248" s="119"/>
      <c r="B248" s="331" t="s">
        <v>960</v>
      </c>
      <c r="C248" t="s">
        <v>447</v>
      </c>
      <c r="D248">
        <v>23.3</v>
      </c>
      <c r="K248">
        <v>23.3</v>
      </c>
    </row>
    <row r="249" spans="1:11" customFormat="1">
      <c r="A249" s="119"/>
      <c r="B249" s="331" t="s">
        <v>961</v>
      </c>
      <c r="C249" t="s">
        <v>447</v>
      </c>
      <c r="D249">
        <v>16</v>
      </c>
      <c r="K249">
        <v>16</v>
      </c>
    </row>
    <row r="250" spans="1:11" customFormat="1">
      <c r="A250" s="119"/>
      <c r="B250" s="331" t="s">
        <v>962</v>
      </c>
      <c r="C250" t="s">
        <v>447</v>
      </c>
      <c r="D250" t="s">
        <v>409</v>
      </c>
      <c r="K250" t="s">
        <v>409</v>
      </c>
    </row>
    <row r="251" spans="1:11" customFormat="1">
      <c r="A251" s="119"/>
      <c r="B251" s="331" t="s">
        <v>963</v>
      </c>
      <c r="C251" t="s">
        <v>447</v>
      </c>
      <c r="D251" t="s">
        <v>446</v>
      </c>
      <c r="K251" t="s">
        <v>446</v>
      </c>
    </row>
    <row r="252" spans="1:11" customFormat="1">
      <c r="A252" s="119"/>
      <c r="B252" s="331" t="s">
        <v>964</v>
      </c>
      <c r="D252">
        <v>0.52</v>
      </c>
      <c r="E252">
        <f>CalcMin(D252,G252,H252,I252)</f>
        <v>0.46783317319839018</v>
      </c>
      <c r="F252">
        <f>CalcMax(D252,G252,H252,I252)</f>
        <v>0.64519065244669882</v>
      </c>
      <c r="G252">
        <v>5.5E-2</v>
      </c>
      <c r="H252">
        <v>8.2000000000000003E-2</v>
      </c>
      <c r="I252">
        <v>0.05</v>
      </c>
      <c r="J252">
        <v>1.7482774207207459E-2</v>
      </c>
      <c r="K252">
        <v>0.5291709760503005</v>
      </c>
    </row>
    <row r="253" spans="1:11" customFormat="1">
      <c r="A253" s="119"/>
      <c r="B253" s="331" t="s">
        <v>965</v>
      </c>
      <c r="D253">
        <v>0.28999999999999998</v>
      </c>
      <c r="E253">
        <f>CalcMin(D253,G253,H253,I253)</f>
        <v>0.26090696197602525</v>
      </c>
      <c r="F253">
        <f>CalcMax(D253,G253,H253,I253)</f>
        <v>0.35981786386450509</v>
      </c>
      <c r="G253">
        <v>5.5E-2</v>
      </c>
      <c r="H253">
        <v>8.2000000000000003E-2</v>
      </c>
      <c r="I253">
        <v>0.05</v>
      </c>
      <c r="J253">
        <v>0.10381178391167159</v>
      </c>
      <c r="K253">
        <v>0.32172357267421325</v>
      </c>
    </row>
    <row r="254" spans="1:11" customFormat="1">
      <c r="A254" s="119"/>
      <c r="B254" s="331" t="s">
        <v>966</v>
      </c>
      <c r="D254">
        <v>0.29000000000000004</v>
      </c>
      <c r="E254">
        <f>CalcMin(D254,G254,H254,I254)</f>
        <v>0.26090696197602531</v>
      </c>
      <c r="F254">
        <f>CalcMax(D254,G254,H254,I254)</f>
        <v>0.35981786386450515</v>
      </c>
      <c r="G254">
        <v>5.5E-2</v>
      </c>
      <c r="H254">
        <v>8.2000000000000003E-2</v>
      </c>
      <c r="I254">
        <v>0.05</v>
      </c>
      <c r="J254">
        <v>6.9211950631285504E-2</v>
      </c>
      <c r="K254">
        <v>0.31078236419114735</v>
      </c>
    </row>
    <row r="255" spans="1:11" customFormat="1">
      <c r="A255" s="119"/>
      <c r="B255" s="331" t="s">
        <v>967</v>
      </c>
      <c r="C255" t="s">
        <v>447</v>
      </c>
      <c r="D255">
        <v>6</v>
      </c>
      <c r="K255">
        <v>6</v>
      </c>
    </row>
    <row r="256" spans="1:11" customFormat="1">
      <c r="A256" s="119"/>
      <c r="B256" s="331" t="s">
        <v>968</v>
      </c>
      <c r="C256" t="s">
        <v>447</v>
      </c>
      <c r="D256">
        <v>1</v>
      </c>
      <c r="K256">
        <v>1</v>
      </c>
    </row>
    <row r="257" spans="1:18">
      <c r="A257" s="119"/>
      <c r="B257" s="331" t="s">
        <v>969</v>
      </c>
      <c r="C257" t="s">
        <v>447</v>
      </c>
      <c r="D257">
        <v>1</v>
      </c>
      <c r="G257"/>
      <c r="I257"/>
      <c r="K257">
        <v>1</v>
      </c>
      <c r="O257"/>
      <c r="R257"/>
    </row>
    <row r="258" spans="1:18">
      <c r="A258" s="119"/>
      <c r="B258" s="331" t="s">
        <v>970</v>
      </c>
      <c r="C258" t="s">
        <v>447</v>
      </c>
      <c r="D258">
        <v>1.05</v>
      </c>
      <c r="G258"/>
      <c r="I258"/>
      <c r="K258">
        <v>1.05</v>
      </c>
      <c r="O258"/>
      <c r="R258"/>
    </row>
    <row r="259" spans="1:18">
      <c r="A259" s="119"/>
      <c r="B259" s="331" t="s">
        <v>971</v>
      </c>
      <c r="C259" t="s">
        <v>447</v>
      </c>
      <c r="D259">
        <v>1.3</v>
      </c>
      <c r="G259"/>
      <c r="I259"/>
      <c r="K259">
        <v>1.3</v>
      </c>
      <c r="O259"/>
      <c r="R259"/>
    </row>
    <row r="260" spans="1:18">
      <c r="A260" s="119"/>
      <c r="B260" s="331" t="s">
        <v>972</v>
      </c>
      <c r="C260" t="s">
        <v>447</v>
      </c>
      <c r="D260">
        <v>0</v>
      </c>
      <c r="G260"/>
      <c r="I260"/>
      <c r="K260">
        <v>0</v>
      </c>
      <c r="O260"/>
      <c r="R260"/>
    </row>
    <row r="261" spans="1:18">
      <c r="A261" s="119"/>
      <c r="B261" s="331" t="s">
        <v>973</v>
      </c>
      <c r="C261" t="s">
        <v>447</v>
      </c>
      <c r="D261">
        <v>0</v>
      </c>
      <c r="G261"/>
      <c r="I261"/>
      <c r="K261">
        <v>0</v>
      </c>
      <c r="O261"/>
      <c r="R261"/>
    </row>
    <row r="262" spans="1:18">
      <c r="A262" s="119"/>
      <c r="B262" s="331"/>
      <c r="G262"/>
      <c r="I262"/>
      <c r="O262"/>
      <c r="R262"/>
    </row>
    <row r="263" spans="1:18">
      <c r="A263" s="119">
        <v>1.4119999999999999</v>
      </c>
      <c r="B263" s="331" t="s">
        <v>695</v>
      </c>
      <c r="G263"/>
      <c r="I263"/>
      <c r="O263"/>
      <c r="R263"/>
    </row>
    <row r="264" spans="1:18">
      <c r="A264" s="119"/>
      <c r="B264" s="331" t="s">
        <v>1569</v>
      </c>
      <c r="D264">
        <v>0.56993940112381969</v>
      </c>
      <c r="E264">
        <f t="shared" ref="E264:E290" si="0">CalcMin(D264,G264,H264,I264)</f>
        <v>0.51276261261258982</v>
      </c>
      <c r="F264">
        <f t="shared" ref="F264:F290" si="1">CalcMax(D264,G264,H264,I264)</f>
        <v>0.70715302705030381</v>
      </c>
      <c r="G264">
        <v>5.5E-2</v>
      </c>
      <c r="H264">
        <v>8.2000000000000003E-2</v>
      </c>
      <c r="I264">
        <v>0.05</v>
      </c>
      <c r="J264">
        <v>0.15593547089891743</v>
      </c>
      <c r="K264">
        <v>0.66611712088095454</v>
      </c>
      <c r="O264"/>
      <c r="R264"/>
    </row>
    <row r="265" spans="1:18">
      <c r="A265" s="119"/>
      <c r="B265" s="331" t="s">
        <v>1570</v>
      </c>
      <c r="D265">
        <v>0.31009972185359425</v>
      </c>
      <c r="E265">
        <f t="shared" si="0"/>
        <v>0.27899026323597148</v>
      </c>
      <c r="F265">
        <f t="shared" si="1"/>
        <v>0.38475661897357749</v>
      </c>
      <c r="G265">
        <v>5.5E-2</v>
      </c>
      <c r="H265">
        <v>8.2000000000000003E-2</v>
      </c>
      <c r="I265">
        <v>0.05</v>
      </c>
      <c r="J265">
        <v>2.3517065572817165E-2</v>
      </c>
      <c r="K265">
        <v>0.31747878421235498</v>
      </c>
      <c r="O265"/>
      <c r="R265"/>
    </row>
    <row r="266" spans="1:18">
      <c r="A266" s="119"/>
      <c r="B266" s="331" t="s">
        <v>1571</v>
      </c>
      <c r="D266">
        <v>0.29271394571258763</v>
      </c>
      <c r="E266">
        <f t="shared" si="0"/>
        <v>0.26334864242719458</v>
      </c>
      <c r="F266">
        <f t="shared" si="1"/>
        <v>0.36318519541259997</v>
      </c>
      <c r="G266">
        <v>5.5E-2</v>
      </c>
      <c r="H266">
        <v>8.2000000000000003E-2</v>
      </c>
      <c r="I266">
        <v>0.05</v>
      </c>
      <c r="J266">
        <v>0.14105153217744484</v>
      </c>
      <c r="K266">
        <v>0.33705542065455896</v>
      </c>
      <c r="O266"/>
      <c r="R266"/>
    </row>
    <row r="267" spans="1:18">
      <c r="A267" s="119"/>
      <c r="B267" s="331" t="s">
        <v>1572</v>
      </c>
      <c r="D267">
        <v>0.54011852648856484</v>
      </c>
      <c r="E267">
        <f t="shared" si="0"/>
        <v>0.48593339259689239</v>
      </c>
      <c r="F267">
        <f t="shared" si="1"/>
        <v>0.67015273943020526</v>
      </c>
      <c r="G267">
        <v>5.5E-2</v>
      </c>
      <c r="H267">
        <v>8.2000000000000003E-2</v>
      </c>
      <c r="I267">
        <v>0.05</v>
      </c>
      <c r="J267">
        <v>3.8726550213152786E-3</v>
      </c>
      <c r="K267">
        <v>0.5422142746478521</v>
      </c>
      <c r="O267"/>
      <c r="R267"/>
    </row>
    <row r="268" spans="1:18">
      <c r="A268" s="119"/>
      <c r="B268" s="331" t="s">
        <v>1573</v>
      </c>
      <c r="D268">
        <v>0.35429885194212346</v>
      </c>
      <c r="E268">
        <f t="shared" si="0"/>
        <v>0.3187553003165966</v>
      </c>
      <c r="F268">
        <f t="shared" si="1"/>
        <v>0.439596745087798</v>
      </c>
      <c r="G268">
        <v>5.5E-2</v>
      </c>
      <c r="H268">
        <v>8.2000000000000003E-2</v>
      </c>
      <c r="I268">
        <v>0.05</v>
      </c>
      <c r="J268">
        <v>0.14595738121042948</v>
      </c>
      <c r="K268">
        <v>0.40997580785317744</v>
      </c>
      <c r="O268"/>
      <c r="R268"/>
    </row>
    <row r="269" spans="1:18">
      <c r="A269" s="119"/>
      <c r="B269" s="331" t="s">
        <v>1574</v>
      </c>
      <c r="D269">
        <v>0.27386901885922355</v>
      </c>
      <c r="E269">
        <f t="shared" si="0"/>
        <v>0.24639425410315444</v>
      </c>
      <c r="F269">
        <f t="shared" si="1"/>
        <v>0.33980332877446096</v>
      </c>
      <c r="G269">
        <v>5.5E-2</v>
      </c>
      <c r="H269">
        <v>8.2000000000000003E-2</v>
      </c>
      <c r="I269">
        <v>0.05</v>
      </c>
      <c r="J269">
        <v>7.2933993913810641E-2</v>
      </c>
      <c r="K269">
        <v>0.29458982133884876</v>
      </c>
      <c r="O269"/>
      <c r="R269"/>
    </row>
    <row r="270" spans="1:18">
      <c r="A270" s="119"/>
      <c r="B270" s="331" t="s">
        <v>1575</v>
      </c>
      <c r="D270">
        <v>0.4755655627410183</v>
      </c>
      <c r="E270">
        <f t="shared" si="0"/>
        <v>0.42785643515578597</v>
      </c>
      <c r="F270">
        <f t="shared" si="1"/>
        <v>0.59005856866549822</v>
      </c>
      <c r="G270">
        <v>5.5E-2</v>
      </c>
      <c r="H270">
        <v>8.2000000000000003E-2</v>
      </c>
      <c r="I270">
        <v>0.05</v>
      </c>
      <c r="J270">
        <v>0.13811142691865547</v>
      </c>
      <c r="K270">
        <v>0.54599847411721014</v>
      </c>
      <c r="O270"/>
      <c r="R270"/>
    </row>
    <row r="271" spans="1:18">
      <c r="A271" s="119"/>
      <c r="B271" s="331" t="s">
        <v>1576</v>
      </c>
      <c r="D271">
        <v>0.32758423597543845</v>
      </c>
      <c r="E271">
        <f t="shared" si="0"/>
        <v>0.29472071655030696</v>
      </c>
      <c r="F271">
        <f t="shared" si="1"/>
        <v>0.4064505518081663</v>
      </c>
      <c r="G271">
        <v>5.5E-2</v>
      </c>
      <c r="H271">
        <v>8.2000000000000003E-2</v>
      </c>
      <c r="I271">
        <v>0.05</v>
      </c>
      <c r="J271">
        <v>1.8916743275194992E-2</v>
      </c>
      <c r="K271">
        <v>0.33384004609660595</v>
      </c>
      <c r="O271"/>
      <c r="R271"/>
    </row>
    <row r="272" spans="1:18">
      <c r="A272" s="119"/>
      <c r="B272" s="331" t="s">
        <v>1577</v>
      </c>
      <c r="D272">
        <v>0.31671873045276405</v>
      </c>
      <c r="E272">
        <f t="shared" si="0"/>
        <v>0.28494524745977351</v>
      </c>
      <c r="F272">
        <f t="shared" si="1"/>
        <v>0.39296916219790184</v>
      </c>
      <c r="G272">
        <v>5.5E-2</v>
      </c>
      <c r="H272">
        <v>8.2000000000000003E-2</v>
      </c>
      <c r="I272">
        <v>0.05</v>
      </c>
      <c r="J272">
        <v>0.1236026063679859</v>
      </c>
      <c r="K272">
        <v>0.3583881800323207</v>
      </c>
      <c r="O272"/>
      <c r="R272"/>
    </row>
    <row r="273" spans="1:18">
      <c r="A273" s="119"/>
      <c r="B273" s="331" t="s">
        <v>1578</v>
      </c>
      <c r="D273">
        <v>0.52047291009038898</v>
      </c>
      <c r="E273">
        <f t="shared" si="0"/>
        <v>0.46825864056035982</v>
      </c>
      <c r="F273">
        <f t="shared" si="1"/>
        <v>0.64577741623471163</v>
      </c>
      <c r="G273">
        <v>5.5E-2</v>
      </c>
      <c r="H273">
        <v>8.2000000000000003E-2</v>
      </c>
      <c r="I273">
        <v>0.05</v>
      </c>
      <c r="J273">
        <v>8.8643400113741555E-2</v>
      </c>
      <c r="K273">
        <v>0.56871602992583947</v>
      </c>
      <c r="O273"/>
      <c r="R273"/>
    </row>
    <row r="274" spans="1:18">
      <c r="A274" s="119"/>
      <c r="B274" s="331" t="s">
        <v>1579</v>
      </c>
      <c r="D274">
        <v>0.33882057318500752</v>
      </c>
      <c r="E274">
        <f t="shared" si="0"/>
        <v>0.30482981518853741</v>
      </c>
      <c r="F274">
        <f t="shared" si="1"/>
        <v>0.42039205129922974</v>
      </c>
      <c r="G274">
        <v>5.5E-2</v>
      </c>
      <c r="H274">
        <v>8.2000000000000003E-2</v>
      </c>
      <c r="I274">
        <v>0.05</v>
      </c>
      <c r="J274">
        <v>1.3388223388534667E-2</v>
      </c>
      <c r="K274">
        <v>0.34338728054366963</v>
      </c>
      <c r="O274"/>
      <c r="R274"/>
    </row>
    <row r="275" spans="1:18">
      <c r="A275" s="119"/>
      <c r="B275" s="331" t="s">
        <v>1580</v>
      </c>
      <c r="D275">
        <v>0.34226165645864642</v>
      </c>
      <c r="E275">
        <f t="shared" si="0"/>
        <v>0.30792568616381893</v>
      </c>
      <c r="F275">
        <f t="shared" si="1"/>
        <v>0.42466157968854223</v>
      </c>
      <c r="G275">
        <v>5.5E-2</v>
      </c>
      <c r="H275">
        <v>8.2000000000000003E-2</v>
      </c>
      <c r="I275">
        <v>0.05</v>
      </c>
      <c r="J275">
        <v>1.1006829576942795E-2</v>
      </c>
      <c r="K275">
        <v>0.34604968100905759</v>
      </c>
      <c r="O275"/>
      <c r="R275"/>
    </row>
    <row r="276" spans="1:18">
      <c r="A276" s="119"/>
      <c r="B276" s="331" t="s">
        <v>1581</v>
      </c>
      <c r="D276">
        <v>0.48343140172457899</v>
      </c>
      <c r="E276">
        <f t="shared" si="0"/>
        <v>0.43493316671645288</v>
      </c>
      <c r="F276">
        <f t="shared" si="1"/>
        <v>0.59981811825366016</v>
      </c>
      <c r="G276">
        <v>5.5E-2</v>
      </c>
      <c r="H276">
        <v>8.2000000000000003E-2</v>
      </c>
      <c r="I276">
        <v>0.05</v>
      </c>
      <c r="J276">
        <v>3.1917065701599939E-2</v>
      </c>
      <c r="K276">
        <v>0.4991099898414757</v>
      </c>
      <c r="O276"/>
      <c r="R276"/>
    </row>
    <row r="277" spans="1:18">
      <c r="A277" s="119"/>
      <c r="B277" s="331" t="s">
        <v>1582</v>
      </c>
      <c r="D277">
        <v>0.30579388245682504</v>
      </c>
      <c r="E277">
        <f t="shared" si="0"/>
        <v>0.27511638918159997</v>
      </c>
      <c r="F277">
        <f t="shared" si="1"/>
        <v>0.37941414333947704</v>
      </c>
      <c r="G277">
        <v>5.5E-2</v>
      </c>
      <c r="H277">
        <v>8.2000000000000003E-2</v>
      </c>
      <c r="I277">
        <v>0.05</v>
      </c>
      <c r="J277">
        <v>0.12717836262911852</v>
      </c>
      <c r="K277">
        <v>0.34726551174113707</v>
      </c>
      <c r="O277"/>
      <c r="R277"/>
    </row>
    <row r="278" spans="1:18">
      <c r="A278" s="119"/>
      <c r="B278" s="331" t="s">
        <v>1583</v>
      </c>
      <c r="D278">
        <v>0.28109277967072932</v>
      </c>
      <c r="E278">
        <f t="shared" si="0"/>
        <v>0.25289332130098696</v>
      </c>
      <c r="F278">
        <f t="shared" si="1"/>
        <v>0.34876621906502692</v>
      </c>
      <c r="G278">
        <v>5.5E-2</v>
      </c>
      <c r="H278">
        <v>8.2000000000000003E-2</v>
      </c>
      <c r="I278">
        <v>0.05</v>
      </c>
      <c r="J278">
        <v>4.8772403419789959E-2</v>
      </c>
      <c r="K278">
        <v>0.29514217666140657</v>
      </c>
      <c r="O278"/>
      <c r="R278"/>
    </row>
    <row r="279" spans="1:18">
      <c r="A279" s="119"/>
      <c r="B279" s="331" t="s">
        <v>1584</v>
      </c>
      <c r="D279">
        <v>0.5348655823059747</v>
      </c>
      <c r="E279">
        <f t="shared" si="0"/>
        <v>0.4812074280861709</v>
      </c>
      <c r="F279">
        <f t="shared" si="1"/>
        <v>0.66363514234476018</v>
      </c>
      <c r="G279">
        <v>5.5E-2</v>
      </c>
      <c r="H279">
        <v>8.2000000000000003E-2</v>
      </c>
      <c r="I279">
        <v>0.05</v>
      </c>
      <c r="J279">
        <v>-5.6191062406966967E-2</v>
      </c>
      <c r="K279">
        <v>0.50563972253892131</v>
      </c>
      <c r="O279"/>
      <c r="R279"/>
    </row>
    <row r="280" spans="1:18">
      <c r="A280" s="119"/>
      <c r="B280" s="331" t="s">
        <v>1585</v>
      </c>
      <c r="D280">
        <v>0.34549791833698812</v>
      </c>
      <c r="E280">
        <f t="shared" si="0"/>
        <v>0.31083728359429119</v>
      </c>
      <c r="F280">
        <f t="shared" si="1"/>
        <v>0.4286769756746493</v>
      </c>
      <c r="G280">
        <v>5.5E-2</v>
      </c>
      <c r="H280">
        <v>8.2000000000000003E-2</v>
      </c>
      <c r="I280">
        <v>0.05</v>
      </c>
      <c r="J280">
        <v>3.4618849882728016E-2</v>
      </c>
      <c r="K280">
        <v>0.35766810235637853</v>
      </c>
      <c r="O280"/>
      <c r="R280"/>
    </row>
    <row r="281" spans="1:18">
      <c r="A281" s="119"/>
      <c r="B281" s="331" t="s">
        <v>1586</v>
      </c>
      <c r="D281">
        <v>0.32186110997762873</v>
      </c>
      <c r="E281">
        <f t="shared" si="0"/>
        <v>0.28957173924998092</v>
      </c>
      <c r="F281">
        <f t="shared" si="1"/>
        <v>0.39934957604554799</v>
      </c>
      <c r="G281">
        <v>5.5E-2</v>
      </c>
      <c r="H281">
        <v>8.2000000000000003E-2</v>
      </c>
      <c r="I281">
        <v>0.05</v>
      </c>
      <c r="J281">
        <v>0.18700263037487508</v>
      </c>
      <c r="K281">
        <v>0.3880455568894246</v>
      </c>
      <c r="O281"/>
      <c r="R281"/>
    </row>
    <row r="282" spans="1:18">
      <c r="A282" s="119"/>
      <c r="B282" s="331" t="s">
        <v>1587</v>
      </c>
      <c r="D282">
        <v>0.50423964534022481</v>
      </c>
      <c r="E282">
        <f t="shared" si="0"/>
        <v>0.45365391025374657</v>
      </c>
      <c r="F282">
        <f t="shared" si="1"/>
        <v>0.62563597262798398</v>
      </c>
      <c r="G282">
        <v>5.5E-2</v>
      </c>
      <c r="H282">
        <v>8.2000000000000003E-2</v>
      </c>
      <c r="I282">
        <v>0.05</v>
      </c>
      <c r="J282">
        <v>0.10503638435018345</v>
      </c>
      <c r="K282">
        <v>0.56008470218860074</v>
      </c>
      <c r="O282"/>
      <c r="R282"/>
    </row>
    <row r="283" spans="1:18">
      <c r="A283" s="119"/>
      <c r="B283" s="331" t="s">
        <v>1588</v>
      </c>
      <c r="D283">
        <v>0.27040542545429885</v>
      </c>
      <c r="E283">
        <f t="shared" si="0"/>
        <v>0.24327813123143341</v>
      </c>
      <c r="F283">
        <f t="shared" si="1"/>
        <v>0.33550587091151202</v>
      </c>
      <c r="G283">
        <v>5.5E-2</v>
      </c>
      <c r="H283">
        <v>8.2000000000000003E-2</v>
      </c>
      <c r="I283">
        <v>0.05</v>
      </c>
      <c r="J283">
        <v>3.3758823256352946E-2</v>
      </c>
      <c r="K283">
        <v>0.27968982793394859</v>
      </c>
      <c r="O283"/>
      <c r="R283"/>
    </row>
    <row r="284" spans="1:18">
      <c r="A284" s="119"/>
      <c r="B284" s="331" t="s">
        <v>1589</v>
      </c>
      <c r="D284">
        <v>0.25354400596015697</v>
      </c>
      <c r="E284">
        <f t="shared" si="0"/>
        <v>0.22810826318033034</v>
      </c>
      <c r="F284">
        <f t="shared" si="1"/>
        <v>0.31458504351804495</v>
      </c>
      <c r="G284">
        <v>5.5E-2</v>
      </c>
      <c r="H284">
        <v>8.2000000000000003E-2</v>
      </c>
      <c r="I284">
        <v>0.05</v>
      </c>
      <c r="J284">
        <v>-2.07385627155008E-3</v>
      </c>
      <c r="K284">
        <v>0.25301873698771882</v>
      </c>
      <c r="O284"/>
      <c r="R284"/>
    </row>
    <row r="285" spans="1:18">
      <c r="A285" s="119"/>
      <c r="B285" s="331" t="s">
        <v>1590</v>
      </c>
      <c r="D285">
        <v>0.52929287692884741</v>
      </c>
      <c r="E285">
        <f t="shared" si="0"/>
        <v>0.47619378108639937</v>
      </c>
      <c r="F285">
        <f t="shared" si="1"/>
        <v>0.65672080115598708</v>
      </c>
      <c r="G285">
        <v>5.5E-2</v>
      </c>
      <c r="H285">
        <v>8.2000000000000003E-2</v>
      </c>
      <c r="I285">
        <v>0.05</v>
      </c>
      <c r="J285">
        <v>1.0434190035389694E-2</v>
      </c>
      <c r="K285">
        <v>0.53484453253753894</v>
      </c>
      <c r="O285"/>
      <c r="R285"/>
    </row>
    <row r="286" spans="1:18">
      <c r="A286" s="119"/>
      <c r="B286" s="331" t="s">
        <v>1591</v>
      </c>
      <c r="D286">
        <v>0.27496916416118083</v>
      </c>
      <c r="E286">
        <f t="shared" si="0"/>
        <v>0.24738403192545055</v>
      </c>
      <c r="F286">
        <f t="shared" si="1"/>
        <v>0.3411683354382225</v>
      </c>
      <c r="G286">
        <v>5.5E-2</v>
      </c>
      <c r="H286">
        <v>8.2000000000000003E-2</v>
      </c>
      <c r="I286">
        <v>0.05</v>
      </c>
      <c r="J286">
        <v>7.8275873332390042E-2</v>
      </c>
      <c r="K286">
        <v>0.29735741547702943</v>
      </c>
      <c r="O286"/>
      <c r="R286"/>
    </row>
    <row r="287" spans="1:18">
      <c r="A287" s="119"/>
      <c r="B287" s="331" t="s">
        <v>1592</v>
      </c>
      <c r="D287">
        <v>0.27624278161467497</v>
      </c>
      <c r="E287">
        <f t="shared" si="0"/>
        <v>0.24852987903066021</v>
      </c>
      <c r="F287">
        <f t="shared" si="1"/>
        <v>0.34274857789165974</v>
      </c>
      <c r="G287">
        <v>5.5E-2</v>
      </c>
      <c r="H287">
        <v>8.2000000000000003E-2</v>
      </c>
      <c r="I287">
        <v>0.05</v>
      </c>
      <c r="J287">
        <v>6.854642895864714E-2</v>
      </c>
      <c r="K287">
        <v>0.29584230280053414</v>
      </c>
      <c r="O287"/>
      <c r="R287"/>
    </row>
    <row r="288" spans="1:18">
      <c r="A288" s="119"/>
      <c r="B288" s="331" t="s">
        <v>1593</v>
      </c>
      <c r="D288">
        <v>0.5291709760503005</v>
      </c>
      <c r="E288">
        <f t="shared" si="0"/>
        <v>0.47608410940404117</v>
      </c>
      <c r="F288">
        <f t="shared" si="1"/>
        <v>0.65656955248798043</v>
      </c>
      <c r="G288">
        <v>5.5E-2</v>
      </c>
      <c r="H288">
        <v>8.2000000000000003E-2</v>
      </c>
      <c r="I288">
        <v>0.05</v>
      </c>
      <c r="J288">
        <v>6.1266209553904293E-2</v>
      </c>
      <c r="K288">
        <v>0.56260500675767222</v>
      </c>
      <c r="O288"/>
      <c r="R288"/>
    </row>
    <row r="289" spans="1:18">
      <c r="A289" s="119"/>
      <c r="B289" s="331" t="s">
        <v>1594</v>
      </c>
      <c r="D289">
        <v>0.32172357267421325</v>
      </c>
      <c r="E289">
        <f t="shared" si="0"/>
        <v>0.28944799980173092</v>
      </c>
      <c r="F289">
        <f t="shared" si="1"/>
        <v>0.39917892646376646</v>
      </c>
      <c r="G289">
        <v>5.5E-2</v>
      </c>
      <c r="H289">
        <v>8.2000000000000003E-2</v>
      </c>
      <c r="I289">
        <v>0.05</v>
      </c>
      <c r="J289">
        <v>-3.0990696106970701E-2</v>
      </c>
      <c r="K289">
        <v>0.31190604691739543</v>
      </c>
      <c r="O289"/>
      <c r="R289"/>
    </row>
    <row r="290" spans="1:18">
      <c r="A290" s="119"/>
      <c r="B290" s="331" t="s">
        <v>1595</v>
      </c>
      <c r="D290">
        <v>0.31078236419114735</v>
      </c>
      <c r="E290">
        <f t="shared" si="0"/>
        <v>0.27960442233392729</v>
      </c>
      <c r="F290">
        <f t="shared" si="1"/>
        <v>0.38560360831041141</v>
      </c>
      <c r="G290">
        <v>5.5E-2</v>
      </c>
      <c r="H290">
        <v>8.2000000000000003E-2</v>
      </c>
      <c r="I290">
        <v>0.05</v>
      </c>
      <c r="J290">
        <v>-5.4244508137732232E-2</v>
      </c>
      <c r="K290">
        <v>0.29437320452503629</v>
      </c>
      <c r="O290"/>
      <c r="R290"/>
    </row>
    <row r="291" spans="1:18">
      <c r="A291" s="119"/>
      <c r="B291" s="331"/>
      <c r="G291"/>
      <c r="I291"/>
      <c r="O291"/>
      <c r="R291"/>
    </row>
    <row r="292" spans="1:18">
      <c r="A292" s="119">
        <v>1.413</v>
      </c>
      <c r="B292" s="331" t="s">
        <v>696</v>
      </c>
      <c r="G292"/>
      <c r="I292"/>
      <c r="O292"/>
      <c r="R292"/>
    </row>
    <row r="293" spans="1:18">
      <c r="A293" s="119"/>
      <c r="B293" s="331" t="s">
        <v>1569</v>
      </c>
      <c r="D293">
        <v>0.66611712088095454</v>
      </c>
      <c r="E293">
        <f t="shared" ref="E293:E319" si="2">CalcMin(D293,G293,H293,I293)</f>
        <v>0.59929170458367809</v>
      </c>
      <c r="F293">
        <f t="shared" ref="F293:F319" si="3">CalcMax(D293,G293,H293,I293)</f>
        <v>0.82648565351365311</v>
      </c>
      <c r="G293">
        <v>5.5E-2</v>
      </c>
      <c r="H293">
        <v>8.2000000000000003E-2</v>
      </c>
      <c r="I293">
        <v>0.05</v>
      </c>
      <c r="J293">
        <v>5.3209673590339013E-2</v>
      </c>
      <c r="K293">
        <v>0.70252092402147037</v>
      </c>
      <c r="O293"/>
      <c r="R293"/>
    </row>
    <row r="294" spans="1:18">
      <c r="A294" s="119"/>
      <c r="B294" s="331" t="s">
        <v>1570</v>
      </c>
      <c r="D294">
        <v>0.31747878421235498</v>
      </c>
      <c r="E294">
        <f t="shared" si="2"/>
        <v>0.28562905200237115</v>
      </c>
      <c r="F294">
        <f t="shared" si="3"/>
        <v>0.39391219985375769</v>
      </c>
      <c r="G294">
        <v>5.5E-2</v>
      </c>
      <c r="H294">
        <v>8.2000000000000003E-2</v>
      </c>
      <c r="I294">
        <v>0.05</v>
      </c>
      <c r="J294">
        <v>-1.4896574507676848E-2</v>
      </c>
      <c r="K294">
        <v>0.31278448911518902</v>
      </c>
      <c r="O294"/>
      <c r="R294"/>
    </row>
    <row r="295" spans="1:18">
      <c r="A295" s="119"/>
      <c r="B295" s="331" t="s">
        <v>1571</v>
      </c>
      <c r="D295">
        <v>0.33705542065455896</v>
      </c>
      <c r="E295">
        <f t="shared" si="2"/>
        <v>0.30324174420873179</v>
      </c>
      <c r="F295">
        <f t="shared" si="3"/>
        <v>0.41820193608232964</v>
      </c>
      <c r="G295">
        <v>5.5E-2</v>
      </c>
      <c r="H295">
        <v>8.2000000000000003E-2</v>
      </c>
      <c r="I295">
        <v>0.05</v>
      </c>
      <c r="J295">
        <v>-1.2770034656582004E-2</v>
      </c>
      <c r="K295">
        <v>0.33277857709180109</v>
      </c>
      <c r="O295"/>
      <c r="R295"/>
    </row>
    <row r="296" spans="1:18">
      <c r="A296" s="119"/>
      <c r="B296" s="331" t="s">
        <v>1572</v>
      </c>
      <c r="D296">
        <v>0.5422142746478521</v>
      </c>
      <c r="E296">
        <f t="shared" si="2"/>
        <v>0.48781889358070785</v>
      </c>
      <c r="F296">
        <f t="shared" si="3"/>
        <v>0.672753041588387</v>
      </c>
      <c r="G296">
        <v>5.5E-2</v>
      </c>
      <c r="H296">
        <v>8.2000000000000003E-2</v>
      </c>
      <c r="I296">
        <v>0.05</v>
      </c>
      <c r="J296">
        <v>-3.4551539581197492E-2</v>
      </c>
      <c r="K296">
        <v>0.52379989122612947</v>
      </c>
      <c r="O296"/>
      <c r="R296"/>
    </row>
    <row r="297" spans="1:18">
      <c r="A297" s="119"/>
      <c r="B297" s="331" t="s">
        <v>1573</v>
      </c>
      <c r="D297">
        <v>0.40997580785317744</v>
      </c>
      <c r="E297">
        <f t="shared" si="2"/>
        <v>0.36884669831254902</v>
      </c>
      <c r="F297">
        <f t="shared" si="3"/>
        <v>0.50867799799260383</v>
      </c>
      <c r="G297">
        <v>5.5E-2</v>
      </c>
      <c r="H297">
        <v>8.2000000000000003E-2</v>
      </c>
      <c r="I297">
        <v>0.05</v>
      </c>
      <c r="J297">
        <v>0.15505539682633046</v>
      </c>
      <c r="K297">
        <v>0.47873803573352691</v>
      </c>
      <c r="O297"/>
      <c r="R297"/>
    </row>
    <row r="298" spans="1:18">
      <c r="A298" s="119"/>
      <c r="B298" s="331" t="s">
        <v>1574</v>
      </c>
      <c r="D298">
        <v>0.29458982133884876</v>
      </c>
      <c r="E298">
        <f t="shared" si="2"/>
        <v>0.26503632867096238</v>
      </c>
      <c r="F298">
        <f t="shared" si="3"/>
        <v>0.36551269044955437</v>
      </c>
      <c r="G298">
        <v>5.5E-2</v>
      </c>
      <c r="H298">
        <v>8.2000000000000003E-2</v>
      </c>
      <c r="I298">
        <v>0.05</v>
      </c>
      <c r="J298">
        <v>5.1989104175712099E-2</v>
      </c>
      <c r="K298">
        <v>0.31031039068377775</v>
      </c>
      <c r="O298"/>
      <c r="R298"/>
    </row>
    <row r="299" spans="1:18">
      <c r="A299" s="119"/>
      <c r="B299" s="331" t="s">
        <v>1575</v>
      </c>
      <c r="D299">
        <v>0.54599847411721014</v>
      </c>
      <c r="E299">
        <f t="shared" si="2"/>
        <v>0.4912234590533337</v>
      </c>
      <c r="F299">
        <f t="shared" si="3"/>
        <v>0.67744829182804767</v>
      </c>
      <c r="G299">
        <v>5.5E-2</v>
      </c>
      <c r="H299">
        <v>8.2000000000000003E-2</v>
      </c>
      <c r="I299">
        <v>0.05</v>
      </c>
      <c r="J299">
        <v>0.13455044463554405</v>
      </c>
      <c r="K299">
        <v>0.62463446692262647</v>
      </c>
      <c r="O299"/>
      <c r="R299"/>
    </row>
    <row r="300" spans="1:18">
      <c r="A300" s="119"/>
      <c r="B300" s="331" t="s">
        <v>1576</v>
      </c>
      <c r="D300">
        <v>0.33384004609660595</v>
      </c>
      <c r="E300">
        <f t="shared" si="2"/>
        <v>0.30034893866552309</v>
      </c>
      <c r="F300">
        <f t="shared" si="3"/>
        <v>0.41421245606520229</v>
      </c>
      <c r="G300">
        <v>5.5E-2</v>
      </c>
      <c r="H300">
        <v>8.2000000000000003E-2</v>
      </c>
      <c r="I300">
        <v>0.05</v>
      </c>
      <c r="J300">
        <v>8.6872379236870675E-2</v>
      </c>
      <c r="K300">
        <v>0.3641385232420643</v>
      </c>
      <c r="O300"/>
      <c r="R300"/>
    </row>
    <row r="301" spans="1:18">
      <c r="A301" s="119"/>
      <c r="B301" s="331" t="s">
        <v>1577</v>
      </c>
      <c r="D301">
        <v>0.3583881800323207</v>
      </c>
      <c r="E301">
        <f t="shared" si="2"/>
        <v>0.32243438365637794</v>
      </c>
      <c r="F301">
        <f t="shared" si="3"/>
        <v>0.44467058404661142</v>
      </c>
      <c r="G301">
        <v>5.5E-2</v>
      </c>
      <c r="H301">
        <v>8.2000000000000003E-2</v>
      </c>
      <c r="I301">
        <v>0.05</v>
      </c>
      <c r="J301">
        <v>0.17336761852883398</v>
      </c>
      <c r="K301">
        <v>0.4262322217677848</v>
      </c>
      <c r="O301"/>
      <c r="R301"/>
    </row>
    <row r="302" spans="1:18">
      <c r="A302" s="119"/>
      <c r="B302" s="331" t="s">
        <v>1578</v>
      </c>
      <c r="D302">
        <v>0.56871602992583947</v>
      </c>
      <c r="E302">
        <f t="shared" si="2"/>
        <v>0.51166197101730015</v>
      </c>
      <c r="F302">
        <f t="shared" si="3"/>
        <v>0.70563512770143966</v>
      </c>
      <c r="G302">
        <v>5.5E-2</v>
      </c>
      <c r="H302">
        <v>8.2000000000000003E-2</v>
      </c>
      <c r="I302">
        <v>0.05</v>
      </c>
      <c r="J302">
        <v>8.1703489195098539E-2</v>
      </c>
      <c r="K302">
        <v>0.61713310506104668</v>
      </c>
      <c r="O302"/>
      <c r="R302"/>
    </row>
    <row r="303" spans="1:18">
      <c r="A303" s="119"/>
      <c r="B303" s="331" t="s">
        <v>1579</v>
      </c>
      <c r="D303">
        <v>0.34338728054366963</v>
      </c>
      <c r="E303">
        <f t="shared" si="2"/>
        <v>0.3089383867167515</v>
      </c>
      <c r="F303">
        <f t="shared" si="3"/>
        <v>0.42605819918436116</v>
      </c>
      <c r="G303">
        <v>5.5E-2</v>
      </c>
      <c r="H303">
        <v>8.2000000000000003E-2</v>
      </c>
      <c r="I303">
        <v>0.05</v>
      </c>
      <c r="J303">
        <v>0.13549970698597383</v>
      </c>
      <c r="K303">
        <v>0.3932158174653686</v>
      </c>
      <c r="O303"/>
      <c r="R303"/>
    </row>
    <row r="304" spans="1:18">
      <c r="A304" s="119"/>
      <c r="B304" s="331" t="s">
        <v>1580</v>
      </c>
      <c r="D304">
        <v>0.34604968100905759</v>
      </c>
      <c r="E304">
        <f t="shared" si="2"/>
        <v>0.31133369298222713</v>
      </c>
      <c r="F304">
        <f t="shared" si="3"/>
        <v>0.42936157590231894</v>
      </c>
      <c r="G304">
        <v>5.5E-2</v>
      </c>
      <c r="H304">
        <v>8.2000000000000003E-2</v>
      </c>
      <c r="I304">
        <v>0.05</v>
      </c>
      <c r="J304">
        <v>6.3405337737767811E-2</v>
      </c>
      <c r="K304">
        <v>0.36870161637666882</v>
      </c>
      <c r="O304"/>
      <c r="R304"/>
    </row>
    <row r="305" spans="1:18">
      <c r="A305" s="119"/>
      <c r="B305" s="331" t="s">
        <v>1581</v>
      </c>
      <c r="D305">
        <v>0.4991099898414757</v>
      </c>
      <c r="E305">
        <f t="shared" si="2"/>
        <v>0.44903886600491127</v>
      </c>
      <c r="F305">
        <f t="shared" si="3"/>
        <v>0.61927134613170565</v>
      </c>
      <c r="G305">
        <v>5.5E-2</v>
      </c>
      <c r="H305">
        <v>8.2000000000000003E-2</v>
      </c>
      <c r="I305">
        <v>0.05</v>
      </c>
      <c r="J305">
        <v>0.13991429547530562</v>
      </c>
      <c r="K305">
        <v>0.57406394207686018</v>
      </c>
      <c r="O305"/>
      <c r="R305"/>
    </row>
    <row r="306" spans="1:18">
      <c r="A306" s="119"/>
      <c r="B306" s="331" t="s">
        <v>1582</v>
      </c>
      <c r="D306">
        <v>0.34726551174113707</v>
      </c>
      <c r="E306">
        <f t="shared" si="2"/>
        <v>0.31242755057734417</v>
      </c>
      <c r="F306">
        <f t="shared" si="3"/>
        <v>0.43087011940865572</v>
      </c>
      <c r="G306">
        <v>5.5E-2</v>
      </c>
      <c r="H306">
        <v>8.2000000000000003E-2</v>
      </c>
      <c r="I306">
        <v>0.05</v>
      </c>
      <c r="J306">
        <v>3.7098917127696529E-2</v>
      </c>
      <c r="K306">
        <v>0.36039064495593609</v>
      </c>
      <c r="O306"/>
      <c r="R306"/>
    </row>
    <row r="307" spans="1:18">
      <c r="A307" s="119"/>
      <c r="B307" s="331" t="s">
        <v>1583</v>
      </c>
      <c r="D307">
        <v>0.29514217666140657</v>
      </c>
      <c r="E307">
        <f t="shared" si="2"/>
        <v>0.26553327125420323</v>
      </c>
      <c r="F307">
        <f t="shared" si="3"/>
        <v>0.36619802600906104</v>
      </c>
      <c r="G307">
        <v>5.5E-2</v>
      </c>
      <c r="H307">
        <v>8.2000000000000003E-2</v>
      </c>
      <c r="I307">
        <v>0.05</v>
      </c>
      <c r="J307">
        <v>-1.6785664865054069E-2</v>
      </c>
      <c r="K307">
        <v>0.29022936673852084</v>
      </c>
      <c r="O307"/>
      <c r="R307"/>
    </row>
    <row r="308" spans="1:18">
      <c r="A308" s="119"/>
      <c r="B308" s="331" t="s">
        <v>1584</v>
      </c>
      <c r="D308">
        <v>0.50563972253892131</v>
      </c>
      <c r="E308">
        <f t="shared" si="2"/>
        <v>0.45491353055872524</v>
      </c>
      <c r="F308">
        <f t="shared" si="3"/>
        <v>0.62737312016895075</v>
      </c>
      <c r="G308">
        <v>5.5E-2</v>
      </c>
      <c r="H308">
        <v>8.2000000000000003E-2</v>
      </c>
      <c r="I308">
        <v>0.05</v>
      </c>
      <c r="J308">
        <v>0.15222357631281855</v>
      </c>
      <c r="K308">
        <v>0.58877728087958647</v>
      </c>
      <c r="O308"/>
      <c r="R308"/>
    </row>
    <row r="309" spans="1:18">
      <c r="A309" s="119"/>
      <c r="B309" s="331" t="s">
        <v>1585</v>
      </c>
      <c r="D309">
        <v>0.35766810235637853</v>
      </c>
      <c r="E309">
        <f t="shared" si="2"/>
        <v>0.32178654476390611</v>
      </c>
      <c r="F309">
        <f t="shared" si="3"/>
        <v>0.44377714676670099</v>
      </c>
      <c r="G309">
        <v>5.5E-2</v>
      </c>
      <c r="H309">
        <v>8.2000000000000003E-2</v>
      </c>
      <c r="I309">
        <v>0.05</v>
      </c>
      <c r="J309">
        <v>-4.7623189455672392E-2</v>
      </c>
      <c r="K309">
        <v>0.34103403392769799</v>
      </c>
      <c r="O309"/>
      <c r="R309"/>
    </row>
    <row r="310" spans="1:18">
      <c r="A310" s="119"/>
      <c r="B310" s="331" t="s">
        <v>1586</v>
      </c>
      <c r="D310">
        <v>0.3880455568894246</v>
      </c>
      <c r="E310">
        <f t="shared" si="2"/>
        <v>0.34911650812522294</v>
      </c>
      <c r="F310">
        <f t="shared" si="3"/>
        <v>0.48146801159332775</v>
      </c>
      <c r="G310">
        <v>5.5E-2</v>
      </c>
      <c r="H310">
        <v>8.2000000000000003E-2</v>
      </c>
      <c r="I310">
        <v>0.05</v>
      </c>
      <c r="J310">
        <v>-3.1441604356075771E-2</v>
      </c>
      <c r="K310">
        <v>0.37603459345899426</v>
      </c>
      <c r="O310"/>
      <c r="R310"/>
    </row>
    <row r="311" spans="1:18">
      <c r="A311" s="119"/>
      <c r="B311" s="331" t="s">
        <v>1587</v>
      </c>
      <c r="D311">
        <v>0.56008470218860074</v>
      </c>
      <c r="E311">
        <f t="shared" si="2"/>
        <v>0.50389654516301619</v>
      </c>
      <c r="F311">
        <f t="shared" si="3"/>
        <v>0.69492579698168899</v>
      </c>
      <c r="G311">
        <v>5.5E-2</v>
      </c>
      <c r="H311">
        <v>8.2000000000000003E-2</v>
      </c>
      <c r="I311">
        <v>0.05</v>
      </c>
      <c r="J311">
        <v>-1.8798743236159078E-2</v>
      </c>
      <c r="K311">
        <v>0.54965416138218703</v>
      </c>
      <c r="O311"/>
      <c r="R311"/>
    </row>
    <row r="312" spans="1:18">
      <c r="A312" s="119"/>
      <c r="B312" s="331" t="s">
        <v>1588</v>
      </c>
      <c r="D312">
        <v>0.27968982793394859</v>
      </c>
      <c r="E312">
        <f t="shared" si="2"/>
        <v>0.25163111483394407</v>
      </c>
      <c r="F312">
        <f t="shared" si="3"/>
        <v>0.34702550493732542</v>
      </c>
      <c r="G312">
        <v>5.5E-2</v>
      </c>
      <c r="H312">
        <v>8.2000000000000003E-2</v>
      </c>
      <c r="I312">
        <v>0.05</v>
      </c>
      <c r="J312">
        <v>0.10242182722132002</v>
      </c>
      <c r="K312">
        <v>0.30985457019323509</v>
      </c>
      <c r="O312"/>
      <c r="R312"/>
    </row>
    <row r="313" spans="1:18">
      <c r="A313" s="119"/>
      <c r="B313" s="331" t="s">
        <v>1589</v>
      </c>
      <c r="D313">
        <v>0.25301873698771882</v>
      </c>
      <c r="E313">
        <f t="shared" si="2"/>
        <v>0.22763568962233344</v>
      </c>
      <c r="F313">
        <f t="shared" si="3"/>
        <v>0.3139333153814346</v>
      </c>
      <c r="G313">
        <v>5.5E-2</v>
      </c>
      <c r="H313">
        <v>8.2000000000000003E-2</v>
      </c>
      <c r="I313">
        <v>0.05</v>
      </c>
      <c r="J313">
        <v>4.1411754730002297E-2</v>
      </c>
      <c r="K313">
        <v>0.26371666810613381</v>
      </c>
      <c r="O313"/>
      <c r="R313"/>
    </row>
    <row r="314" spans="1:18">
      <c r="A314" s="119"/>
      <c r="B314" s="331" t="s">
        <v>1590</v>
      </c>
      <c r="D314">
        <v>0.53484453253753894</v>
      </c>
      <c r="E314">
        <f t="shared" si="2"/>
        <v>0.48118849004778169</v>
      </c>
      <c r="F314">
        <f t="shared" si="3"/>
        <v>0.66360902481816231</v>
      </c>
      <c r="G314">
        <v>5.5E-2</v>
      </c>
      <c r="H314">
        <v>8.2000000000000003E-2</v>
      </c>
      <c r="I314">
        <v>0.05</v>
      </c>
      <c r="J314">
        <v>0.13432344952892383</v>
      </c>
      <c r="K314">
        <v>0.61173523160581156</v>
      </c>
      <c r="O314"/>
      <c r="R314"/>
    </row>
    <row r="315" spans="1:18">
      <c r="A315" s="119"/>
      <c r="B315" s="331" t="s">
        <v>1591</v>
      </c>
      <c r="D315">
        <v>0.29735741547702943</v>
      </c>
      <c r="E315">
        <f t="shared" si="2"/>
        <v>0.26752627549363611</v>
      </c>
      <c r="F315">
        <f t="shared" si="3"/>
        <v>0.36894658634901673</v>
      </c>
      <c r="G315">
        <v>5.5E-2</v>
      </c>
      <c r="H315">
        <v>8.2000000000000003E-2</v>
      </c>
      <c r="I315">
        <v>0.05</v>
      </c>
      <c r="J315">
        <v>0.1809495908791503</v>
      </c>
      <c r="K315">
        <v>0.35633967716046583</v>
      </c>
      <c r="O315"/>
      <c r="R315"/>
    </row>
    <row r="316" spans="1:18">
      <c r="A316" s="119"/>
      <c r="B316" s="331" t="s">
        <v>1592</v>
      </c>
      <c r="D316">
        <v>0.29584230280053414</v>
      </c>
      <c r="E316">
        <f t="shared" si="2"/>
        <v>0.26616316016440938</v>
      </c>
      <c r="F316">
        <f t="shared" si="3"/>
        <v>0.36706670839463545</v>
      </c>
      <c r="G316">
        <v>5.5E-2</v>
      </c>
      <c r="H316">
        <v>8.2000000000000003E-2</v>
      </c>
      <c r="I316">
        <v>0.05</v>
      </c>
      <c r="J316">
        <v>9.7357833283306425E-2</v>
      </c>
      <c r="K316">
        <v>0.32609357655708088</v>
      </c>
      <c r="O316"/>
      <c r="R316"/>
    </row>
    <row r="317" spans="1:18">
      <c r="A317" s="119"/>
      <c r="B317" s="331" t="s">
        <v>1593</v>
      </c>
      <c r="D317">
        <v>0.56260500675767222</v>
      </c>
      <c r="E317">
        <f t="shared" si="2"/>
        <v>0.5061640107091222</v>
      </c>
      <c r="F317">
        <f t="shared" si="3"/>
        <v>0.6980528680380037</v>
      </c>
      <c r="G317">
        <v>5.5E-2</v>
      </c>
      <c r="H317">
        <v>8.2000000000000003E-2</v>
      </c>
      <c r="I317">
        <v>0.05</v>
      </c>
      <c r="J317">
        <v>9.0161058768907426E-2</v>
      </c>
      <c r="K317">
        <v>0.61568708409682749</v>
      </c>
      <c r="O317"/>
      <c r="R317"/>
    </row>
    <row r="318" spans="1:18">
      <c r="A318" s="119"/>
      <c r="B318" s="331" t="s">
        <v>1594</v>
      </c>
      <c r="D318">
        <v>0.31190604691739543</v>
      </c>
      <c r="E318">
        <f t="shared" si="2"/>
        <v>0.28061537628679051</v>
      </c>
      <c r="F318">
        <f t="shared" si="3"/>
        <v>0.38699781906289421</v>
      </c>
      <c r="G318">
        <v>5.5E-2</v>
      </c>
      <c r="H318">
        <v>8.2000000000000003E-2</v>
      </c>
      <c r="I318">
        <v>0.05</v>
      </c>
      <c r="J318">
        <v>0.1303886477707045</v>
      </c>
      <c r="K318">
        <v>0.35534553657725343</v>
      </c>
      <c r="O318"/>
      <c r="R318"/>
    </row>
    <row r="319" spans="1:18">
      <c r="A319" s="119"/>
      <c r="B319" s="331" t="s">
        <v>1595</v>
      </c>
      <c r="D319">
        <v>0.29437320452503629</v>
      </c>
      <c r="E319">
        <f t="shared" si="2"/>
        <v>0.26484144303370466</v>
      </c>
      <c r="F319">
        <f t="shared" si="3"/>
        <v>0.3652439228660263</v>
      </c>
      <c r="G319">
        <v>5.5E-2</v>
      </c>
      <c r="H319">
        <v>8.2000000000000003E-2</v>
      </c>
      <c r="I319">
        <v>0.05</v>
      </c>
      <c r="J319">
        <v>-4.4323578567374282E-2</v>
      </c>
      <c r="K319">
        <v>0.28161046518903948</v>
      </c>
      <c r="O319"/>
      <c r="R319"/>
    </row>
    <row r="320" spans="1:18">
      <c r="A320" s="119"/>
      <c r="B320" s="331"/>
      <c r="G320"/>
      <c r="I320"/>
      <c r="O320"/>
      <c r="R320"/>
    </row>
    <row r="321" spans="1:18">
      <c r="A321" s="388">
        <v>1.51</v>
      </c>
      <c r="B321" s="389" t="s">
        <v>438</v>
      </c>
      <c r="G321"/>
      <c r="I321"/>
      <c r="O321"/>
      <c r="R321"/>
    </row>
    <row r="322" spans="1:18">
      <c r="A322" s="119"/>
      <c r="B322" s="331" t="s">
        <v>974</v>
      </c>
      <c r="D322">
        <v>0.13</v>
      </c>
      <c r="E322">
        <f t="shared" ref="E322:E345" si="4">CalcMin(D322,G322,H322,I322)</f>
        <v>4.8791321463712949E-2</v>
      </c>
      <c r="F322">
        <f t="shared" ref="F322:F345" si="5">CalcMax(D322,G322,H322,I322)</f>
        <v>0.34637307400187661</v>
      </c>
      <c r="G322">
        <v>0</v>
      </c>
      <c r="H322">
        <v>0.5</v>
      </c>
      <c r="I322">
        <v>0.05</v>
      </c>
      <c r="J322">
        <v>-6.3531280811059215E-2</v>
      </c>
      <c r="K322">
        <v>9.3337744085926641E-2</v>
      </c>
      <c r="O322"/>
      <c r="R322"/>
    </row>
    <row r="323" spans="1:18">
      <c r="A323" s="119"/>
      <c r="B323" s="331" t="s">
        <v>975</v>
      </c>
      <c r="D323">
        <v>0.13</v>
      </c>
      <c r="E323">
        <f t="shared" si="4"/>
        <v>4.8791321463712949E-2</v>
      </c>
      <c r="F323">
        <f t="shared" si="5"/>
        <v>0.34637307400187661</v>
      </c>
      <c r="G323">
        <v>0</v>
      </c>
      <c r="H323">
        <v>0.5</v>
      </c>
      <c r="I323">
        <v>0.05</v>
      </c>
      <c r="J323">
        <v>0.13251292128636083</v>
      </c>
      <c r="K323">
        <v>0.15402965698221929</v>
      </c>
      <c r="O323"/>
      <c r="R323"/>
    </row>
    <row r="324" spans="1:18">
      <c r="A324" s="119"/>
      <c r="B324" s="331" t="s">
        <v>976</v>
      </c>
      <c r="D324">
        <v>0.13</v>
      </c>
      <c r="E324">
        <f t="shared" si="4"/>
        <v>4.8791321463712949E-2</v>
      </c>
      <c r="F324">
        <f t="shared" si="5"/>
        <v>0.34637307400187661</v>
      </c>
      <c r="G324">
        <v>0</v>
      </c>
      <c r="H324">
        <v>0.5</v>
      </c>
      <c r="I324">
        <v>0.05</v>
      </c>
      <c r="J324">
        <v>0.7249274676623233</v>
      </c>
      <c r="K324">
        <v>0.1953755863604531</v>
      </c>
      <c r="O324"/>
      <c r="R324"/>
    </row>
    <row r="325" spans="1:18">
      <c r="A325" s="119"/>
      <c r="B325" s="331" t="s">
        <v>977</v>
      </c>
      <c r="D325">
        <v>0.13</v>
      </c>
      <c r="E325">
        <f t="shared" si="4"/>
        <v>4.8791321463712949E-2</v>
      </c>
      <c r="F325">
        <f t="shared" si="5"/>
        <v>0.34637307400187661</v>
      </c>
      <c r="G325">
        <v>0</v>
      </c>
      <c r="H325">
        <v>0.5</v>
      </c>
      <c r="I325">
        <v>0.05</v>
      </c>
      <c r="J325">
        <v>0.55122220693716517</v>
      </c>
      <c r="K325">
        <v>0.17260022102253808</v>
      </c>
      <c r="O325"/>
      <c r="R325"/>
    </row>
    <row r="326" spans="1:18">
      <c r="A326" s="119"/>
      <c r="B326" s="331" t="s">
        <v>978</v>
      </c>
      <c r="D326">
        <v>0.13</v>
      </c>
      <c r="E326">
        <f t="shared" si="4"/>
        <v>4.8791321463712949E-2</v>
      </c>
      <c r="F326">
        <f t="shared" si="5"/>
        <v>0.34637307400187661</v>
      </c>
      <c r="G326">
        <v>0</v>
      </c>
      <c r="H326">
        <v>0.5</v>
      </c>
      <c r="I326">
        <v>0.05</v>
      </c>
      <c r="J326">
        <v>0.6132421267611502</v>
      </c>
      <c r="K326">
        <v>0.24910496832069284</v>
      </c>
      <c r="O326"/>
      <c r="R326"/>
    </row>
    <row r="327" spans="1:18">
      <c r="A327" s="119"/>
      <c r="B327" s="331" t="s">
        <v>979</v>
      </c>
      <c r="D327">
        <v>0.13</v>
      </c>
      <c r="E327">
        <f t="shared" si="4"/>
        <v>4.8791321463712949E-2</v>
      </c>
      <c r="F327">
        <f t="shared" si="5"/>
        <v>0.34637307400187661</v>
      </c>
      <c r="G327">
        <v>0</v>
      </c>
      <c r="H327">
        <v>0.5</v>
      </c>
      <c r="I327">
        <v>0.05</v>
      </c>
      <c r="J327">
        <v>-0.28531739185656207</v>
      </c>
      <c r="K327">
        <v>7.114207475031864E-2</v>
      </c>
      <c r="O327"/>
      <c r="R327"/>
    </row>
    <row r="328" spans="1:18">
      <c r="A328" s="119"/>
      <c r="B328" s="331" t="s">
        <v>980</v>
      </c>
      <c r="D328">
        <v>0.17</v>
      </c>
      <c r="E328">
        <f t="shared" si="4"/>
        <v>6.3804035760240019E-2</v>
      </c>
      <c r="F328">
        <f t="shared" si="5"/>
        <v>0.45294940446399251</v>
      </c>
      <c r="G328">
        <v>0</v>
      </c>
      <c r="H328">
        <v>0.5</v>
      </c>
      <c r="I328">
        <v>0.05</v>
      </c>
      <c r="J328">
        <v>-0.73300289027312759</v>
      </c>
      <c r="K328">
        <v>6.2490650189313178E-2</v>
      </c>
      <c r="O328"/>
      <c r="R328"/>
    </row>
    <row r="329" spans="1:18">
      <c r="A329" s="119"/>
      <c r="B329" s="331" t="s">
        <v>981</v>
      </c>
      <c r="D329">
        <v>0.17</v>
      </c>
      <c r="E329">
        <f t="shared" si="4"/>
        <v>6.3804035760240019E-2</v>
      </c>
      <c r="F329">
        <f t="shared" si="5"/>
        <v>0.45294940446399251</v>
      </c>
      <c r="G329">
        <v>0</v>
      </c>
      <c r="H329">
        <v>0.5</v>
      </c>
      <c r="I329">
        <v>0.05</v>
      </c>
      <c r="J329">
        <v>8.3815398733080082E-2</v>
      </c>
      <c r="K329">
        <v>0.19184957966247451</v>
      </c>
      <c r="O329"/>
      <c r="R329"/>
    </row>
    <row r="330" spans="1:18">
      <c r="A330" s="119"/>
      <c r="B330" s="331" t="s">
        <v>982</v>
      </c>
      <c r="D330">
        <v>0.17</v>
      </c>
      <c r="E330">
        <f t="shared" si="4"/>
        <v>6.3804035760240019E-2</v>
      </c>
      <c r="F330">
        <f t="shared" si="5"/>
        <v>0.45294940446399251</v>
      </c>
      <c r="G330">
        <v>0</v>
      </c>
      <c r="H330">
        <v>0.5</v>
      </c>
      <c r="I330">
        <v>0.05</v>
      </c>
      <c r="J330">
        <v>-0.49018482753511194</v>
      </c>
      <c r="K330">
        <v>7.5798270922513497E-2</v>
      </c>
      <c r="O330"/>
      <c r="R330"/>
    </row>
    <row r="331" spans="1:18">
      <c r="A331" s="119"/>
      <c r="B331" s="331" t="s">
        <v>983</v>
      </c>
      <c r="D331">
        <v>0.19</v>
      </c>
      <c r="E331">
        <f t="shared" si="4"/>
        <v>7.1310392908503537E-2</v>
      </c>
      <c r="F331">
        <f t="shared" si="5"/>
        <v>0.5062375696950504</v>
      </c>
      <c r="G331">
        <v>0</v>
      </c>
      <c r="H331">
        <v>0.5</v>
      </c>
      <c r="I331">
        <v>0.05</v>
      </c>
      <c r="J331">
        <v>0.68799168377947473</v>
      </c>
      <c r="K331">
        <v>0.28923432066542953</v>
      </c>
      <c r="O331"/>
      <c r="R331"/>
    </row>
    <row r="332" spans="1:18">
      <c r="A332" s="119"/>
      <c r="B332" s="331" t="s">
        <v>984</v>
      </c>
      <c r="D332">
        <v>0.19</v>
      </c>
      <c r="E332">
        <f t="shared" si="4"/>
        <v>7.1310392908503537E-2</v>
      </c>
      <c r="F332">
        <f t="shared" si="5"/>
        <v>0.5062375696950504</v>
      </c>
      <c r="G332">
        <v>0</v>
      </c>
      <c r="H332">
        <v>0.5</v>
      </c>
      <c r="I332">
        <v>0.05</v>
      </c>
      <c r="J332">
        <v>-0.40511395936563732</v>
      </c>
      <c r="K332">
        <v>0.13150013822164369</v>
      </c>
      <c r="O332"/>
      <c r="R332"/>
    </row>
    <row r="333" spans="1:18">
      <c r="A333" s="119"/>
      <c r="B333" s="331" t="s">
        <v>985</v>
      </c>
      <c r="D333">
        <v>0.19</v>
      </c>
      <c r="E333">
        <f t="shared" si="4"/>
        <v>7.1310392908503537E-2</v>
      </c>
      <c r="F333">
        <f t="shared" si="5"/>
        <v>0.5062375696950504</v>
      </c>
      <c r="G333">
        <v>0</v>
      </c>
      <c r="H333">
        <v>0.5</v>
      </c>
      <c r="I333">
        <v>0.05</v>
      </c>
      <c r="J333">
        <v>0.80093925611422878</v>
      </c>
      <c r="K333">
        <v>0.30810024478445602</v>
      </c>
      <c r="O333"/>
      <c r="R333"/>
    </row>
    <row r="334" spans="1:18">
      <c r="A334" s="119"/>
      <c r="B334" s="331" t="s">
        <v>986</v>
      </c>
      <c r="D334">
        <v>0.22</v>
      </c>
      <c r="E334">
        <f t="shared" si="4"/>
        <v>8.2569928630898834E-2</v>
      </c>
      <c r="F334">
        <f t="shared" si="5"/>
        <v>0.58616981754163733</v>
      </c>
      <c r="G334">
        <v>0</v>
      </c>
      <c r="H334">
        <v>0.5</v>
      </c>
      <c r="I334">
        <v>0.05</v>
      </c>
      <c r="J334">
        <v>0.2474248333919373</v>
      </c>
      <c r="K334">
        <v>0.21556743446548704</v>
      </c>
      <c r="O334"/>
      <c r="R334"/>
    </row>
    <row r="335" spans="1:18">
      <c r="A335" s="119"/>
      <c r="B335" s="331" t="s">
        <v>987</v>
      </c>
      <c r="D335">
        <v>0.22</v>
      </c>
      <c r="E335">
        <f t="shared" si="4"/>
        <v>8.2569928630898834E-2</v>
      </c>
      <c r="F335">
        <f t="shared" si="5"/>
        <v>0.58616981754163733</v>
      </c>
      <c r="G335">
        <v>0</v>
      </c>
      <c r="H335">
        <v>0.5</v>
      </c>
      <c r="I335">
        <v>0.05</v>
      </c>
      <c r="J335">
        <v>-0.28210487616905527</v>
      </c>
      <c r="K335">
        <v>0.17219377820391654</v>
      </c>
      <c r="O335"/>
      <c r="R335"/>
    </row>
    <row r="336" spans="1:18">
      <c r="A336" s="119"/>
      <c r="B336" s="331" t="s">
        <v>988</v>
      </c>
      <c r="D336">
        <v>0.22</v>
      </c>
      <c r="E336">
        <f t="shared" si="4"/>
        <v>8.2569928630898834E-2</v>
      </c>
      <c r="F336">
        <f t="shared" si="5"/>
        <v>0.58616981754163733</v>
      </c>
      <c r="G336">
        <v>0</v>
      </c>
      <c r="H336">
        <v>0.5</v>
      </c>
      <c r="I336">
        <v>0.05</v>
      </c>
      <c r="J336">
        <v>-8.0134310417421348E-2</v>
      </c>
      <c r="K336">
        <v>0.14781405633680411</v>
      </c>
      <c r="O336"/>
      <c r="R336"/>
    </row>
    <row r="337" spans="1:18">
      <c r="A337" s="119"/>
      <c r="B337" s="331" t="s">
        <v>989</v>
      </c>
      <c r="D337">
        <v>0.16</v>
      </c>
      <c r="E337">
        <f t="shared" si="4"/>
        <v>6.0050857186108246E-2</v>
      </c>
      <c r="F337">
        <f t="shared" si="5"/>
        <v>0.42630532184846354</v>
      </c>
      <c r="G337">
        <v>0</v>
      </c>
      <c r="H337">
        <v>0.5</v>
      </c>
      <c r="I337">
        <v>0.05</v>
      </c>
      <c r="J337">
        <v>0.30921817939867824</v>
      </c>
      <c r="K337">
        <v>0.16676962957130545</v>
      </c>
      <c r="O337"/>
      <c r="R337"/>
    </row>
    <row r="338" spans="1:18">
      <c r="A338" s="119"/>
      <c r="B338" s="331" t="s">
        <v>990</v>
      </c>
      <c r="D338">
        <v>0.16</v>
      </c>
      <c r="E338">
        <f t="shared" si="4"/>
        <v>6.0050857186108246E-2</v>
      </c>
      <c r="F338">
        <f t="shared" si="5"/>
        <v>0.42630532184846354</v>
      </c>
      <c r="G338">
        <v>0</v>
      </c>
      <c r="H338">
        <v>0.5</v>
      </c>
      <c r="I338">
        <v>0.05</v>
      </c>
      <c r="J338">
        <v>-0.49396923886503957</v>
      </c>
      <c r="K338">
        <v>0.10132187860905316</v>
      </c>
      <c r="O338"/>
      <c r="R338"/>
    </row>
    <row r="339" spans="1:18">
      <c r="A339" s="119"/>
      <c r="B339" s="331" t="s">
        <v>991</v>
      </c>
      <c r="D339">
        <v>0.16</v>
      </c>
      <c r="E339">
        <f t="shared" si="4"/>
        <v>6.0050857186108246E-2</v>
      </c>
      <c r="F339">
        <f t="shared" si="5"/>
        <v>0.42630532184846354</v>
      </c>
      <c r="G339">
        <v>0</v>
      </c>
      <c r="H339">
        <v>0.5</v>
      </c>
      <c r="I339">
        <v>0.05</v>
      </c>
      <c r="J339">
        <v>0.54949159222158306</v>
      </c>
      <c r="K339">
        <v>0.20176976684545461</v>
      </c>
      <c r="O339"/>
      <c r="R339"/>
    </row>
    <row r="340" spans="1:18">
      <c r="A340" s="119"/>
      <c r="B340" s="331" t="s">
        <v>992</v>
      </c>
      <c r="D340">
        <v>0.45</v>
      </c>
      <c r="E340">
        <f t="shared" si="4"/>
        <v>0.16889303583592943</v>
      </c>
      <c r="F340">
        <f t="shared" si="5"/>
        <v>1.1989837176988036</v>
      </c>
      <c r="G340">
        <v>0</v>
      </c>
      <c r="H340">
        <v>0.5</v>
      </c>
      <c r="I340">
        <v>0.05</v>
      </c>
      <c r="J340">
        <v>-0.77951552249142186</v>
      </c>
      <c r="K340">
        <v>0.29047404084975653</v>
      </c>
      <c r="O340"/>
      <c r="R340"/>
    </row>
    <row r="341" spans="1:18">
      <c r="A341" s="119"/>
      <c r="B341" s="331" t="s">
        <v>993</v>
      </c>
      <c r="D341">
        <v>0.48</v>
      </c>
      <c r="E341">
        <f t="shared" si="4"/>
        <v>0.18015257155832473</v>
      </c>
      <c r="F341">
        <f t="shared" si="5"/>
        <v>1.2789159655453906</v>
      </c>
      <c r="G341">
        <v>0</v>
      </c>
      <c r="H341">
        <v>0.5</v>
      </c>
      <c r="I341">
        <v>0.05</v>
      </c>
      <c r="J341">
        <v>0.58783853532395403</v>
      </c>
      <c r="K341">
        <v>0.76339592176658155</v>
      </c>
      <c r="O341"/>
      <c r="R341"/>
    </row>
    <row r="342" spans="1:18">
      <c r="A342" s="119"/>
      <c r="B342" s="331" t="s">
        <v>994</v>
      </c>
      <c r="D342">
        <v>0.5</v>
      </c>
      <c r="E342">
        <f t="shared" si="4"/>
        <v>0.18765892870658826</v>
      </c>
      <c r="F342">
        <f t="shared" si="5"/>
        <v>1.3322041307764485</v>
      </c>
      <c r="G342">
        <v>0</v>
      </c>
      <c r="H342">
        <v>0.5</v>
      </c>
      <c r="I342">
        <v>0.05</v>
      </c>
      <c r="J342">
        <v>-0.8177983534259069</v>
      </c>
      <c r="K342">
        <v>0.47946957549445351</v>
      </c>
      <c r="O342"/>
      <c r="R342"/>
    </row>
    <row r="343" spans="1:18">
      <c r="A343" s="119"/>
      <c r="B343" s="331" t="s">
        <v>995</v>
      </c>
      <c r="D343">
        <v>0.55000000000000004</v>
      </c>
      <c r="E343">
        <f t="shared" si="4"/>
        <v>0.20642482157724712</v>
      </c>
      <c r="F343">
        <f t="shared" si="5"/>
        <v>1.4654245438540934</v>
      </c>
      <c r="G343">
        <v>0</v>
      </c>
      <c r="H343">
        <v>0.5</v>
      </c>
      <c r="I343">
        <v>0.05</v>
      </c>
      <c r="J343">
        <v>-8.7103346130494821E-2</v>
      </c>
      <c r="K343">
        <v>0.70952595915024352</v>
      </c>
      <c r="O343"/>
      <c r="R343"/>
    </row>
    <row r="344" spans="1:18">
      <c r="A344" s="119"/>
      <c r="B344" s="331" t="s">
        <v>996</v>
      </c>
      <c r="D344">
        <v>0.52</v>
      </c>
      <c r="E344">
        <f t="shared" si="4"/>
        <v>0.19516528585485179</v>
      </c>
      <c r="F344">
        <f t="shared" si="5"/>
        <v>1.3854922960075065</v>
      </c>
      <c r="G344">
        <v>0</v>
      </c>
      <c r="H344">
        <v>0.5</v>
      </c>
      <c r="I344">
        <v>0.05</v>
      </c>
      <c r="J344">
        <v>-0.66359278222577367</v>
      </c>
      <c r="K344">
        <v>0.23660407823341847</v>
      </c>
      <c r="O344"/>
      <c r="R344"/>
    </row>
    <row r="345" spans="1:18">
      <c r="A345" s="119"/>
      <c r="B345" s="331" t="s">
        <v>997</v>
      </c>
      <c r="D345">
        <v>0.5</v>
      </c>
      <c r="E345">
        <f t="shared" si="4"/>
        <v>0.18765892870658826</v>
      </c>
      <c r="F345">
        <f t="shared" si="5"/>
        <v>1.3322041307764485</v>
      </c>
      <c r="G345">
        <v>0</v>
      </c>
      <c r="H345">
        <v>0.5</v>
      </c>
      <c r="I345">
        <v>0.05</v>
      </c>
      <c r="J345">
        <v>-0.73563045644855785</v>
      </c>
      <c r="K345">
        <v>0.52053042450554654</v>
      </c>
      <c r="O345"/>
      <c r="R345"/>
    </row>
    <row r="346" spans="1:18">
      <c r="A346" s="119"/>
      <c r="B346" s="331" t="s">
        <v>998</v>
      </c>
      <c r="C346" t="s">
        <v>447</v>
      </c>
      <c r="D346">
        <v>0</v>
      </c>
      <c r="G346"/>
      <c r="I346"/>
      <c r="K346">
        <v>0</v>
      </c>
      <c r="O346"/>
      <c r="R346"/>
    </row>
    <row r="347" spans="1:18">
      <c r="A347" s="119"/>
      <c r="B347" s="331" t="s">
        <v>998</v>
      </c>
      <c r="C347" t="s">
        <v>447</v>
      </c>
      <c r="D347">
        <v>0</v>
      </c>
      <c r="G347"/>
      <c r="I347"/>
      <c r="K347">
        <v>0</v>
      </c>
      <c r="O347"/>
      <c r="R347"/>
    </row>
    <row r="348" spans="1:18">
      <c r="A348" s="119"/>
      <c r="B348" s="331" t="s">
        <v>999</v>
      </c>
      <c r="C348" t="s">
        <v>447</v>
      </c>
      <c r="D348">
        <v>0</v>
      </c>
      <c r="G348"/>
      <c r="I348"/>
      <c r="K348">
        <v>0</v>
      </c>
      <c r="O348"/>
      <c r="R348"/>
    </row>
    <row r="349" spans="1:18">
      <c r="A349" s="119"/>
      <c r="B349" s="331" t="s">
        <v>999</v>
      </c>
      <c r="C349" t="s">
        <v>447</v>
      </c>
      <c r="D349">
        <v>0</v>
      </c>
      <c r="G349"/>
      <c r="I349"/>
      <c r="K349">
        <v>0</v>
      </c>
      <c r="O349"/>
      <c r="R349"/>
    </row>
    <row r="350" spans="1:18">
      <c r="A350" s="119"/>
      <c r="B350" s="331" t="s">
        <v>1000</v>
      </c>
      <c r="C350" t="s">
        <v>447</v>
      </c>
      <c r="D350">
        <v>0</v>
      </c>
      <c r="G350"/>
      <c r="I350"/>
      <c r="K350">
        <v>0</v>
      </c>
      <c r="O350"/>
      <c r="R350"/>
    </row>
    <row r="351" spans="1:18">
      <c r="A351" s="119"/>
      <c r="B351" s="331" t="s">
        <v>1000</v>
      </c>
      <c r="C351" t="s">
        <v>447</v>
      </c>
      <c r="D351">
        <v>0</v>
      </c>
      <c r="G351"/>
      <c r="I351"/>
      <c r="K351">
        <v>0</v>
      </c>
      <c r="O351"/>
      <c r="R351"/>
    </row>
    <row r="352" spans="1:18">
      <c r="B352" s="332"/>
      <c r="G352"/>
      <c r="I352"/>
      <c r="O352"/>
      <c r="R352"/>
    </row>
    <row r="353" spans="1:18">
      <c r="A353" s="388">
        <v>1.621</v>
      </c>
      <c r="B353" s="392" t="s">
        <v>442</v>
      </c>
      <c r="G353"/>
      <c r="I353"/>
      <c r="O353"/>
      <c r="R353"/>
    </row>
    <row r="354" spans="1:18">
      <c r="A354" s="119"/>
      <c r="B354" s="333" t="s">
        <v>1325</v>
      </c>
      <c r="D354">
        <v>0.06</v>
      </c>
      <c r="E354">
        <f t="shared" ref="E354:E385" si="6">CalcMin(D354,G354,H354,I354)</f>
        <v>2.2519071444790591E-2</v>
      </c>
      <c r="F354">
        <f t="shared" ref="F354:F385" si="7">CalcMax(D354,G354,H354,I354)</f>
        <v>0.15986449569317382</v>
      </c>
      <c r="G354">
        <v>0</v>
      </c>
      <c r="H354">
        <v>0.5</v>
      </c>
      <c r="I354">
        <v>0.05</v>
      </c>
      <c r="J354">
        <v>-0.63774979465671744</v>
      </c>
      <c r="K354">
        <v>2.857865527242516E-2</v>
      </c>
      <c r="O354"/>
      <c r="R354"/>
    </row>
    <row r="355" spans="1:18">
      <c r="A355" s="119"/>
      <c r="B355" s="333" t="s">
        <v>1326</v>
      </c>
      <c r="D355">
        <v>0.06</v>
      </c>
      <c r="E355">
        <f t="shared" si="6"/>
        <v>2.2519071444790591E-2</v>
      </c>
      <c r="F355">
        <f t="shared" si="7"/>
        <v>0.15986449569317382</v>
      </c>
      <c r="G355">
        <v>0</v>
      </c>
      <c r="H355">
        <v>0.5</v>
      </c>
      <c r="I355">
        <v>0.05</v>
      </c>
      <c r="J355">
        <v>-0.80602352511701858</v>
      </c>
      <c r="K355">
        <v>2.4152463654747061E-2</v>
      </c>
      <c r="O355"/>
      <c r="R355"/>
    </row>
    <row r="356" spans="1:18">
      <c r="A356" s="119"/>
      <c r="B356" s="333" t="s">
        <v>1327</v>
      </c>
      <c r="D356">
        <v>0.06</v>
      </c>
      <c r="E356">
        <f t="shared" si="6"/>
        <v>2.2519071444790591E-2</v>
      </c>
      <c r="F356">
        <f t="shared" si="7"/>
        <v>0.15986449569317382</v>
      </c>
      <c r="G356">
        <v>0</v>
      </c>
      <c r="H356">
        <v>0.5</v>
      </c>
      <c r="I356">
        <v>0.05</v>
      </c>
      <c r="J356">
        <v>-0.34827918999648633</v>
      </c>
      <c r="K356">
        <v>3.8173086472662134E-2</v>
      </c>
      <c r="O356"/>
      <c r="R356"/>
    </row>
    <row r="357" spans="1:18">
      <c r="A357" s="119"/>
      <c r="B357" s="333" t="s">
        <v>1328</v>
      </c>
      <c r="D357">
        <v>0.06</v>
      </c>
      <c r="E357">
        <f t="shared" si="6"/>
        <v>2.2519071444790591E-2</v>
      </c>
      <c r="F357">
        <f t="shared" si="7"/>
        <v>0.15986449569317382</v>
      </c>
      <c r="G357">
        <v>0</v>
      </c>
      <c r="H357">
        <v>0.5</v>
      </c>
      <c r="I357">
        <v>0.05</v>
      </c>
      <c r="J357">
        <v>0.63962514669558879</v>
      </c>
      <c r="K357">
        <v>0.1025176584598417</v>
      </c>
      <c r="O357"/>
      <c r="R357"/>
    </row>
    <row r="358" spans="1:18">
      <c r="A358" s="119"/>
      <c r="B358" s="333" t="s">
        <v>1329</v>
      </c>
      <c r="D358">
        <v>0.08</v>
      </c>
      <c r="E358">
        <f t="shared" si="6"/>
        <v>3.0025428593054123E-2</v>
      </c>
      <c r="F358">
        <f t="shared" si="7"/>
        <v>0.21315266092423177</v>
      </c>
      <c r="G358">
        <v>0</v>
      </c>
      <c r="H358">
        <v>0.5</v>
      </c>
      <c r="I358">
        <v>0.05</v>
      </c>
      <c r="J358">
        <v>0.20256791988981157</v>
      </c>
      <c r="K358">
        <v>8.8292918573944917E-2</v>
      </c>
      <c r="O358"/>
      <c r="R358"/>
    </row>
    <row r="359" spans="1:18">
      <c r="A359" s="119"/>
      <c r="B359" s="333" t="s">
        <v>1330</v>
      </c>
      <c r="D359">
        <v>0.12</v>
      </c>
      <c r="E359">
        <f t="shared" si="6"/>
        <v>4.5038142889581183E-2</v>
      </c>
      <c r="F359">
        <f t="shared" si="7"/>
        <v>0.31972899138634764</v>
      </c>
      <c r="G359">
        <v>0</v>
      </c>
      <c r="H359">
        <v>0.5</v>
      </c>
      <c r="I359">
        <v>0.05</v>
      </c>
      <c r="J359">
        <v>0.62034268415765614</v>
      </c>
      <c r="K359">
        <v>0.201119604714603</v>
      </c>
      <c r="O359"/>
      <c r="R359"/>
    </row>
    <row r="360" spans="1:18">
      <c r="A360" s="119"/>
      <c r="B360" s="333" t="s">
        <v>1331</v>
      </c>
      <c r="D360">
        <v>0.12</v>
      </c>
      <c r="E360">
        <f t="shared" si="6"/>
        <v>4.5038142889581183E-2</v>
      </c>
      <c r="F360">
        <f t="shared" si="7"/>
        <v>0.31972899138634764</v>
      </c>
      <c r="G360">
        <v>0</v>
      </c>
      <c r="H360">
        <v>0.5</v>
      </c>
      <c r="I360">
        <v>0.05</v>
      </c>
      <c r="J360">
        <v>0.61155602798648245</v>
      </c>
      <c r="K360">
        <v>0.199360176961806</v>
      </c>
      <c r="O360"/>
      <c r="R360"/>
    </row>
    <row r="361" spans="1:18">
      <c r="A361" s="119"/>
      <c r="B361" s="333" t="s">
        <v>1332</v>
      </c>
      <c r="D361">
        <v>0.12</v>
      </c>
      <c r="E361">
        <f t="shared" si="6"/>
        <v>4.5038142889581183E-2</v>
      </c>
      <c r="F361">
        <f t="shared" si="7"/>
        <v>0.31972899138634764</v>
      </c>
      <c r="G361">
        <v>0</v>
      </c>
      <c r="H361">
        <v>0.5</v>
      </c>
      <c r="I361">
        <v>0.05</v>
      </c>
      <c r="J361">
        <v>-0.50400057230965079</v>
      </c>
      <c r="K361">
        <v>6.5336871385254042E-2</v>
      </c>
      <c r="O361"/>
      <c r="R361"/>
    </row>
    <row r="362" spans="1:18">
      <c r="A362" s="119"/>
      <c r="B362" s="333" t="s">
        <v>1333</v>
      </c>
      <c r="D362">
        <v>0.1</v>
      </c>
      <c r="E362">
        <f t="shared" si="6"/>
        <v>3.7531785741317658E-2</v>
      </c>
      <c r="F362">
        <f t="shared" si="7"/>
        <v>0.26644082615528969</v>
      </c>
      <c r="G362">
        <v>0</v>
      </c>
      <c r="H362">
        <v>0.5</v>
      </c>
      <c r="I362">
        <v>0.05</v>
      </c>
      <c r="J362">
        <v>-1.8588078504836774E-2</v>
      </c>
      <c r="K362">
        <v>8.8468579932328775E-2</v>
      </c>
      <c r="O362"/>
      <c r="R362"/>
    </row>
    <row r="363" spans="1:18">
      <c r="A363" s="119"/>
      <c r="B363" s="333" t="s">
        <v>1334</v>
      </c>
      <c r="D363">
        <v>0.1</v>
      </c>
      <c r="E363">
        <f t="shared" si="6"/>
        <v>3.7531785741317658E-2</v>
      </c>
      <c r="F363">
        <f t="shared" si="7"/>
        <v>0.26644082615528969</v>
      </c>
      <c r="G363">
        <v>0</v>
      </c>
      <c r="H363">
        <v>0.5</v>
      </c>
      <c r="I363">
        <v>0.05</v>
      </c>
      <c r="J363">
        <v>-0.26394251645013656</v>
      </c>
      <c r="K363">
        <v>6.9220220383708855E-2</v>
      </c>
      <c r="O363"/>
      <c r="R363"/>
    </row>
    <row r="364" spans="1:18">
      <c r="A364" s="119"/>
      <c r="B364" s="333" t="s">
        <v>1335</v>
      </c>
      <c r="D364">
        <v>0.06</v>
      </c>
      <c r="E364">
        <f t="shared" si="6"/>
        <v>2.2519071444790591E-2</v>
      </c>
      <c r="F364">
        <f t="shared" si="7"/>
        <v>0.15986449569317382</v>
      </c>
      <c r="G364">
        <v>0</v>
      </c>
      <c r="H364">
        <v>0.5</v>
      </c>
      <c r="I364">
        <v>0.05</v>
      </c>
      <c r="J364">
        <v>4.9212955107434418E-2</v>
      </c>
      <c r="K364">
        <v>5.6804915916582169E-2</v>
      </c>
      <c r="O364"/>
      <c r="R364"/>
    </row>
    <row r="365" spans="1:18">
      <c r="A365" s="119"/>
      <c r="B365" s="333" t="s">
        <v>1336</v>
      </c>
      <c r="D365">
        <v>0.06</v>
      </c>
      <c r="E365">
        <f t="shared" si="6"/>
        <v>2.2519071444790591E-2</v>
      </c>
      <c r="F365">
        <f t="shared" si="7"/>
        <v>0.15986449569317382</v>
      </c>
      <c r="G365">
        <v>0</v>
      </c>
      <c r="H365">
        <v>0.5</v>
      </c>
      <c r="I365">
        <v>0.05</v>
      </c>
      <c r="J365">
        <v>-0.35348586169609358</v>
      </c>
      <c r="K365">
        <v>3.7974848272096122E-2</v>
      </c>
      <c r="O365"/>
      <c r="R365"/>
    </row>
    <row r="366" spans="1:18">
      <c r="A366" s="119"/>
      <c r="B366" s="333" t="s">
        <v>1337</v>
      </c>
      <c r="D366">
        <v>0.06</v>
      </c>
      <c r="E366">
        <f t="shared" si="6"/>
        <v>2.2519071444790591E-2</v>
      </c>
      <c r="F366">
        <f t="shared" si="7"/>
        <v>0.15986449569317382</v>
      </c>
      <c r="G366">
        <v>0</v>
      </c>
      <c r="H366">
        <v>0.5</v>
      </c>
      <c r="I366">
        <v>0.05</v>
      </c>
      <c r="J366">
        <v>3.2184919167838569E-2</v>
      </c>
      <c r="K366">
        <v>6.6372644432133823E-2</v>
      </c>
      <c r="O366"/>
      <c r="R366"/>
    </row>
    <row r="367" spans="1:18">
      <c r="A367" s="119"/>
      <c r="B367" s="333" t="s">
        <v>1338</v>
      </c>
      <c r="D367">
        <v>0.06</v>
      </c>
      <c r="E367">
        <f t="shared" si="6"/>
        <v>2.2519071444790591E-2</v>
      </c>
      <c r="F367">
        <f t="shared" si="7"/>
        <v>0.15986449569317382</v>
      </c>
      <c r="G367">
        <v>0</v>
      </c>
      <c r="H367">
        <v>0.5</v>
      </c>
      <c r="I367">
        <v>0.05</v>
      </c>
      <c r="J367">
        <v>-5.3080935168257886E-3</v>
      </c>
      <c r="K367">
        <v>6.3930207305357589E-2</v>
      </c>
      <c r="O367"/>
      <c r="R367"/>
    </row>
    <row r="368" spans="1:18">
      <c r="A368" s="119"/>
      <c r="B368" s="333" t="s">
        <v>1339</v>
      </c>
      <c r="D368">
        <v>0.06</v>
      </c>
      <c r="E368">
        <f t="shared" si="6"/>
        <v>2.2519071444790591E-2</v>
      </c>
      <c r="F368">
        <f t="shared" si="7"/>
        <v>0.15986449569317382</v>
      </c>
      <c r="G368">
        <v>0</v>
      </c>
      <c r="H368">
        <v>0.5</v>
      </c>
      <c r="I368">
        <v>0.05</v>
      </c>
      <c r="J368">
        <v>-0.45683968058430352</v>
      </c>
      <c r="K368">
        <v>4.0701314547803999E-2</v>
      </c>
      <c r="O368"/>
      <c r="R368"/>
    </row>
    <row r="369" spans="1:11" customFormat="1">
      <c r="A369" s="119"/>
      <c r="B369" s="333" t="s">
        <v>1340</v>
      </c>
      <c r="D369">
        <v>7.0000000000000007E-2</v>
      </c>
      <c r="E369">
        <f t="shared" si="6"/>
        <v>2.6272250018922361E-2</v>
      </c>
      <c r="F369">
        <f t="shared" si="7"/>
        <v>0.18650857830870282</v>
      </c>
      <c r="G369">
        <v>0</v>
      </c>
      <c r="H369">
        <v>0.5</v>
      </c>
      <c r="I369">
        <v>0.05</v>
      </c>
      <c r="J369">
        <v>0.53363772221263961</v>
      </c>
      <c r="K369">
        <v>0.1278539341694207</v>
      </c>
    </row>
    <row r="370" spans="1:11" customFormat="1">
      <c r="A370" s="119"/>
      <c r="B370" s="333" t="s">
        <v>1341</v>
      </c>
      <c r="D370">
        <v>0.08</v>
      </c>
      <c r="E370">
        <f t="shared" si="6"/>
        <v>3.0025428593054123E-2</v>
      </c>
      <c r="F370">
        <f t="shared" si="7"/>
        <v>0.21315266092423177</v>
      </c>
      <c r="G370">
        <v>0</v>
      </c>
      <c r="H370">
        <v>0.5</v>
      </c>
      <c r="I370">
        <v>0.05</v>
      </c>
      <c r="J370">
        <v>-0.2791801939193535</v>
      </c>
      <c r="K370">
        <v>6.4819206076676628E-2</v>
      </c>
    </row>
    <row r="371" spans="1:11" customFormat="1">
      <c r="A371" s="119"/>
      <c r="B371" s="333" t="s">
        <v>1342</v>
      </c>
      <c r="D371">
        <v>0.11</v>
      </c>
      <c r="E371">
        <f t="shared" si="6"/>
        <v>4.1284964315449417E-2</v>
      </c>
      <c r="F371">
        <f t="shared" si="7"/>
        <v>0.29308490877081866</v>
      </c>
      <c r="G371">
        <v>0</v>
      </c>
      <c r="H371">
        <v>0.5</v>
      </c>
      <c r="I371">
        <v>0.05</v>
      </c>
      <c r="J371">
        <v>-0.12423614691736261</v>
      </c>
      <c r="K371">
        <v>0.1040633374423113</v>
      </c>
    </row>
    <row r="372" spans="1:11" customFormat="1">
      <c r="A372" s="119"/>
      <c r="B372" s="333" t="s">
        <v>1343</v>
      </c>
      <c r="D372">
        <v>0.12</v>
      </c>
      <c r="E372">
        <f t="shared" si="6"/>
        <v>4.5038142889581183E-2</v>
      </c>
      <c r="F372">
        <f t="shared" si="7"/>
        <v>0.31972899138634764</v>
      </c>
      <c r="G372">
        <v>0</v>
      </c>
      <c r="H372">
        <v>0.5</v>
      </c>
      <c r="I372">
        <v>0.05</v>
      </c>
      <c r="J372">
        <v>-0.31020888919009865</v>
      </c>
      <c r="K372">
        <v>9.4258250631449422E-2</v>
      </c>
    </row>
    <row r="373" spans="1:11" customFormat="1">
      <c r="A373" s="119"/>
      <c r="B373" s="333" t="s">
        <v>1344</v>
      </c>
      <c r="D373">
        <v>0.11</v>
      </c>
      <c r="E373">
        <f t="shared" si="6"/>
        <v>4.1284964315449417E-2</v>
      </c>
      <c r="F373">
        <f t="shared" si="7"/>
        <v>0.29308490877081866</v>
      </c>
      <c r="G373">
        <v>0</v>
      </c>
      <c r="H373">
        <v>0.5</v>
      </c>
      <c r="I373">
        <v>0.05</v>
      </c>
      <c r="J373">
        <v>-4.1146336073043757E-2</v>
      </c>
      <c r="K373">
        <v>0.11307932216149826</v>
      </c>
    </row>
    <row r="374" spans="1:11" customFormat="1">
      <c r="A374" s="119"/>
      <c r="B374" s="333" t="s">
        <v>1345</v>
      </c>
      <c r="D374">
        <v>0.1</v>
      </c>
      <c r="E374">
        <f t="shared" si="6"/>
        <v>3.7531785741317658E-2</v>
      </c>
      <c r="F374">
        <f t="shared" si="7"/>
        <v>0.26644082615528969</v>
      </c>
      <c r="G374">
        <v>0</v>
      </c>
      <c r="H374">
        <v>0.5</v>
      </c>
      <c r="I374">
        <v>0.05</v>
      </c>
      <c r="J374">
        <v>-0.45468692549388917</v>
      </c>
      <c r="K374">
        <v>6.7981714816260794E-2</v>
      </c>
    </row>
    <row r="375" spans="1:11" customFormat="1">
      <c r="A375" s="119"/>
      <c r="B375" s="333" t="s">
        <v>1346</v>
      </c>
      <c r="D375">
        <v>0.1</v>
      </c>
      <c r="E375">
        <f t="shared" si="6"/>
        <v>3.7531785741317658E-2</v>
      </c>
      <c r="F375">
        <f t="shared" si="7"/>
        <v>0.26644082615528969</v>
      </c>
      <c r="G375">
        <v>0</v>
      </c>
      <c r="H375">
        <v>0.5</v>
      </c>
      <c r="I375">
        <v>0.05</v>
      </c>
      <c r="J375">
        <v>-0.88391630220451911</v>
      </c>
      <c r="K375">
        <v>4.4256815958148198E-2</v>
      </c>
    </row>
    <row r="376" spans="1:11" customFormat="1">
      <c r="A376" s="119"/>
      <c r="B376" s="333" t="s">
        <v>1347</v>
      </c>
      <c r="D376">
        <v>0.06</v>
      </c>
      <c r="E376">
        <f t="shared" si="6"/>
        <v>2.2519071444790591E-2</v>
      </c>
      <c r="F376">
        <f t="shared" si="7"/>
        <v>0.15986449569317382</v>
      </c>
      <c r="G376">
        <v>0</v>
      </c>
      <c r="H376">
        <v>0.5</v>
      </c>
      <c r="I376">
        <v>0.05</v>
      </c>
      <c r="J376">
        <v>0.41289159719429208</v>
      </c>
      <c r="K376">
        <v>9.7124306480402656E-2</v>
      </c>
    </row>
    <row r="377" spans="1:11" customFormat="1">
      <c r="A377" s="119"/>
      <c r="B377" s="333" t="s">
        <v>1348</v>
      </c>
      <c r="D377">
        <v>7.0000000000000007E-2</v>
      </c>
      <c r="E377">
        <f t="shared" si="6"/>
        <v>2.6272250018922361E-2</v>
      </c>
      <c r="F377">
        <f t="shared" si="7"/>
        <v>0.18650857830870282</v>
      </c>
      <c r="G377">
        <v>0</v>
      </c>
      <c r="H377">
        <v>0.5</v>
      </c>
      <c r="I377">
        <v>0.05</v>
      </c>
      <c r="J377">
        <v>0.43253000375728795</v>
      </c>
      <c r="K377">
        <v>0.11555894597853654</v>
      </c>
    </row>
    <row r="378" spans="1:11" customFormat="1">
      <c r="A378" s="119"/>
      <c r="B378" s="333" t="s">
        <v>1349</v>
      </c>
      <c r="D378">
        <v>0.05</v>
      </c>
      <c r="E378">
        <f t="shared" si="6"/>
        <v>1.8765892870658829E-2</v>
      </c>
      <c r="F378">
        <f t="shared" si="7"/>
        <v>0.13322041307764484</v>
      </c>
      <c r="G378">
        <v>0</v>
      </c>
      <c r="H378">
        <v>0.5</v>
      </c>
      <c r="I378">
        <v>0.05</v>
      </c>
      <c r="J378">
        <v>-0.29004007631773171</v>
      </c>
      <c r="K378">
        <v>3.6541556831679069E-2</v>
      </c>
    </row>
    <row r="379" spans="1:11" customFormat="1">
      <c r="A379" s="119"/>
      <c r="B379" s="333" t="s">
        <v>1350</v>
      </c>
      <c r="D379">
        <v>0.05</v>
      </c>
      <c r="E379">
        <f t="shared" si="6"/>
        <v>1.8765892870658829E-2</v>
      </c>
      <c r="F379">
        <f t="shared" si="7"/>
        <v>0.13322041307764484</v>
      </c>
      <c r="G379">
        <v>0</v>
      </c>
      <c r="H379">
        <v>0.5</v>
      </c>
      <c r="I379">
        <v>0.05</v>
      </c>
      <c r="J379">
        <v>-9.2887682868921781E-2</v>
      </c>
      <c r="K379">
        <v>4.4505044830403545E-2</v>
      </c>
    </row>
    <row r="380" spans="1:11" customFormat="1">
      <c r="A380" s="119"/>
      <c r="B380" s="333" t="s">
        <v>1351</v>
      </c>
      <c r="D380">
        <v>0.06</v>
      </c>
      <c r="E380">
        <f t="shared" si="6"/>
        <v>2.2519071444790591E-2</v>
      </c>
      <c r="F380">
        <f t="shared" si="7"/>
        <v>0.15986449569317382</v>
      </c>
      <c r="G380">
        <v>0</v>
      </c>
      <c r="H380">
        <v>0.5</v>
      </c>
      <c r="I380">
        <v>0.05</v>
      </c>
      <c r="J380">
        <v>0.20931332999286198</v>
      </c>
      <c r="K380">
        <v>7.2249479251707521E-2</v>
      </c>
    </row>
    <row r="381" spans="1:11" customFormat="1">
      <c r="A381" s="119"/>
      <c r="B381" s="333" t="s">
        <v>1352</v>
      </c>
      <c r="D381">
        <v>7.0000000000000007E-2</v>
      </c>
      <c r="E381">
        <f t="shared" si="6"/>
        <v>2.6272250018922361E-2</v>
      </c>
      <c r="F381">
        <f t="shared" si="7"/>
        <v>0.18650857830870282</v>
      </c>
      <c r="G381">
        <v>0</v>
      </c>
      <c r="H381">
        <v>0.5</v>
      </c>
      <c r="I381">
        <v>0.05</v>
      </c>
      <c r="J381">
        <v>-0.33130735412739543</v>
      </c>
      <c r="K381">
        <v>4.9089988562757043E-2</v>
      </c>
    </row>
    <row r="382" spans="1:11" customFormat="1">
      <c r="A382" s="119"/>
      <c r="B382" s="333" t="s">
        <v>1353</v>
      </c>
      <c r="D382">
        <v>0.08</v>
      </c>
      <c r="E382">
        <f t="shared" si="6"/>
        <v>3.0025428593054123E-2</v>
      </c>
      <c r="F382">
        <f t="shared" si="7"/>
        <v>0.21315266092423177</v>
      </c>
      <c r="G382">
        <v>0</v>
      </c>
      <c r="H382">
        <v>0.5</v>
      </c>
      <c r="I382">
        <v>0.05</v>
      </c>
      <c r="J382">
        <v>-0.28519104058038619</v>
      </c>
      <c r="K382">
        <v>5.8750685512629811E-2</v>
      </c>
    </row>
    <row r="383" spans="1:11" customFormat="1">
      <c r="A383" s="119"/>
      <c r="B383" s="333" t="s">
        <v>1354</v>
      </c>
      <c r="D383">
        <v>0.08</v>
      </c>
      <c r="E383">
        <f t="shared" si="6"/>
        <v>3.0025428593054123E-2</v>
      </c>
      <c r="F383">
        <f t="shared" si="7"/>
        <v>0.21315266092423177</v>
      </c>
      <c r="G383">
        <v>0</v>
      </c>
      <c r="H383">
        <v>0.5</v>
      </c>
      <c r="I383">
        <v>0.05</v>
      </c>
      <c r="J383">
        <v>0.55969245364845799</v>
      </c>
      <c r="K383">
        <v>0.13675435886399659</v>
      </c>
    </row>
    <row r="384" spans="1:11" customFormat="1">
      <c r="A384" s="119"/>
      <c r="B384" s="333" t="s">
        <v>1355</v>
      </c>
      <c r="D384">
        <v>0.12</v>
      </c>
      <c r="E384">
        <f t="shared" si="6"/>
        <v>4.5038142889581183E-2</v>
      </c>
      <c r="F384">
        <f t="shared" si="7"/>
        <v>0.31972899138634764</v>
      </c>
      <c r="G384">
        <v>0</v>
      </c>
      <c r="H384">
        <v>0.5</v>
      </c>
      <c r="I384">
        <v>0.05</v>
      </c>
      <c r="J384">
        <v>-0.59496968425167418</v>
      </c>
      <c r="K384">
        <v>6.4650076317772309E-2</v>
      </c>
    </row>
    <row r="385" spans="1:11" customFormat="1">
      <c r="A385" s="119"/>
      <c r="B385" s="333" t="s">
        <v>1356</v>
      </c>
      <c r="D385">
        <v>0.12</v>
      </c>
      <c r="E385">
        <f t="shared" si="6"/>
        <v>4.5038142889581183E-2</v>
      </c>
      <c r="F385">
        <f t="shared" si="7"/>
        <v>0.31972899138634764</v>
      </c>
      <c r="G385">
        <v>0</v>
      </c>
      <c r="H385">
        <v>0.5</v>
      </c>
      <c r="I385">
        <v>0.05</v>
      </c>
      <c r="J385">
        <v>0.31064715681707461</v>
      </c>
      <c r="K385">
        <v>0.15990919562123007</v>
      </c>
    </row>
    <row r="386" spans="1:11" customFormat="1">
      <c r="A386" s="119"/>
      <c r="B386" s="333" t="s">
        <v>1357</v>
      </c>
      <c r="D386">
        <v>0.12</v>
      </c>
      <c r="E386">
        <f t="shared" ref="E386:E417" si="8">CalcMin(D386,G386,H386,I386)</f>
        <v>4.5038142889581183E-2</v>
      </c>
      <c r="F386">
        <f t="shared" ref="F386:F417" si="9">CalcMax(D386,G386,H386,I386)</f>
        <v>0.31972899138634764</v>
      </c>
      <c r="G386">
        <v>0</v>
      </c>
      <c r="H386">
        <v>0.5</v>
      </c>
      <c r="I386">
        <v>0.05</v>
      </c>
      <c r="J386">
        <v>0.19894287741502667</v>
      </c>
      <c r="K386">
        <v>0.14300818227937323</v>
      </c>
    </row>
    <row r="387" spans="1:11" customFormat="1">
      <c r="A387" s="119"/>
      <c r="B387" s="333" t="s">
        <v>1358</v>
      </c>
      <c r="D387">
        <v>0.11</v>
      </c>
      <c r="E387">
        <f t="shared" si="8"/>
        <v>4.1284964315449417E-2</v>
      </c>
      <c r="F387">
        <f t="shared" si="9"/>
        <v>0.29308490877081866</v>
      </c>
      <c r="G387">
        <v>0</v>
      </c>
      <c r="H387">
        <v>0.5</v>
      </c>
      <c r="I387">
        <v>0.05</v>
      </c>
      <c r="J387">
        <v>-0.30288160701391026</v>
      </c>
      <c r="K387">
        <v>7.936567626546541E-2</v>
      </c>
    </row>
    <row r="388" spans="1:11" customFormat="1">
      <c r="A388" s="119"/>
      <c r="B388" s="333" t="s">
        <v>1359</v>
      </c>
      <c r="D388">
        <v>7.0000000000000007E-2</v>
      </c>
      <c r="E388">
        <f t="shared" si="8"/>
        <v>2.6272250018922361E-2</v>
      </c>
      <c r="F388">
        <f t="shared" si="9"/>
        <v>0.18650857830870282</v>
      </c>
      <c r="G388">
        <v>0</v>
      </c>
      <c r="H388">
        <v>0.5</v>
      </c>
      <c r="I388">
        <v>0.05</v>
      </c>
      <c r="J388">
        <v>0.12368573697669914</v>
      </c>
      <c r="K388">
        <v>7.7373798776692509E-2</v>
      </c>
    </row>
    <row r="389" spans="1:11" customFormat="1">
      <c r="A389" s="119"/>
      <c r="B389" s="333" t="s">
        <v>1360</v>
      </c>
      <c r="D389">
        <v>7.0000000000000007E-2</v>
      </c>
      <c r="E389">
        <f t="shared" si="8"/>
        <v>2.6272250018922361E-2</v>
      </c>
      <c r="F389">
        <f t="shared" si="9"/>
        <v>0.18650857830870282</v>
      </c>
      <c r="G389">
        <v>0</v>
      </c>
      <c r="H389">
        <v>0.5</v>
      </c>
      <c r="I389">
        <v>0.05</v>
      </c>
      <c r="J389">
        <v>0.12920411443599536</v>
      </c>
      <c r="K389">
        <v>7.7801956886292961E-2</v>
      </c>
    </row>
    <row r="390" spans="1:11" customFormat="1">
      <c r="A390" s="119"/>
      <c r="B390" s="333" t="s">
        <v>1361</v>
      </c>
      <c r="D390">
        <v>0.05</v>
      </c>
      <c r="E390">
        <f t="shared" si="8"/>
        <v>1.8765892870658829E-2</v>
      </c>
      <c r="F390">
        <f t="shared" si="9"/>
        <v>0.13322041307764484</v>
      </c>
      <c r="G390">
        <v>0</v>
      </c>
      <c r="H390">
        <v>0.5</v>
      </c>
      <c r="I390">
        <v>0.05</v>
      </c>
      <c r="J390">
        <v>-0.41847597060852576</v>
      </c>
      <c r="K390">
        <v>3.3146542859317139E-2</v>
      </c>
    </row>
    <row r="391" spans="1:11" customFormat="1">
      <c r="A391" s="119"/>
      <c r="B391" s="333" t="s">
        <v>1362</v>
      </c>
      <c r="D391">
        <v>0.05</v>
      </c>
      <c r="E391">
        <f t="shared" si="8"/>
        <v>1.8765892870658829E-2</v>
      </c>
      <c r="F391">
        <f t="shared" si="9"/>
        <v>0.13322041307764484</v>
      </c>
      <c r="G391">
        <v>0</v>
      </c>
      <c r="H391">
        <v>0.5</v>
      </c>
      <c r="I391">
        <v>0.05</v>
      </c>
      <c r="J391">
        <v>0.13630107996803634</v>
      </c>
      <c r="K391">
        <v>5.7726449996676178E-2</v>
      </c>
    </row>
    <row r="392" spans="1:11" customFormat="1">
      <c r="A392" s="119"/>
      <c r="B392" s="333" t="s">
        <v>1363</v>
      </c>
      <c r="D392">
        <v>0.06</v>
      </c>
      <c r="E392">
        <f t="shared" si="8"/>
        <v>2.2519071444790591E-2</v>
      </c>
      <c r="F392">
        <f t="shared" si="9"/>
        <v>0.15986449569317382</v>
      </c>
      <c r="G392">
        <v>0</v>
      </c>
      <c r="H392">
        <v>0.5</v>
      </c>
      <c r="I392">
        <v>0.05</v>
      </c>
      <c r="J392">
        <v>-0.8005388483639847</v>
      </c>
      <c r="K392">
        <v>2.7145114961251077E-2</v>
      </c>
    </row>
    <row r="393" spans="1:11" customFormat="1">
      <c r="A393" s="119"/>
      <c r="B393" s="333" t="s">
        <v>1364</v>
      </c>
      <c r="D393">
        <v>7.0000000000000007E-2</v>
      </c>
      <c r="E393">
        <f t="shared" si="8"/>
        <v>2.6272250018922361E-2</v>
      </c>
      <c r="F393">
        <f t="shared" si="9"/>
        <v>0.18650857830870282</v>
      </c>
      <c r="G393">
        <v>0</v>
      </c>
      <c r="H393">
        <v>0.5</v>
      </c>
      <c r="I393">
        <v>0.05</v>
      </c>
      <c r="J393">
        <v>-0.55907277041690329</v>
      </c>
      <c r="K393">
        <v>4.0318638676235974E-2</v>
      </c>
    </row>
    <row r="394" spans="1:11" customFormat="1">
      <c r="A394" s="119"/>
      <c r="B394" s="333" t="s">
        <v>1365</v>
      </c>
      <c r="D394">
        <v>0.08</v>
      </c>
      <c r="E394">
        <f t="shared" si="8"/>
        <v>3.0025428593054123E-2</v>
      </c>
      <c r="F394">
        <f t="shared" si="9"/>
        <v>0.21315266092423177</v>
      </c>
      <c r="G394">
        <v>0</v>
      </c>
      <c r="H394">
        <v>0.5</v>
      </c>
      <c r="I394">
        <v>0.05</v>
      </c>
      <c r="J394">
        <v>5.9178502242399067E-2</v>
      </c>
      <c r="K394">
        <v>8.5506853060648452E-2</v>
      </c>
    </row>
    <row r="395" spans="1:11" customFormat="1">
      <c r="A395" s="119"/>
      <c r="B395" s="333" t="s">
        <v>1366</v>
      </c>
      <c r="D395">
        <v>0.1</v>
      </c>
      <c r="E395">
        <f t="shared" si="8"/>
        <v>3.7531785741317658E-2</v>
      </c>
      <c r="F395">
        <f t="shared" si="9"/>
        <v>0.26644082615528969</v>
      </c>
      <c r="G395">
        <v>0</v>
      </c>
      <c r="H395">
        <v>0.5</v>
      </c>
      <c r="I395">
        <v>0.05</v>
      </c>
      <c r="J395">
        <v>-0.51405632119366251</v>
      </c>
      <c r="K395">
        <v>6.0250161530114671E-2</v>
      </c>
    </row>
    <row r="396" spans="1:11" customFormat="1">
      <c r="A396" s="119"/>
      <c r="B396" s="333" t="s">
        <v>1367</v>
      </c>
      <c r="D396">
        <v>0.1</v>
      </c>
      <c r="E396">
        <f t="shared" si="8"/>
        <v>3.7531785741317658E-2</v>
      </c>
      <c r="F396">
        <f t="shared" si="9"/>
        <v>0.26644082615528969</v>
      </c>
      <c r="G396">
        <v>0</v>
      </c>
      <c r="H396">
        <v>0.5</v>
      </c>
      <c r="I396">
        <v>0.05</v>
      </c>
      <c r="J396">
        <v>0.54656548917234593</v>
      </c>
      <c r="K396">
        <v>0.17401248747392767</v>
      </c>
    </row>
    <row r="397" spans="1:11" customFormat="1">
      <c r="A397" s="119"/>
      <c r="B397" s="333" t="s">
        <v>1368</v>
      </c>
      <c r="D397">
        <v>0.12</v>
      </c>
      <c r="E397">
        <f t="shared" si="8"/>
        <v>4.5038142889581183E-2</v>
      </c>
      <c r="F397">
        <f t="shared" si="9"/>
        <v>0.31972899138634764</v>
      </c>
      <c r="G397">
        <v>0</v>
      </c>
      <c r="H397">
        <v>0.5</v>
      </c>
      <c r="I397">
        <v>0.05</v>
      </c>
      <c r="J397">
        <v>8.7663831215162177E-2</v>
      </c>
      <c r="K397">
        <v>0.13196634956747566</v>
      </c>
    </row>
    <row r="398" spans="1:11" customFormat="1">
      <c r="A398" s="119"/>
      <c r="B398" s="333" t="s">
        <v>1369</v>
      </c>
      <c r="D398">
        <v>0.12</v>
      </c>
      <c r="E398">
        <f t="shared" si="8"/>
        <v>4.5038142889581183E-2</v>
      </c>
      <c r="F398">
        <f t="shared" si="9"/>
        <v>0.31972899138634764</v>
      </c>
      <c r="G398">
        <v>0</v>
      </c>
      <c r="H398">
        <v>0.5</v>
      </c>
      <c r="I398">
        <v>0.05</v>
      </c>
      <c r="J398">
        <v>-0.14720712903303471</v>
      </c>
      <c r="K398">
        <v>0.10434221252449154</v>
      </c>
    </row>
    <row r="399" spans="1:11" customFormat="1">
      <c r="A399" s="119"/>
      <c r="B399" s="333" t="s">
        <v>1370</v>
      </c>
      <c r="D399">
        <v>0.11</v>
      </c>
      <c r="E399">
        <f t="shared" si="8"/>
        <v>4.1284964315449417E-2</v>
      </c>
      <c r="F399">
        <f t="shared" si="9"/>
        <v>0.29308490877081866</v>
      </c>
      <c r="G399">
        <v>0</v>
      </c>
      <c r="H399">
        <v>0.5</v>
      </c>
      <c r="I399">
        <v>0.05</v>
      </c>
      <c r="J399">
        <v>-0.29702176525687662</v>
      </c>
      <c r="K399">
        <v>8.2339421379443584E-2</v>
      </c>
    </row>
    <row r="400" spans="1:11" customFormat="1">
      <c r="A400" s="119"/>
      <c r="B400" s="333" t="s">
        <v>1371</v>
      </c>
      <c r="D400">
        <v>7.0000000000000007E-2</v>
      </c>
      <c r="E400">
        <f t="shared" si="8"/>
        <v>2.6272250018922361E-2</v>
      </c>
      <c r="F400">
        <f t="shared" si="9"/>
        <v>0.18650857830870282</v>
      </c>
      <c r="G400">
        <v>0</v>
      </c>
      <c r="H400">
        <v>0.5</v>
      </c>
      <c r="I400">
        <v>0.05</v>
      </c>
      <c r="J400">
        <v>0.56451082169333966</v>
      </c>
      <c r="K400">
        <v>0.12401437078448689</v>
      </c>
    </row>
    <row r="401" spans="1:11" customFormat="1">
      <c r="A401" s="119"/>
      <c r="B401" s="333" t="s">
        <v>1372</v>
      </c>
      <c r="D401">
        <v>7.0000000000000007E-2</v>
      </c>
      <c r="E401">
        <f t="shared" si="8"/>
        <v>2.6272250018922361E-2</v>
      </c>
      <c r="F401">
        <f t="shared" si="9"/>
        <v>0.18650857830870282</v>
      </c>
      <c r="G401">
        <v>0</v>
      </c>
      <c r="H401">
        <v>0.5</v>
      </c>
      <c r="I401">
        <v>0.05</v>
      </c>
      <c r="J401">
        <v>0.11648601875855707</v>
      </c>
      <c r="K401">
        <v>7.9231397185931154E-2</v>
      </c>
    </row>
    <row r="402" spans="1:11" customFormat="1">
      <c r="A402" s="119"/>
      <c r="B402" s="333" t="s">
        <v>1373</v>
      </c>
      <c r="D402">
        <v>0.12</v>
      </c>
      <c r="E402">
        <f t="shared" si="8"/>
        <v>4.5038142889581183E-2</v>
      </c>
      <c r="F402">
        <f t="shared" si="9"/>
        <v>0.31972899138634764</v>
      </c>
      <c r="G402">
        <v>0</v>
      </c>
      <c r="H402">
        <v>0.5</v>
      </c>
      <c r="I402">
        <v>0.05</v>
      </c>
      <c r="J402">
        <v>-0.10467264919228872</v>
      </c>
      <c r="K402">
        <v>8.7519306179680664E-2</v>
      </c>
    </row>
    <row r="403" spans="1:11" customFormat="1">
      <c r="A403" s="119"/>
      <c r="B403" s="333" t="s">
        <v>1374</v>
      </c>
      <c r="D403">
        <v>7.0000000000000007E-2</v>
      </c>
      <c r="E403">
        <f t="shared" si="8"/>
        <v>2.6272250018922361E-2</v>
      </c>
      <c r="F403">
        <f t="shared" si="9"/>
        <v>0.18650857830870282</v>
      </c>
      <c r="G403">
        <v>0</v>
      </c>
      <c r="H403">
        <v>0.5</v>
      </c>
      <c r="I403">
        <v>0.05</v>
      </c>
      <c r="J403">
        <v>-0.60314257068175847</v>
      </c>
      <c r="K403">
        <v>3.1012581868118394E-2</v>
      </c>
    </row>
    <row r="404" spans="1:11" customFormat="1">
      <c r="A404" s="119"/>
      <c r="B404" s="333" t="s">
        <v>1375</v>
      </c>
      <c r="D404">
        <v>7.0000000000000007E-2</v>
      </c>
      <c r="E404">
        <f t="shared" si="8"/>
        <v>2.6272250018922361E-2</v>
      </c>
      <c r="F404">
        <f t="shared" si="9"/>
        <v>0.18650857830870282</v>
      </c>
      <c r="G404">
        <v>0</v>
      </c>
      <c r="H404">
        <v>0.5</v>
      </c>
      <c r="I404">
        <v>0.05</v>
      </c>
      <c r="J404">
        <v>0.49021695976967378</v>
      </c>
      <c r="K404">
        <v>9.2550322101303109E-2</v>
      </c>
    </row>
    <row r="405" spans="1:11" customFormat="1">
      <c r="A405" s="119"/>
      <c r="B405" s="333" t="s">
        <v>1376</v>
      </c>
      <c r="D405">
        <v>7.0000000000000007E-2</v>
      </c>
      <c r="E405">
        <f t="shared" si="8"/>
        <v>2.6272250018922361E-2</v>
      </c>
      <c r="F405">
        <f t="shared" si="9"/>
        <v>0.18650857830870282</v>
      </c>
      <c r="G405">
        <v>0</v>
      </c>
      <c r="H405">
        <v>0.5</v>
      </c>
      <c r="I405">
        <v>0.05</v>
      </c>
      <c r="J405">
        <v>0.12027455317173549</v>
      </c>
      <c r="K405">
        <v>6.3931366705794079E-2</v>
      </c>
    </row>
    <row r="406" spans="1:11" customFormat="1">
      <c r="A406" s="119"/>
      <c r="B406" s="333" t="s">
        <v>1377</v>
      </c>
      <c r="D406">
        <v>0.06</v>
      </c>
      <c r="E406">
        <f t="shared" si="8"/>
        <v>2.2519071444790591E-2</v>
      </c>
      <c r="F406">
        <f t="shared" si="9"/>
        <v>0.15986449569317382</v>
      </c>
      <c r="G406">
        <v>0</v>
      </c>
      <c r="H406">
        <v>0.5</v>
      </c>
      <c r="I406">
        <v>0.05</v>
      </c>
      <c r="J406">
        <v>0.7897029155384131</v>
      </c>
      <c r="K406">
        <v>0.1070277123923763</v>
      </c>
    </row>
    <row r="407" spans="1:11" customFormat="1">
      <c r="A407" s="119"/>
      <c r="B407" s="333" t="s">
        <v>1378</v>
      </c>
      <c r="D407">
        <v>0.05</v>
      </c>
      <c r="E407">
        <f t="shared" si="8"/>
        <v>1.8765892870658829E-2</v>
      </c>
      <c r="F407">
        <f t="shared" si="9"/>
        <v>0.13322041307764484</v>
      </c>
      <c r="G407">
        <v>0</v>
      </c>
      <c r="H407">
        <v>0.5</v>
      </c>
      <c r="I407">
        <v>0.05</v>
      </c>
      <c r="J407">
        <v>0.94161591139366319</v>
      </c>
      <c r="K407">
        <v>0.10382213912019678</v>
      </c>
    </row>
    <row r="408" spans="1:11" customFormat="1">
      <c r="A408" s="119"/>
      <c r="B408" s="333" t="s">
        <v>1379</v>
      </c>
      <c r="D408">
        <v>0.06</v>
      </c>
      <c r="E408">
        <f t="shared" si="8"/>
        <v>2.2519071444790591E-2</v>
      </c>
      <c r="F408">
        <f t="shared" si="9"/>
        <v>0.15986449569317382</v>
      </c>
      <c r="G408">
        <v>0</v>
      </c>
      <c r="H408">
        <v>0.5</v>
      </c>
      <c r="I408">
        <v>0.05</v>
      </c>
      <c r="J408">
        <v>0.26810197814629233</v>
      </c>
      <c r="K408">
        <v>6.3528387792924787E-2</v>
      </c>
    </row>
    <row r="409" spans="1:11" customFormat="1">
      <c r="A409" s="119"/>
      <c r="B409" s="333" t="s">
        <v>1380</v>
      </c>
      <c r="D409">
        <v>7.0000000000000007E-2</v>
      </c>
      <c r="E409">
        <f t="shared" si="8"/>
        <v>2.6272250018922361E-2</v>
      </c>
      <c r="F409">
        <f t="shared" si="9"/>
        <v>0.18650857830870282</v>
      </c>
      <c r="G409">
        <v>0</v>
      </c>
      <c r="H409">
        <v>0.5</v>
      </c>
      <c r="I409">
        <v>0.05</v>
      </c>
      <c r="J409">
        <v>8.8924136991954103E-2</v>
      </c>
      <c r="K409">
        <v>6.1958183420279492E-2</v>
      </c>
    </row>
    <row r="410" spans="1:11" customFormat="1">
      <c r="A410" s="119"/>
      <c r="B410" s="333" t="s">
        <v>1381</v>
      </c>
      <c r="D410">
        <v>0.08</v>
      </c>
      <c r="E410">
        <f t="shared" si="8"/>
        <v>3.0025428593054123E-2</v>
      </c>
      <c r="F410">
        <f t="shared" si="9"/>
        <v>0.21315266092423177</v>
      </c>
      <c r="G410">
        <v>0</v>
      </c>
      <c r="H410">
        <v>0.5</v>
      </c>
      <c r="I410">
        <v>0.05</v>
      </c>
      <c r="J410">
        <v>0.15201361056164847</v>
      </c>
      <c r="K410">
        <v>7.5420608709338144E-2</v>
      </c>
    </row>
    <row r="411" spans="1:11" customFormat="1">
      <c r="A411" s="119"/>
      <c r="B411" s="333" t="s">
        <v>1382</v>
      </c>
      <c r="D411">
        <v>0.11</v>
      </c>
      <c r="E411">
        <f t="shared" si="8"/>
        <v>4.1284964315449417E-2</v>
      </c>
      <c r="F411">
        <f t="shared" si="9"/>
        <v>0.29308490877081866</v>
      </c>
      <c r="G411">
        <v>0</v>
      </c>
      <c r="H411">
        <v>0.5</v>
      </c>
      <c r="I411">
        <v>0.05</v>
      </c>
      <c r="J411">
        <v>2.3165627046132772E-2</v>
      </c>
      <c r="K411">
        <v>9.1166391082470724E-2</v>
      </c>
    </row>
    <row r="412" spans="1:11" customFormat="1">
      <c r="A412" s="119"/>
      <c r="B412" s="333" t="s">
        <v>1383</v>
      </c>
      <c r="D412">
        <v>0.12</v>
      </c>
      <c r="E412">
        <f t="shared" si="8"/>
        <v>4.5038142889581183E-2</v>
      </c>
      <c r="F412">
        <f t="shared" si="9"/>
        <v>0.31972899138634764</v>
      </c>
      <c r="G412">
        <v>0</v>
      </c>
      <c r="H412">
        <v>0.5</v>
      </c>
      <c r="I412">
        <v>0.05</v>
      </c>
      <c r="J412">
        <v>0.54606426856710222</v>
      </c>
      <c r="K412">
        <v>0.16777039175284711</v>
      </c>
    </row>
    <row r="413" spans="1:11" customFormat="1">
      <c r="A413" s="119"/>
      <c r="B413" s="333" t="s">
        <v>1384</v>
      </c>
      <c r="D413">
        <v>0.12</v>
      </c>
      <c r="E413">
        <f t="shared" si="8"/>
        <v>4.5038142889581183E-2</v>
      </c>
      <c r="F413">
        <f t="shared" si="9"/>
        <v>0.31972899138634764</v>
      </c>
      <c r="G413">
        <v>0</v>
      </c>
      <c r="H413">
        <v>0.5</v>
      </c>
      <c r="I413">
        <v>0.05</v>
      </c>
      <c r="J413">
        <v>-0.58214395908484839</v>
      </c>
      <c r="K413">
        <v>5.4292608874670349E-2</v>
      </c>
    </row>
    <row r="414" spans="1:11" customFormat="1">
      <c r="A414" s="119"/>
      <c r="B414" s="333" t="s">
        <v>1385</v>
      </c>
      <c r="D414">
        <v>0.12</v>
      </c>
      <c r="E414">
        <f t="shared" si="8"/>
        <v>4.5038142889581183E-2</v>
      </c>
      <c r="F414">
        <f t="shared" si="9"/>
        <v>0.31972899138634764</v>
      </c>
      <c r="G414">
        <v>0</v>
      </c>
      <c r="H414">
        <v>0.5</v>
      </c>
      <c r="I414">
        <v>0.05</v>
      </c>
      <c r="J414">
        <v>-0.38472433293331809</v>
      </c>
      <c r="K414">
        <v>6.5321969157266957E-2</v>
      </c>
    </row>
    <row r="415" spans="1:11" customFormat="1">
      <c r="A415" s="119"/>
      <c r="B415" s="333" t="s">
        <v>1386</v>
      </c>
      <c r="D415">
        <v>7.0000000000000007E-2</v>
      </c>
      <c r="E415">
        <f t="shared" si="8"/>
        <v>2.6272250018922361E-2</v>
      </c>
      <c r="F415">
        <f t="shared" si="9"/>
        <v>0.18650857830870282</v>
      </c>
      <c r="G415">
        <v>0</v>
      </c>
      <c r="H415">
        <v>0.5</v>
      </c>
      <c r="I415">
        <v>0.05</v>
      </c>
      <c r="J415">
        <v>4.2163427198685863E-2</v>
      </c>
      <c r="K415">
        <v>5.8394381228323466E-2</v>
      </c>
    </row>
    <row r="416" spans="1:11" customFormat="1">
      <c r="A416" s="119"/>
      <c r="B416" s="333" t="s">
        <v>1387</v>
      </c>
      <c r="D416">
        <v>7.0000000000000007E-2</v>
      </c>
      <c r="E416">
        <f t="shared" si="8"/>
        <v>2.6272250018922361E-2</v>
      </c>
      <c r="F416">
        <f t="shared" si="9"/>
        <v>0.18650857830870282</v>
      </c>
      <c r="G416">
        <v>0</v>
      </c>
      <c r="H416">
        <v>0.5</v>
      </c>
      <c r="I416">
        <v>0.05</v>
      </c>
      <c r="J416">
        <v>0.41558105663058303</v>
      </c>
      <c r="K416">
        <v>8.4828986200522621E-2</v>
      </c>
    </row>
    <row r="417" spans="1:11" customFormat="1">
      <c r="A417" s="119"/>
      <c r="B417" s="333" t="s">
        <v>1388</v>
      </c>
      <c r="D417">
        <v>7.0000000000000007E-2</v>
      </c>
      <c r="E417">
        <f t="shared" si="8"/>
        <v>2.6272250018922361E-2</v>
      </c>
      <c r="F417">
        <f t="shared" si="9"/>
        <v>0.18650857830870282</v>
      </c>
      <c r="G417">
        <v>0</v>
      </c>
      <c r="H417">
        <v>0.5</v>
      </c>
      <c r="I417">
        <v>0.05</v>
      </c>
      <c r="J417">
        <v>0.1486044860195426</v>
      </c>
      <c r="K417">
        <v>6.4952792199853115E-2</v>
      </c>
    </row>
    <row r="418" spans="1:11" customFormat="1">
      <c r="A418" s="119"/>
      <c r="B418" s="333" t="s">
        <v>1389</v>
      </c>
      <c r="D418">
        <v>0.06</v>
      </c>
      <c r="E418">
        <f t="shared" ref="E418:E449" si="10">CalcMin(D418,G418,H418,I418)</f>
        <v>2.2519071444790591E-2</v>
      </c>
      <c r="F418">
        <f t="shared" ref="F418:F449" si="11">CalcMax(D418,G418,H418,I418)</f>
        <v>0.15986449569317382</v>
      </c>
      <c r="G418">
        <v>0</v>
      </c>
      <c r="H418">
        <v>0.5</v>
      </c>
      <c r="I418">
        <v>0.05</v>
      </c>
      <c r="J418">
        <v>0.73838364180661342</v>
      </c>
      <c r="K418">
        <v>0.1004127516985542</v>
      </c>
    </row>
    <row r="419" spans="1:11" customFormat="1">
      <c r="A419" s="119"/>
      <c r="B419" s="333" t="s">
        <v>1390</v>
      </c>
      <c r="D419">
        <v>0.05</v>
      </c>
      <c r="E419">
        <f t="shared" si="10"/>
        <v>1.8765892870658829E-2</v>
      </c>
      <c r="F419">
        <f t="shared" si="11"/>
        <v>0.13322041307764484</v>
      </c>
      <c r="G419">
        <v>0</v>
      </c>
      <c r="H419">
        <v>0.5</v>
      </c>
      <c r="I419">
        <v>0.05</v>
      </c>
      <c r="J419">
        <v>0.14352278533335902</v>
      </c>
      <c r="K419">
        <v>4.6159684851770647E-2</v>
      </c>
    </row>
    <row r="420" spans="1:11" customFormat="1">
      <c r="A420" s="119"/>
      <c r="B420" s="333" t="s">
        <v>1391</v>
      </c>
      <c r="D420">
        <v>0.06</v>
      </c>
      <c r="E420">
        <f t="shared" si="10"/>
        <v>2.2519071444790591E-2</v>
      </c>
      <c r="F420">
        <f t="shared" si="11"/>
        <v>0.15986449569317382</v>
      </c>
      <c r="G420">
        <v>0</v>
      </c>
      <c r="H420">
        <v>0.5</v>
      </c>
      <c r="I420">
        <v>0.05</v>
      </c>
      <c r="J420">
        <v>0.46641134120700706</v>
      </c>
      <c r="K420">
        <v>7.6502001779529469E-2</v>
      </c>
    </row>
    <row r="421" spans="1:11" customFormat="1">
      <c r="A421" s="119"/>
      <c r="B421" s="333" t="s">
        <v>1392</v>
      </c>
      <c r="D421">
        <v>7.0000000000000007E-2</v>
      </c>
      <c r="E421">
        <f t="shared" si="10"/>
        <v>2.6272250018922361E-2</v>
      </c>
      <c r="F421">
        <f t="shared" si="11"/>
        <v>0.18650857830870282</v>
      </c>
      <c r="G421">
        <v>0</v>
      </c>
      <c r="H421">
        <v>0.5</v>
      </c>
      <c r="I421">
        <v>0.05</v>
      </c>
      <c r="J421">
        <v>0.72046874818694306</v>
      </c>
      <c r="K421">
        <v>0.1150681998031511</v>
      </c>
    </row>
    <row r="422" spans="1:11" customFormat="1">
      <c r="A422" s="119"/>
      <c r="B422" s="333" t="s">
        <v>1393</v>
      </c>
      <c r="D422">
        <v>0.08</v>
      </c>
      <c r="E422">
        <f t="shared" si="10"/>
        <v>3.0025428593054123E-2</v>
      </c>
      <c r="F422">
        <f t="shared" si="11"/>
        <v>0.21315266092423177</v>
      </c>
      <c r="G422">
        <v>0</v>
      </c>
      <c r="H422">
        <v>0.5</v>
      </c>
      <c r="I422">
        <v>0.05</v>
      </c>
      <c r="J422">
        <v>0.94149931136381215</v>
      </c>
      <c r="K422">
        <v>0.16403616964962175</v>
      </c>
    </row>
    <row r="423" spans="1:11" customFormat="1">
      <c r="A423" s="119"/>
      <c r="B423" s="333" t="s">
        <v>1394</v>
      </c>
      <c r="D423">
        <v>0.11</v>
      </c>
      <c r="E423">
        <f t="shared" si="10"/>
        <v>4.1284964315449417E-2</v>
      </c>
      <c r="F423">
        <f t="shared" si="11"/>
        <v>0.29308490877081866</v>
      </c>
      <c r="G423">
        <v>0</v>
      </c>
      <c r="H423">
        <v>0.5</v>
      </c>
      <c r="I423">
        <v>0.05</v>
      </c>
      <c r="J423">
        <v>0.24111402490371231</v>
      </c>
      <c r="K423">
        <v>0.11196153723955567</v>
      </c>
    </row>
    <row r="424" spans="1:11" customFormat="1">
      <c r="A424" s="119"/>
      <c r="B424" s="333" t="s">
        <v>1395</v>
      </c>
      <c r="D424">
        <v>0.12</v>
      </c>
      <c r="E424">
        <f t="shared" si="10"/>
        <v>4.5038142889581183E-2</v>
      </c>
      <c r="F424">
        <f t="shared" si="11"/>
        <v>0.31972899138634764</v>
      </c>
      <c r="G424">
        <v>0</v>
      </c>
      <c r="H424">
        <v>0.5</v>
      </c>
      <c r="I424">
        <v>0.05</v>
      </c>
      <c r="J424">
        <v>-0.3085639607743082</v>
      </c>
      <c r="K424">
        <v>7.0491263920691716E-2</v>
      </c>
    </row>
    <row r="425" spans="1:11" customFormat="1">
      <c r="A425" s="119"/>
      <c r="B425" s="333" t="s">
        <v>1396</v>
      </c>
      <c r="D425">
        <v>0.12</v>
      </c>
      <c r="E425">
        <f t="shared" si="10"/>
        <v>4.5038142889581183E-2</v>
      </c>
      <c r="F425">
        <f t="shared" si="11"/>
        <v>0.31972899138634764</v>
      </c>
      <c r="G425">
        <v>0</v>
      </c>
      <c r="H425">
        <v>0.5</v>
      </c>
      <c r="I425">
        <v>0.05</v>
      </c>
      <c r="J425">
        <v>-0.82947690294451815</v>
      </c>
      <c r="K425">
        <v>4.1870262271159343E-2</v>
      </c>
    </row>
    <row r="426" spans="1:11" customFormat="1">
      <c r="A426" s="119"/>
      <c r="B426" s="333" t="s">
        <v>1397</v>
      </c>
      <c r="D426">
        <v>0.05</v>
      </c>
      <c r="E426">
        <f t="shared" si="10"/>
        <v>1.8765892870658829E-2</v>
      </c>
      <c r="F426">
        <f t="shared" si="11"/>
        <v>0.13322041307764484</v>
      </c>
      <c r="G426">
        <v>0</v>
      </c>
      <c r="H426">
        <v>0.5</v>
      </c>
      <c r="I426">
        <v>0.05</v>
      </c>
      <c r="J426">
        <v>-0.73349668421684178</v>
      </c>
      <c r="K426">
        <v>1.8541360946252115E-2</v>
      </c>
    </row>
    <row r="427" spans="1:11" customFormat="1">
      <c r="A427" s="119"/>
      <c r="B427" s="333" t="s">
        <v>1398</v>
      </c>
      <c r="D427">
        <v>0.05</v>
      </c>
      <c r="E427">
        <f t="shared" si="10"/>
        <v>1.8765892870658829E-2</v>
      </c>
      <c r="F427">
        <f t="shared" si="11"/>
        <v>0.13322041307764484</v>
      </c>
      <c r="G427">
        <v>0</v>
      </c>
      <c r="H427">
        <v>0.5</v>
      </c>
      <c r="I427">
        <v>0.05</v>
      </c>
      <c r="J427">
        <v>0.6587644188492191</v>
      </c>
      <c r="K427">
        <v>7.4609292698536528E-2</v>
      </c>
    </row>
    <row r="428" spans="1:11" customFormat="1">
      <c r="A428" s="119"/>
      <c r="B428" s="333" t="s">
        <v>1399</v>
      </c>
      <c r="D428">
        <v>0.06</v>
      </c>
      <c r="E428">
        <f t="shared" si="10"/>
        <v>2.2519071444790591E-2</v>
      </c>
      <c r="F428">
        <f t="shared" si="11"/>
        <v>0.15986449569317382</v>
      </c>
      <c r="G428">
        <v>0</v>
      </c>
      <c r="H428">
        <v>0.5</v>
      </c>
      <c r="I428">
        <v>0.05</v>
      </c>
      <c r="J428">
        <v>0.15375805561934444</v>
      </c>
      <c r="K428">
        <v>5.4032205126245986E-2</v>
      </c>
    </row>
    <row r="429" spans="1:11" customFormat="1">
      <c r="A429" s="119"/>
      <c r="B429" s="333" t="s">
        <v>1400</v>
      </c>
      <c r="D429">
        <v>7.0000000000000007E-2</v>
      </c>
      <c r="E429">
        <f t="shared" si="10"/>
        <v>2.6272250018922361E-2</v>
      </c>
      <c r="F429">
        <f t="shared" si="11"/>
        <v>0.18650857830870282</v>
      </c>
      <c r="G429">
        <v>0</v>
      </c>
      <c r="H429">
        <v>0.5</v>
      </c>
      <c r="I429">
        <v>0.05</v>
      </c>
      <c r="J429">
        <v>0.75291232607519121</v>
      </c>
      <c r="K429">
        <v>0.11476484517657187</v>
      </c>
    </row>
    <row r="430" spans="1:11" customFormat="1">
      <c r="A430" s="119"/>
      <c r="B430" s="333" t="s">
        <v>1401</v>
      </c>
      <c r="D430">
        <v>0.08</v>
      </c>
      <c r="E430">
        <f t="shared" si="10"/>
        <v>3.0025428593054123E-2</v>
      </c>
      <c r="F430">
        <f t="shared" si="11"/>
        <v>0.21315266092423177</v>
      </c>
      <c r="G430">
        <v>0</v>
      </c>
      <c r="H430">
        <v>0.5</v>
      </c>
      <c r="I430">
        <v>0.05</v>
      </c>
      <c r="J430">
        <v>-0.15720487025385582</v>
      </c>
      <c r="K430">
        <v>5.2788818982848165E-2</v>
      </c>
    </row>
    <row r="431" spans="1:11" customFormat="1">
      <c r="A431" s="119"/>
      <c r="B431" s="333" t="s">
        <v>1402</v>
      </c>
      <c r="D431">
        <v>0.12</v>
      </c>
      <c r="E431">
        <f t="shared" si="10"/>
        <v>4.5038142889581183E-2</v>
      </c>
      <c r="F431">
        <f t="shared" si="11"/>
        <v>0.31972899138634764</v>
      </c>
      <c r="G431">
        <v>0</v>
      </c>
      <c r="H431">
        <v>0.5</v>
      </c>
      <c r="I431">
        <v>0.05</v>
      </c>
      <c r="J431">
        <v>0.50289378048060163</v>
      </c>
      <c r="K431">
        <v>0.15321821780941292</v>
      </c>
    </row>
    <row r="432" spans="1:11" customFormat="1">
      <c r="A432" s="119"/>
      <c r="B432" s="333" t="s">
        <v>1403</v>
      </c>
      <c r="D432">
        <v>0.12</v>
      </c>
      <c r="E432">
        <f t="shared" si="10"/>
        <v>4.5038142889581183E-2</v>
      </c>
      <c r="F432">
        <f t="shared" si="11"/>
        <v>0.31972899138634764</v>
      </c>
      <c r="G432">
        <v>0</v>
      </c>
      <c r="H432">
        <v>0.5</v>
      </c>
      <c r="I432">
        <v>0.05</v>
      </c>
      <c r="J432">
        <v>-0.13952950085967719</v>
      </c>
      <c r="K432">
        <v>8.0595263647027293E-2</v>
      </c>
    </row>
    <row r="433" spans="1:11" customFormat="1">
      <c r="A433" s="119"/>
      <c r="B433" s="333" t="s">
        <v>1404</v>
      </c>
      <c r="D433">
        <v>0.12</v>
      </c>
      <c r="E433">
        <f t="shared" si="10"/>
        <v>4.5038142889581183E-2</v>
      </c>
      <c r="F433">
        <f t="shared" si="11"/>
        <v>0.31972899138634764</v>
      </c>
      <c r="G433">
        <v>0</v>
      </c>
      <c r="H433">
        <v>0.5</v>
      </c>
      <c r="I433">
        <v>0.05</v>
      </c>
      <c r="J433">
        <v>-0.29686379943397861</v>
      </c>
      <c r="K433">
        <v>6.8862074618939242E-2</v>
      </c>
    </row>
    <row r="434" spans="1:11" customFormat="1">
      <c r="A434" s="119"/>
      <c r="B434" s="333" t="s">
        <v>1405</v>
      </c>
      <c r="D434">
        <v>0.1</v>
      </c>
      <c r="E434">
        <f t="shared" si="10"/>
        <v>3.7531785741317658E-2</v>
      </c>
      <c r="F434">
        <f t="shared" si="11"/>
        <v>0.26644082615528969</v>
      </c>
      <c r="G434">
        <v>0</v>
      </c>
      <c r="H434">
        <v>0.5</v>
      </c>
      <c r="I434">
        <v>0.05</v>
      </c>
      <c r="J434">
        <v>0.76006125125242285</v>
      </c>
      <c r="K434">
        <v>0.16512604302808137</v>
      </c>
    </row>
    <row r="435" spans="1:11" customFormat="1">
      <c r="A435" s="119"/>
      <c r="B435" s="333" t="s">
        <v>1406</v>
      </c>
      <c r="D435">
        <v>0.09</v>
      </c>
      <c r="E435">
        <f t="shared" si="10"/>
        <v>3.3778607167185885E-2</v>
      </c>
      <c r="F435">
        <f t="shared" si="11"/>
        <v>0.23979674353976071</v>
      </c>
      <c r="G435">
        <v>0</v>
      </c>
      <c r="H435">
        <v>0.5</v>
      </c>
      <c r="I435">
        <v>0.05</v>
      </c>
      <c r="J435">
        <v>0.40963174233187355</v>
      </c>
      <c r="K435">
        <v>0.10468114909742865</v>
      </c>
    </row>
    <row r="436" spans="1:11" customFormat="1">
      <c r="A436" s="119"/>
      <c r="B436" s="333" t="s">
        <v>1407</v>
      </c>
      <c r="D436">
        <v>7.0000000000000007E-2</v>
      </c>
      <c r="E436">
        <f t="shared" si="10"/>
        <v>2.6272250018922361E-2</v>
      </c>
      <c r="F436">
        <f t="shared" si="11"/>
        <v>0.18650857830870282</v>
      </c>
      <c r="G436">
        <v>0</v>
      </c>
      <c r="H436">
        <v>0.5</v>
      </c>
      <c r="I436">
        <v>0.05</v>
      </c>
      <c r="J436">
        <v>0.17864144506495921</v>
      </c>
      <c r="K436">
        <v>6.4625839901993054E-2</v>
      </c>
    </row>
    <row r="437" spans="1:11" customFormat="1">
      <c r="A437" s="119"/>
      <c r="B437" s="333" t="s">
        <v>1408</v>
      </c>
      <c r="D437">
        <v>7.0000000000000007E-2</v>
      </c>
      <c r="E437">
        <f t="shared" si="10"/>
        <v>2.6272250018922361E-2</v>
      </c>
      <c r="F437">
        <f t="shared" si="11"/>
        <v>0.18650857830870282</v>
      </c>
      <c r="G437">
        <v>0</v>
      </c>
      <c r="H437">
        <v>0.5</v>
      </c>
      <c r="I437">
        <v>0.05</v>
      </c>
      <c r="J437">
        <v>-0.1155502149671018</v>
      </c>
      <c r="K437">
        <v>4.8154888966662875E-2</v>
      </c>
    </row>
    <row r="438" spans="1:11" customFormat="1">
      <c r="A438" s="119"/>
      <c r="B438" s="333" t="s">
        <v>1409</v>
      </c>
      <c r="D438">
        <v>0.05</v>
      </c>
      <c r="E438">
        <f t="shared" si="10"/>
        <v>1.8765892870658829E-2</v>
      </c>
      <c r="F438">
        <f t="shared" si="11"/>
        <v>0.13322041307764484</v>
      </c>
      <c r="G438">
        <v>0</v>
      </c>
      <c r="H438">
        <v>0.5</v>
      </c>
      <c r="I438">
        <v>0.05</v>
      </c>
      <c r="J438">
        <v>-0.90927112320876258</v>
      </c>
      <c r="K438">
        <v>1.8328864385542841E-2</v>
      </c>
    </row>
    <row r="439" spans="1:11" customFormat="1">
      <c r="A439" s="119"/>
      <c r="B439" s="333" t="s">
        <v>1410</v>
      </c>
      <c r="D439">
        <v>0.05</v>
      </c>
      <c r="E439">
        <f t="shared" si="10"/>
        <v>1.8765892870658829E-2</v>
      </c>
      <c r="F439">
        <f t="shared" si="11"/>
        <v>0.13322041307764484</v>
      </c>
      <c r="G439">
        <v>0</v>
      </c>
      <c r="H439">
        <v>0.5</v>
      </c>
      <c r="I439">
        <v>0.05</v>
      </c>
      <c r="J439">
        <v>-2.0599281255786381E-3</v>
      </c>
      <c r="K439">
        <v>4.540800000757636E-2</v>
      </c>
    </row>
    <row r="440" spans="1:11" customFormat="1">
      <c r="A440" s="119"/>
      <c r="B440" s="333" t="s">
        <v>1411</v>
      </c>
      <c r="D440">
        <v>0.06</v>
      </c>
      <c r="E440">
        <f t="shared" si="10"/>
        <v>2.2519071444790591E-2</v>
      </c>
      <c r="F440">
        <f t="shared" si="11"/>
        <v>0.15986449569317382</v>
      </c>
      <c r="G440">
        <v>0</v>
      </c>
      <c r="H440">
        <v>0.5</v>
      </c>
      <c r="I440">
        <v>0.05</v>
      </c>
      <c r="J440">
        <v>-0.24730676863484563</v>
      </c>
      <c r="K440">
        <v>4.2638730948937352E-2</v>
      </c>
    </row>
    <row r="441" spans="1:11" customFormat="1">
      <c r="A441" s="119"/>
      <c r="B441" s="333" t="s">
        <v>1412</v>
      </c>
      <c r="D441">
        <v>7.0000000000000007E-2</v>
      </c>
      <c r="E441">
        <f t="shared" si="10"/>
        <v>2.6272250018922361E-2</v>
      </c>
      <c r="F441">
        <f t="shared" si="11"/>
        <v>0.18650857830870282</v>
      </c>
      <c r="G441">
        <v>0</v>
      </c>
      <c r="H441">
        <v>0.5</v>
      </c>
      <c r="I441">
        <v>0.05</v>
      </c>
      <c r="J441">
        <v>3.6113298335869418E-2</v>
      </c>
      <c r="K441">
        <v>6.6044830684039782E-2</v>
      </c>
    </row>
    <row r="442" spans="1:11" customFormat="1">
      <c r="A442" s="119"/>
      <c r="B442" s="333" t="s">
        <v>1413</v>
      </c>
      <c r="D442">
        <v>0.08</v>
      </c>
      <c r="E442">
        <f t="shared" si="10"/>
        <v>3.0025428593054123E-2</v>
      </c>
      <c r="F442">
        <f t="shared" si="11"/>
        <v>0.21315266092423177</v>
      </c>
      <c r="G442">
        <v>0</v>
      </c>
      <c r="H442">
        <v>0.5</v>
      </c>
      <c r="I442">
        <v>0.05</v>
      </c>
      <c r="J442">
        <v>0.14367432153083243</v>
      </c>
      <c r="K442">
        <v>8.4051203620756035E-2</v>
      </c>
    </row>
    <row r="443" spans="1:11" customFormat="1">
      <c r="A443" s="119"/>
      <c r="B443" s="333" t="s">
        <v>1414</v>
      </c>
      <c r="D443">
        <v>0.1</v>
      </c>
      <c r="E443">
        <f t="shared" si="10"/>
        <v>3.7531785741317658E-2</v>
      </c>
      <c r="F443">
        <f t="shared" si="11"/>
        <v>0.26644082615528969</v>
      </c>
      <c r="G443">
        <v>0</v>
      </c>
      <c r="H443">
        <v>0.5</v>
      </c>
      <c r="I443">
        <v>0.05</v>
      </c>
      <c r="J443">
        <v>0.74848347519472191</v>
      </c>
      <c r="K443">
        <v>0.19236197528097443</v>
      </c>
    </row>
    <row r="444" spans="1:11" customFormat="1">
      <c r="A444" s="119"/>
      <c r="B444" s="333" t="s">
        <v>1415</v>
      </c>
      <c r="D444">
        <v>0.11</v>
      </c>
      <c r="E444">
        <f t="shared" si="10"/>
        <v>4.1284964315449417E-2</v>
      </c>
      <c r="F444">
        <f t="shared" si="11"/>
        <v>0.29308490877081866</v>
      </c>
      <c r="G444">
        <v>0</v>
      </c>
      <c r="H444">
        <v>0.5</v>
      </c>
      <c r="I444">
        <v>0.05</v>
      </c>
      <c r="J444">
        <v>-0.21444641616507001</v>
      </c>
      <c r="K444">
        <v>8.0782404317900181E-2</v>
      </c>
    </row>
    <row r="445" spans="1:11" customFormat="1">
      <c r="A445" s="119"/>
      <c r="B445" s="333" t="s">
        <v>1416</v>
      </c>
      <c r="D445">
        <v>0.12</v>
      </c>
      <c r="E445">
        <f t="shared" si="10"/>
        <v>4.5038142889581183E-2</v>
      </c>
      <c r="F445">
        <f t="shared" si="11"/>
        <v>0.31972899138634764</v>
      </c>
      <c r="G445">
        <v>0</v>
      </c>
      <c r="H445">
        <v>0.5</v>
      </c>
      <c r="I445">
        <v>0.05</v>
      </c>
      <c r="J445">
        <v>1.87044762578501E-2</v>
      </c>
      <c r="K445">
        <v>0.11126574541832912</v>
      </c>
    </row>
    <row r="446" spans="1:11" customFormat="1">
      <c r="A446" s="119"/>
      <c r="B446" s="333" t="s">
        <v>1417</v>
      </c>
      <c r="D446">
        <v>0.12</v>
      </c>
      <c r="E446">
        <f t="shared" si="10"/>
        <v>4.5038142889581183E-2</v>
      </c>
      <c r="F446">
        <f t="shared" si="11"/>
        <v>0.31972899138634764</v>
      </c>
      <c r="G446">
        <v>0</v>
      </c>
      <c r="H446">
        <v>0.5</v>
      </c>
      <c r="I446">
        <v>0.05</v>
      </c>
      <c r="J446">
        <v>0.29396766765826632</v>
      </c>
      <c r="K446">
        <v>0.14652332551010727</v>
      </c>
    </row>
    <row r="447" spans="1:11" customFormat="1">
      <c r="A447" s="119"/>
      <c r="B447" s="333" t="s">
        <v>1418</v>
      </c>
      <c r="D447">
        <v>0.11</v>
      </c>
      <c r="E447">
        <f t="shared" si="10"/>
        <v>4.1284964315449417E-2</v>
      </c>
      <c r="F447">
        <f t="shared" si="11"/>
        <v>0.29308490877081866</v>
      </c>
      <c r="G447">
        <v>0</v>
      </c>
      <c r="H447">
        <v>0.5</v>
      </c>
      <c r="I447">
        <v>0.05</v>
      </c>
      <c r="J447">
        <v>0.18365770679496948</v>
      </c>
      <c r="K447">
        <v>0.12028492416059597</v>
      </c>
    </row>
    <row r="448" spans="1:11" customFormat="1">
      <c r="A448" s="119"/>
      <c r="B448" s="333" t="s">
        <v>1419</v>
      </c>
      <c r="D448">
        <v>7.0000000000000007E-2</v>
      </c>
      <c r="E448">
        <f t="shared" si="10"/>
        <v>2.6272250018922361E-2</v>
      </c>
      <c r="F448">
        <f t="shared" si="11"/>
        <v>0.18650857830870282</v>
      </c>
      <c r="G448">
        <v>0</v>
      </c>
      <c r="H448">
        <v>0.5</v>
      </c>
      <c r="I448">
        <v>0.05</v>
      </c>
      <c r="J448">
        <v>-0.15177846295461436</v>
      </c>
      <c r="K448">
        <v>5.4731641803170111E-2</v>
      </c>
    </row>
    <row r="449" spans="1:18">
      <c r="A449" s="119"/>
      <c r="B449" s="333" t="s">
        <v>1420</v>
      </c>
      <c r="D449">
        <v>0.06</v>
      </c>
      <c r="E449">
        <f t="shared" si="10"/>
        <v>2.2519071444790591E-2</v>
      </c>
      <c r="F449">
        <f t="shared" si="11"/>
        <v>0.15986449569317382</v>
      </c>
      <c r="G449">
        <v>0</v>
      </c>
      <c r="H449">
        <v>0.5</v>
      </c>
      <c r="I449">
        <v>0.05</v>
      </c>
      <c r="J449">
        <v>-0.3736415966019519</v>
      </c>
      <c r="K449">
        <v>3.7578353862070486E-2</v>
      </c>
      <c r="O449"/>
      <c r="R449"/>
    </row>
    <row r="450" spans="1:18">
      <c r="A450" s="119"/>
      <c r="B450" s="334"/>
      <c r="G450"/>
      <c r="I450"/>
      <c r="O450"/>
      <c r="R450"/>
    </row>
    <row r="451" spans="1:18">
      <c r="A451" s="388">
        <v>1.6220000000000001</v>
      </c>
      <c r="B451" s="392" t="s">
        <v>443</v>
      </c>
      <c r="G451"/>
      <c r="I451"/>
      <c r="O451"/>
      <c r="R451"/>
    </row>
    <row r="452" spans="1:18">
      <c r="A452" s="119"/>
      <c r="B452" s="333" t="s">
        <v>1325</v>
      </c>
      <c r="D452">
        <v>0.06</v>
      </c>
      <c r="E452">
        <f t="shared" ref="E452:E483" si="12">CalcMin(D452,G452,H452,I452)</f>
        <v>2.2519071444790591E-2</v>
      </c>
      <c r="F452">
        <f t="shared" ref="F452:F483" si="13">CalcMax(D452,G452,H452,I452)</f>
        <v>0.15986449569317382</v>
      </c>
      <c r="G452">
        <v>0</v>
      </c>
      <c r="H452">
        <v>0.5</v>
      </c>
      <c r="I452">
        <v>0.05</v>
      </c>
      <c r="J452">
        <v>-0.17460171941134758</v>
      </c>
      <c r="K452">
        <v>4.0491115933796021E-2</v>
      </c>
      <c r="O452"/>
      <c r="R452"/>
    </row>
    <row r="453" spans="1:18">
      <c r="A453" s="119"/>
      <c r="B453" s="333" t="s">
        <v>1326</v>
      </c>
      <c r="D453">
        <v>0.06</v>
      </c>
      <c r="E453">
        <f t="shared" si="12"/>
        <v>2.2519071444790591E-2</v>
      </c>
      <c r="F453">
        <f t="shared" si="13"/>
        <v>0.15986449569317382</v>
      </c>
      <c r="G453">
        <v>0</v>
      </c>
      <c r="H453">
        <v>0.5</v>
      </c>
      <c r="I453">
        <v>0.05</v>
      </c>
      <c r="J453">
        <v>0.55741697886310992</v>
      </c>
      <c r="K453">
        <v>8.4192116505547948E-2</v>
      </c>
      <c r="O453"/>
      <c r="R453"/>
    </row>
    <row r="454" spans="1:18">
      <c r="A454" s="119"/>
      <c r="B454" s="333" t="s">
        <v>1327</v>
      </c>
      <c r="D454">
        <v>0.06</v>
      </c>
      <c r="E454">
        <f t="shared" si="12"/>
        <v>2.2519071444790591E-2</v>
      </c>
      <c r="F454">
        <f t="shared" si="13"/>
        <v>0.15986449569317382</v>
      </c>
      <c r="G454">
        <v>0</v>
      </c>
      <c r="H454">
        <v>0.5</v>
      </c>
      <c r="I454">
        <v>0.05</v>
      </c>
      <c r="J454">
        <v>0.1228476393152933</v>
      </c>
      <c r="K454">
        <v>5.451805597623418E-2</v>
      </c>
      <c r="O454"/>
      <c r="R454"/>
    </row>
    <row r="455" spans="1:18">
      <c r="A455" s="119"/>
      <c r="B455" s="333" t="s">
        <v>1328</v>
      </c>
      <c r="D455">
        <v>0.06</v>
      </c>
      <c r="E455">
        <f t="shared" si="12"/>
        <v>2.2519071444790591E-2</v>
      </c>
      <c r="F455">
        <f t="shared" si="13"/>
        <v>0.15986449569317382</v>
      </c>
      <c r="G455">
        <v>0</v>
      </c>
      <c r="H455">
        <v>0.5</v>
      </c>
      <c r="I455">
        <v>0.05</v>
      </c>
      <c r="J455">
        <v>0.81769968149236161</v>
      </c>
      <c r="K455">
        <v>0.10922216198433185</v>
      </c>
      <c r="O455"/>
      <c r="R455"/>
    </row>
    <row r="456" spans="1:18">
      <c r="A456" s="119"/>
      <c r="B456" s="333" t="s">
        <v>1329</v>
      </c>
      <c r="D456">
        <v>0.08</v>
      </c>
      <c r="E456">
        <f t="shared" si="12"/>
        <v>3.0025428593054123E-2</v>
      </c>
      <c r="F456">
        <f t="shared" si="13"/>
        <v>0.21315266092423177</v>
      </c>
      <c r="G456">
        <v>0</v>
      </c>
      <c r="H456">
        <v>0.5</v>
      </c>
      <c r="I456">
        <v>0.05</v>
      </c>
      <c r="J456">
        <v>0.97800882715693316</v>
      </c>
      <c r="K456">
        <v>0.17095069975534749</v>
      </c>
      <c r="O456"/>
      <c r="R456"/>
    </row>
    <row r="457" spans="1:18">
      <c r="A457" s="119"/>
      <c r="B457" s="333" t="s">
        <v>1330</v>
      </c>
      <c r="D457">
        <v>0.12</v>
      </c>
      <c r="E457">
        <f t="shared" si="12"/>
        <v>4.5038142889581183E-2</v>
      </c>
      <c r="F457">
        <f t="shared" si="13"/>
        <v>0.31972899138634764</v>
      </c>
      <c r="G457">
        <v>0</v>
      </c>
      <c r="H457">
        <v>0.5</v>
      </c>
      <c r="I457">
        <v>0.05</v>
      </c>
      <c r="J457">
        <v>-7.1558173904856456E-2</v>
      </c>
      <c r="K457">
        <v>8.9772017395881157E-2</v>
      </c>
      <c r="O457"/>
      <c r="R457"/>
    </row>
    <row r="458" spans="1:18">
      <c r="A458" s="119"/>
      <c r="B458" s="333" t="s">
        <v>1331</v>
      </c>
      <c r="D458">
        <v>0.12</v>
      </c>
      <c r="E458">
        <f t="shared" si="12"/>
        <v>4.5038142889581183E-2</v>
      </c>
      <c r="F458">
        <f t="shared" si="13"/>
        <v>0.31972899138634764</v>
      </c>
      <c r="G458">
        <v>0</v>
      </c>
      <c r="H458">
        <v>0.5</v>
      </c>
      <c r="I458">
        <v>0.05</v>
      </c>
      <c r="J458">
        <v>0.30562019308358884</v>
      </c>
      <c r="K458">
        <v>0.13090235759951799</v>
      </c>
      <c r="O458"/>
      <c r="R458"/>
    </row>
    <row r="459" spans="1:18">
      <c r="A459" s="119"/>
      <c r="B459" s="333" t="s">
        <v>1332</v>
      </c>
      <c r="D459">
        <v>0.12</v>
      </c>
      <c r="E459">
        <f t="shared" si="12"/>
        <v>4.5038142889581183E-2</v>
      </c>
      <c r="F459">
        <f t="shared" si="13"/>
        <v>0.31972899138634764</v>
      </c>
      <c r="G459">
        <v>0</v>
      </c>
      <c r="H459">
        <v>0.5</v>
      </c>
      <c r="I459">
        <v>0.05</v>
      </c>
      <c r="J459">
        <v>-0.11140094358749583</v>
      </c>
      <c r="K459">
        <v>8.6265568741866083E-2</v>
      </c>
      <c r="O459"/>
      <c r="R459"/>
    </row>
    <row r="460" spans="1:18">
      <c r="A460" s="119"/>
      <c r="B460" s="333" t="s">
        <v>1333</v>
      </c>
      <c r="D460">
        <v>0.1</v>
      </c>
      <c r="E460">
        <f t="shared" si="12"/>
        <v>3.7531785741317658E-2</v>
      </c>
      <c r="F460">
        <f t="shared" si="13"/>
        <v>0.26644082615528969</v>
      </c>
      <c r="G460">
        <v>0</v>
      </c>
      <c r="H460">
        <v>0.5</v>
      </c>
      <c r="I460">
        <v>0.05</v>
      </c>
      <c r="J460">
        <v>-0.13529427537819164</v>
      </c>
      <c r="K460">
        <v>7.0190688388087855E-2</v>
      </c>
      <c r="O460"/>
      <c r="R460"/>
    </row>
    <row r="461" spans="1:18">
      <c r="A461" s="119"/>
      <c r="B461" s="333" t="s">
        <v>1334</v>
      </c>
      <c r="D461">
        <v>0.1</v>
      </c>
      <c r="E461">
        <f t="shared" si="12"/>
        <v>3.7531785741317658E-2</v>
      </c>
      <c r="F461">
        <f t="shared" si="13"/>
        <v>0.26644082615528969</v>
      </c>
      <c r="G461">
        <v>0</v>
      </c>
      <c r="H461">
        <v>0.5</v>
      </c>
      <c r="I461">
        <v>0.05</v>
      </c>
      <c r="J461">
        <v>-5.823545700064589E-2</v>
      </c>
      <c r="K461">
        <v>7.5813355917548328E-2</v>
      </c>
      <c r="O461"/>
      <c r="R461"/>
    </row>
    <row r="462" spans="1:18">
      <c r="A462" s="119"/>
      <c r="B462" s="333" t="s">
        <v>1335</v>
      </c>
      <c r="D462">
        <v>0.06</v>
      </c>
      <c r="E462">
        <f t="shared" si="12"/>
        <v>2.2519071444790591E-2</v>
      </c>
      <c r="F462">
        <f t="shared" si="13"/>
        <v>0.15986449569317382</v>
      </c>
      <c r="G462">
        <v>0</v>
      </c>
      <c r="H462">
        <v>0.5</v>
      </c>
      <c r="I462">
        <v>0.05</v>
      </c>
      <c r="J462">
        <v>-7.9963802667371534E-2</v>
      </c>
      <c r="K462">
        <v>4.4510294839956839E-2</v>
      </c>
      <c r="O462"/>
      <c r="R462"/>
    </row>
    <row r="463" spans="1:18">
      <c r="A463" s="119"/>
      <c r="B463" s="333" t="s">
        <v>1336</v>
      </c>
      <c r="D463">
        <v>0.06</v>
      </c>
      <c r="E463">
        <f t="shared" si="12"/>
        <v>2.2519071444790591E-2</v>
      </c>
      <c r="F463">
        <f t="shared" si="13"/>
        <v>0.15986449569317382</v>
      </c>
      <c r="G463">
        <v>0</v>
      </c>
      <c r="H463">
        <v>0.5</v>
      </c>
      <c r="I463">
        <v>0.05</v>
      </c>
      <c r="J463">
        <v>-0.11050220342057107</v>
      </c>
      <c r="K463">
        <v>4.3171566961884129E-2</v>
      </c>
      <c r="O463"/>
      <c r="R463"/>
    </row>
    <row r="464" spans="1:18">
      <c r="A464" s="119"/>
      <c r="B464" s="333" t="s">
        <v>1337</v>
      </c>
      <c r="D464">
        <v>0.06</v>
      </c>
      <c r="E464">
        <f t="shared" si="12"/>
        <v>2.2519071444790591E-2</v>
      </c>
      <c r="F464">
        <f t="shared" si="13"/>
        <v>0.15986449569317382</v>
      </c>
      <c r="G464">
        <v>0</v>
      </c>
      <c r="H464">
        <v>0.5</v>
      </c>
      <c r="I464">
        <v>0.05</v>
      </c>
      <c r="J464">
        <v>-0.10895148543720533</v>
      </c>
      <c r="K464">
        <v>5.0625230637853978E-2</v>
      </c>
      <c r="O464"/>
      <c r="R464"/>
    </row>
    <row r="465" spans="1:11" customFormat="1">
      <c r="A465" s="119"/>
      <c r="B465" s="333" t="s">
        <v>1338</v>
      </c>
      <c r="D465">
        <v>0.06</v>
      </c>
      <c r="E465">
        <f t="shared" si="12"/>
        <v>2.2519071444790591E-2</v>
      </c>
      <c r="F465">
        <f t="shared" si="13"/>
        <v>0.15986449569317382</v>
      </c>
      <c r="G465">
        <v>0</v>
      </c>
      <c r="H465">
        <v>0.5</v>
      </c>
      <c r="I465">
        <v>0.05</v>
      </c>
      <c r="J465">
        <v>7.8593391578507088E-2</v>
      </c>
      <c r="K465">
        <v>6.1068425086472054E-2</v>
      </c>
    </row>
    <row r="466" spans="1:11" customFormat="1">
      <c r="A466" s="119"/>
      <c r="B466" s="333" t="s">
        <v>1339</v>
      </c>
      <c r="D466">
        <v>0.06</v>
      </c>
      <c r="E466">
        <f t="shared" si="12"/>
        <v>2.2519071444790591E-2</v>
      </c>
      <c r="F466">
        <f t="shared" si="13"/>
        <v>0.15986449569317382</v>
      </c>
      <c r="G466">
        <v>0</v>
      </c>
      <c r="H466">
        <v>0.5</v>
      </c>
      <c r="I466">
        <v>0.05</v>
      </c>
      <c r="J466">
        <v>0.39891004555161103</v>
      </c>
      <c r="K466">
        <v>8.4125658217581986E-2</v>
      </c>
    </row>
    <row r="467" spans="1:11" customFormat="1">
      <c r="A467" s="119"/>
      <c r="B467" s="333" t="s">
        <v>1340</v>
      </c>
      <c r="D467">
        <v>7.0000000000000007E-2</v>
      </c>
      <c r="E467">
        <f t="shared" si="12"/>
        <v>2.6272250018922361E-2</v>
      </c>
      <c r="F467">
        <f t="shared" si="13"/>
        <v>0.18650857830870282</v>
      </c>
      <c r="G467">
        <v>0</v>
      </c>
      <c r="H467">
        <v>0.5</v>
      </c>
      <c r="I467">
        <v>0.05</v>
      </c>
      <c r="J467">
        <v>-0.1080178971416674</v>
      </c>
      <c r="K467">
        <v>5.9117935134594901E-2</v>
      </c>
    </row>
    <row r="468" spans="1:11" customFormat="1">
      <c r="A468" s="119"/>
      <c r="B468" s="333" t="s">
        <v>1341</v>
      </c>
      <c r="D468">
        <v>0.08</v>
      </c>
      <c r="E468">
        <f t="shared" si="12"/>
        <v>3.0025428593054123E-2</v>
      </c>
      <c r="F468">
        <f t="shared" si="13"/>
        <v>0.21315266092423177</v>
      </c>
      <c r="G468">
        <v>0</v>
      </c>
      <c r="H468">
        <v>0.5</v>
      </c>
      <c r="I468">
        <v>0.05</v>
      </c>
      <c r="J468">
        <v>-0.21961377122015563</v>
      </c>
      <c r="K468">
        <v>6.0429045063748306E-2</v>
      </c>
    </row>
    <row r="469" spans="1:11" customFormat="1">
      <c r="A469" s="119"/>
      <c r="B469" s="333" t="s">
        <v>1342</v>
      </c>
      <c r="D469">
        <v>0.11</v>
      </c>
      <c r="E469">
        <f t="shared" si="12"/>
        <v>4.1284964315449417E-2</v>
      </c>
      <c r="F469">
        <f t="shared" si="13"/>
        <v>0.29308490877081866</v>
      </c>
      <c r="G469">
        <v>0</v>
      </c>
      <c r="H469">
        <v>0.5</v>
      </c>
      <c r="I469">
        <v>0.05</v>
      </c>
      <c r="J469">
        <v>-0.21505680093786522</v>
      </c>
      <c r="K469">
        <v>8.3469439370018328E-2</v>
      </c>
    </row>
    <row r="470" spans="1:11" customFormat="1">
      <c r="A470" s="119"/>
      <c r="B470" s="333" t="s">
        <v>1343</v>
      </c>
      <c r="D470">
        <v>0.11</v>
      </c>
      <c r="E470">
        <f t="shared" si="12"/>
        <v>4.1284964315449417E-2</v>
      </c>
      <c r="F470">
        <f t="shared" si="13"/>
        <v>0.29308490877081866</v>
      </c>
      <c r="G470">
        <v>0</v>
      </c>
      <c r="H470">
        <v>0.5</v>
      </c>
      <c r="I470">
        <v>0.05</v>
      </c>
      <c r="J470">
        <v>-0.26231992568797491</v>
      </c>
      <c r="K470">
        <v>7.9616188440839286E-2</v>
      </c>
    </row>
    <row r="471" spans="1:11" customFormat="1">
      <c r="A471" s="119"/>
      <c r="B471" s="333" t="s">
        <v>1344</v>
      </c>
      <c r="D471">
        <v>0.11</v>
      </c>
      <c r="E471">
        <f t="shared" si="12"/>
        <v>4.1284964315449417E-2</v>
      </c>
      <c r="F471">
        <f t="shared" si="13"/>
        <v>0.29308490877081866</v>
      </c>
      <c r="G471">
        <v>0</v>
      </c>
      <c r="H471">
        <v>0.5</v>
      </c>
      <c r="I471">
        <v>0.05</v>
      </c>
      <c r="J471">
        <v>0.60694873700448126</v>
      </c>
      <c r="K471">
        <v>0.18989781415335252</v>
      </c>
    </row>
    <row r="472" spans="1:11" customFormat="1">
      <c r="A472" s="119"/>
      <c r="B472" s="333" t="s">
        <v>1345</v>
      </c>
      <c r="D472">
        <v>0.11</v>
      </c>
      <c r="E472">
        <f t="shared" si="12"/>
        <v>4.1284964315449417E-2</v>
      </c>
      <c r="F472">
        <f t="shared" si="13"/>
        <v>0.29308490877081866</v>
      </c>
      <c r="G472">
        <v>0</v>
      </c>
      <c r="H472">
        <v>0.5</v>
      </c>
      <c r="I472">
        <v>0.05</v>
      </c>
      <c r="J472">
        <v>-0.39058653563133</v>
      </c>
      <c r="K472">
        <v>7.0031898744546767E-2</v>
      </c>
    </row>
    <row r="473" spans="1:11" customFormat="1">
      <c r="A473" s="119"/>
      <c r="B473" s="333" t="s">
        <v>1346</v>
      </c>
      <c r="D473">
        <v>0.1</v>
      </c>
      <c r="E473">
        <f t="shared" si="12"/>
        <v>3.7531785741317658E-2</v>
      </c>
      <c r="F473">
        <f t="shared" si="13"/>
        <v>0.26644082615528969</v>
      </c>
      <c r="G473">
        <v>0</v>
      </c>
      <c r="H473">
        <v>0.5</v>
      </c>
      <c r="I473">
        <v>0.05</v>
      </c>
      <c r="J473">
        <v>0.40373937356730399</v>
      </c>
      <c r="K473">
        <v>0.14088818533877939</v>
      </c>
    </row>
    <row r="474" spans="1:11" customFormat="1">
      <c r="A474" s="119"/>
      <c r="B474" s="333" t="s">
        <v>1347</v>
      </c>
      <c r="D474">
        <v>0.06</v>
      </c>
      <c r="E474">
        <f t="shared" si="12"/>
        <v>2.2519071444790591E-2</v>
      </c>
      <c r="F474">
        <f t="shared" si="13"/>
        <v>0.15986449569317382</v>
      </c>
      <c r="G474">
        <v>0</v>
      </c>
      <c r="H474">
        <v>0.5</v>
      </c>
      <c r="I474">
        <v>0.05</v>
      </c>
      <c r="J474">
        <v>0.28109948978944554</v>
      </c>
      <c r="K474">
        <v>7.4776304979933428E-2</v>
      </c>
    </row>
    <row r="475" spans="1:11" customFormat="1">
      <c r="A475" s="119"/>
      <c r="B475" s="333" t="s">
        <v>1348</v>
      </c>
      <c r="D475">
        <v>7.0000000000000007E-2</v>
      </c>
      <c r="E475">
        <f t="shared" si="12"/>
        <v>2.6272250018922361E-2</v>
      </c>
      <c r="F475">
        <f t="shared" si="13"/>
        <v>0.18650857830870282</v>
      </c>
      <c r="G475">
        <v>0</v>
      </c>
      <c r="H475">
        <v>0.5</v>
      </c>
      <c r="I475">
        <v>0.05</v>
      </c>
      <c r="J475">
        <v>-0.35991407409962628</v>
      </c>
      <c r="K475">
        <v>4.5953874832278835E-2</v>
      </c>
    </row>
    <row r="476" spans="1:11" customFormat="1">
      <c r="A476" s="119"/>
      <c r="B476" s="333" t="s">
        <v>1349</v>
      </c>
      <c r="D476">
        <v>0.05</v>
      </c>
      <c r="E476">
        <f t="shared" si="12"/>
        <v>1.8765892870658829E-2</v>
      </c>
      <c r="F476">
        <f t="shared" si="13"/>
        <v>0.13322041307764484</v>
      </c>
      <c r="G476">
        <v>0</v>
      </c>
      <c r="H476">
        <v>0.5</v>
      </c>
      <c r="I476">
        <v>0.05</v>
      </c>
      <c r="J476">
        <v>0.18964056134650123</v>
      </c>
      <c r="K476">
        <v>5.1333072428302609E-2</v>
      </c>
    </row>
    <row r="477" spans="1:11" customFormat="1">
      <c r="A477" s="119"/>
      <c r="B477" s="333" t="s">
        <v>1350</v>
      </c>
      <c r="D477">
        <v>0.05</v>
      </c>
      <c r="E477">
        <f t="shared" si="12"/>
        <v>1.8765892870658829E-2</v>
      </c>
      <c r="F477">
        <f t="shared" si="13"/>
        <v>0.13322041307764484</v>
      </c>
      <c r="G477">
        <v>0</v>
      </c>
      <c r="H477">
        <v>0.5</v>
      </c>
      <c r="I477">
        <v>0.05</v>
      </c>
      <c r="J477">
        <v>1.4370621125435131E-2</v>
      </c>
      <c r="K477">
        <v>4.3080277378271671E-2</v>
      </c>
    </row>
    <row r="478" spans="1:11" customFormat="1">
      <c r="A478" s="119"/>
      <c r="B478" s="333" t="s">
        <v>1351</v>
      </c>
      <c r="D478">
        <v>0.06</v>
      </c>
      <c r="E478">
        <f t="shared" si="12"/>
        <v>2.2519071444790591E-2</v>
      </c>
      <c r="F478">
        <f t="shared" si="13"/>
        <v>0.15986449569317382</v>
      </c>
      <c r="G478">
        <v>0</v>
      </c>
      <c r="H478">
        <v>0.5</v>
      </c>
      <c r="I478">
        <v>0.05</v>
      </c>
      <c r="J478">
        <v>0.19247090439939957</v>
      </c>
      <c r="K478">
        <v>6.1774282125498264E-2</v>
      </c>
    </row>
    <row r="479" spans="1:11" customFormat="1">
      <c r="A479" s="119"/>
      <c r="B479" s="333" t="s">
        <v>1352</v>
      </c>
      <c r="D479">
        <v>7.0000000000000007E-2</v>
      </c>
      <c r="E479">
        <f t="shared" si="12"/>
        <v>2.6272250018922361E-2</v>
      </c>
      <c r="F479">
        <f t="shared" si="13"/>
        <v>0.18650857830870282</v>
      </c>
      <c r="G479">
        <v>0</v>
      </c>
      <c r="H479">
        <v>0.5</v>
      </c>
      <c r="I479">
        <v>0.05</v>
      </c>
      <c r="J479">
        <v>1.4762105756364982E-2</v>
      </c>
      <c r="K479">
        <v>6.0336004325014049E-2</v>
      </c>
    </row>
    <row r="480" spans="1:11" customFormat="1">
      <c r="A480" s="119"/>
      <c r="B480" s="333" t="s">
        <v>1353</v>
      </c>
      <c r="D480">
        <v>0.08</v>
      </c>
      <c r="E480">
        <f t="shared" si="12"/>
        <v>3.0025428593054123E-2</v>
      </c>
      <c r="F480">
        <f t="shared" si="13"/>
        <v>0.21315266092423177</v>
      </c>
      <c r="G480">
        <v>0</v>
      </c>
      <c r="H480">
        <v>0.5</v>
      </c>
      <c r="I480">
        <v>0.05</v>
      </c>
      <c r="J480">
        <v>0.33385828108849608</v>
      </c>
      <c r="K480">
        <v>9.4874653179284604E-2</v>
      </c>
    </row>
    <row r="481" spans="1:11" customFormat="1">
      <c r="A481" s="119"/>
      <c r="B481" s="333" t="s">
        <v>1354</v>
      </c>
      <c r="D481">
        <v>0.08</v>
      </c>
      <c r="E481">
        <f t="shared" si="12"/>
        <v>3.0025428593054123E-2</v>
      </c>
      <c r="F481">
        <f t="shared" si="13"/>
        <v>0.21315266092423177</v>
      </c>
      <c r="G481">
        <v>0</v>
      </c>
      <c r="H481">
        <v>0.5</v>
      </c>
      <c r="I481">
        <v>0.05</v>
      </c>
      <c r="J481">
        <v>1.8576786769199299E-2</v>
      </c>
      <c r="K481">
        <v>6.9218978848363477E-2</v>
      </c>
    </row>
    <row r="482" spans="1:11" customFormat="1">
      <c r="A482" s="119"/>
      <c r="B482" s="333" t="s">
        <v>1355</v>
      </c>
      <c r="D482">
        <v>0.12</v>
      </c>
      <c r="E482">
        <f t="shared" si="12"/>
        <v>4.5038142889581183E-2</v>
      </c>
      <c r="F482">
        <f t="shared" si="13"/>
        <v>0.31972899138634764</v>
      </c>
      <c r="G482">
        <v>0</v>
      </c>
      <c r="H482">
        <v>0.5</v>
      </c>
      <c r="I482">
        <v>0.05</v>
      </c>
      <c r="J482">
        <v>0.69093406231135934</v>
      </c>
      <c r="K482">
        <v>0.20338433592942137</v>
      </c>
    </row>
    <row r="483" spans="1:11" customFormat="1">
      <c r="A483" s="119"/>
      <c r="B483" s="333" t="s">
        <v>1356</v>
      </c>
      <c r="D483">
        <v>0.12</v>
      </c>
      <c r="E483">
        <f t="shared" si="12"/>
        <v>4.5038142889581183E-2</v>
      </c>
      <c r="F483">
        <f t="shared" si="13"/>
        <v>0.31972899138634764</v>
      </c>
      <c r="G483">
        <v>0</v>
      </c>
      <c r="H483">
        <v>0.5</v>
      </c>
      <c r="I483">
        <v>0.05</v>
      </c>
      <c r="J483">
        <v>-0.74057270553344201</v>
      </c>
      <c r="K483">
        <v>4.859840452388979E-2</v>
      </c>
    </row>
    <row r="484" spans="1:11" customFormat="1">
      <c r="A484" s="119"/>
      <c r="B484" s="333" t="s">
        <v>1357</v>
      </c>
      <c r="D484">
        <v>0.12</v>
      </c>
      <c r="E484">
        <f t="shared" ref="E484:E515" si="14">CalcMin(D484,G484,H484,I484)</f>
        <v>4.5038142889581183E-2</v>
      </c>
      <c r="F484">
        <f t="shared" ref="F484:F515" si="15">CalcMax(D484,G484,H484,I484)</f>
        <v>0.31972899138634764</v>
      </c>
      <c r="G484">
        <v>0</v>
      </c>
      <c r="H484">
        <v>0.5</v>
      </c>
      <c r="I484">
        <v>0.05</v>
      </c>
      <c r="J484">
        <v>-0.27582772295026692</v>
      </c>
      <c r="K484">
        <v>7.7349621543242375E-2</v>
      </c>
    </row>
    <row r="485" spans="1:11" customFormat="1">
      <c r="A485" s="119"/>
      <c r="B485" s="333" t="s">
        <v>1358</v>
      </c>
      <c r="D485">
        <v>0.11</v>
      </c>
      <c r="E485">
        <f t="shared" si="14"/>
        <v>4.1284964315449417E-2</v>
      </c>
      <c r="F485">
        <f t="shared" si="15"/>
        <v>0.29308490877081866</v>
      </c>
      <c r="G485">
        <v>0</v>
      </c>
      <c r="H485">
        <v>0.5</v>
      </c>
      <c r="I485">
        <v>0.05</v>
      </c>
      <c r="J485">
        <v>0.47365045951928114</v>
      </c>
      <c r="K485">
        <v>0.1500250814378743</v>
      </c>
    </row>
    <row r="486" spans="1:11" customFormat="1">
      <c r="A486" s="119"/>
      <c r="B486" s="333" t="s">
        <v>1359</v>
      </c>
      <c r="D486">
        <v>7.0000000000000007E-2</v>
      </c>
      <c r="E486">
        <f t="shared" si="14"/>
        <v>2.6272250018922361E-2</v>
      </c>
      <c r="F486">
        <f t="shared" si="15"/>
        <v>0.18650857830870282</v>
      </c>
      <c r="G486">
        <v>0</v>
      </c>
      <c r="H486">
        <v>0.5</v>
      </c>
      <c r="I486">
        <v>0.05</v>
      </c>
      <c r="J486">
        <v>4.847534911574166E-2</v>
      </c>
      <c r="K486">
        <v>6.2404803748259935E-2</v>
      </c>
    </row>
    <row r="487" spans="1:11" customFormat="1">
      <c r="A487" s="119"/>
      <c r="B487" s="333" t="s">
        <v>1360</v>
      </c>
      <c r="D487">
        <v>7.0000000000000007E-2</v>
      </c>
      <c r="E487">
        <f t="shared" si="14"/>
        <v>2.6272250018922361E-2</v>
      </c>
      <c r="F487">
        <f t="shared" si="15"/>
        <v>0.18650857830870282</v>
      </c>
      <c r="G487">
        <v>0</v>
      </c>
      <c r="H487">
        <v>0.5</v>
      </c>
      <c r="I487">
        <v>0.05</v>
      </c>
      <c r="J487">
        <v>0.26666446184715137</v>
      </c>
      <c r="K487">
        <v>7.7620484532577458E-2</v>
      </c>
    </row>
    <row r="488" spans="1:11" customFormat="1">
      <c r="A488" s="119"/>
      <c r="B488" s="333" t="s">
        <v>1361</v>
      </c>
      <c r="D488">
        <v>0.05</v>
      </c>
      <c r="E488">
        <f t="shared" si="14"/>
        <v>1.8765892870658829E-2</v>
      </c>
      <c r="F488">
        <f t="shared" si="15"/>
        <v>0.13322041307764484</v>
      </c>
      <c r="G488">
        <v>0</v>
      </c>
      <c r="H488">
        <v>0.5</v>
      </c>
      <c r="I488">
        <v>0.05</v>
      </c>
      <c r="J488">
        <v>-0.57250257636165069</v>
      </c>
      <c r="K488">
        <v>2.0854723729993974E-2</v>
      </c>
    </row>
    <row r="489" spans="1:11" customFormat="1">
      <c r="A489" s="119"/>
      <c r="B489" s="333" t="s">
        <v>1362</v>
      </c>
      <c r="D489">
        <v>0.05</v>
      </c>
      <c r="E489">
        <f t="shared" si="14"/>
        <v>1.8765892870658829E-2</v>
      </c>
      <c r="F489">
        <f t="shared" si="15"/>
        <v>0.13322041307764484</v>
      </c>
      <c r="G489">
        <v>0</v>
      </c>
      <c r="H489">
        <v>0.5</v>
      </c>
      <c r="I489">
        <v>0.05</v>
      </c>
      <c r="J489">
        <v>-0.52172201570306487</v>
      </c>
      <c r="K489">
        <v>2.1941087947969833E-2</v>
      </c>
    </row>
    <row r="490" spans="1:11" customFormat="1">
      <c r="A490" s="119"/>
      <c r="B490" s="333" t="s">
        <v>1363</v>
      </c>
      <c r="D490">
        <v>0.06</v>
      </c>
      <c r="E490">
        <f t="shared" si="14"/>
        <v>2.2519071444790591E-2</v>
      </c>
      <c r="F490">
        <f t="shared" si="15"/>
        <v>0.15986449569317382</v>
      </c>
      <c r="G490">
        <v>0</v>
      </c>
      <c r="H490">
        <v>0.5</v>
      </c>
      <c r="I490">
        <v>0.05</v>
      </c>
      <c r="J490">
        <v>0.1736688047562284</v>
      </c>
      <c r="K490">
        <v>5.2776890674777019E-2</v>
      </c>
    </row>
    <row r="491" spans="1:11" customFormat="1">
      <c r="A491" s="119"/>
      <c r="B491" s="333" t="s">
        <v>1364</v>
      </c>
      <c r="D491">
        <v>7.0000000000000007E-2</v>
      </c>
      <c r="E491">
        <f t="shared" si="14"/>
        <v>2.6272250018922361E-2</v>
      </c>
      <c r="F491">
        <f t="shared" si="15"/>
        <v>0.18650857830870282</v>
      </c>
      <c r="G491">
        <v>0</v>
      </c>
      <c r="H491">
        <v>0.5</v>
      </c>
      <c r="I491">
        <v>0.05</v>
      </c>
      <c r="J491">
        <v>0.37985632399224356</v>
      </c>
      <c r="K491">
        <v>7.5672257772731913E-2</v>
      </c>
    </row>
    <row r="492" spans="1:11" customFormat="1">
      <c r="A492" s="119"/>
      <c r="B492" s="333" t="s">
        <v>1365</v>
      </c>
      <c r="D492">
        <v>0.08</v>
      </c>
      <c r="E492">
        <f t="shared" si="14"/>
        <v>3.0025428593054123E-2</v>
      </c>
      <c r="F492">
        <f t="shared" si="15"/>
        <v>0.21315266092423177</v>
      </c>
      <c r="G492">
        <v>0</v>
      </c>
      <c r="H492">
        <v>0.5</v>
      </c>
      <c r="I492">
        <v>0.05</v>
      </c>
      <c r="J492">
        <v>0.8202027995015817</v>
      </c>
      <c r="K492">
        <v>0.1343286602546038</v>
      </c>
    </row>
    <row r="493" spans="1:11" customFormat="1">
      <c r="A493" s="119"/>
      <c r="B493" s="333" t="s">
        <v>1366</v>
      </c>
      <c r="D493">
        <v>0.09</v>
      </c>
      <c r="E493">
        <f t="shared" si="14"/>
        <v>3.3778607167185885E-2</v>
      </c>
      <c r="F493">
        <f t="shared" si="15"/>
        <v>0.23979674353976071</v>
      </c>
      <c r="G493">
        <v>0</v>
      </c>
      <c r="H493">
        <v>0.5</v>
      </c>
      <c r="I493">
        <v>0.05</v>
      </c>
      <c r="J493">
        <v>-1.6863958151672413E-2</v>
      </c>
      <c r="K493">
        <v>6.5431628874502282E-2</v>
      </c>
    </row>
    <row r="494" spans="1:11" customFormat="1">
      <c r="A494" s="119"/>
      <c r="B494" s="333" t="s">
        <v>1367</v>
      </c>
      <c r="D494">
        <v>0.1</v>
      </c>
      <c r="E494">
        <f t="shared" si="14"/>
        <v>3.7531785741317658E-2</v>
      </c>
      <c r="F494">
        <f t="shared" si="15"/>
        <v>0.26644082615528969</v>
      </c>
      <c r="G494">
        <v>0</v>
      </c>
      <c r="H494">
        <v>0.5</v>
      </c>
      <c r="I494">
        <v>0.05</v>
      </c>
      <c r="J494">
        <v>0.75061650738472563</v>
      </c>
      <c r="K494">
        <v>0.15662379892078615</v>
      </c>
    </row>
    <row r="495" spans="1:11" customFormat="1">
      <c r="A495" s="119"/>
      <c r="B495" s="333" t="s">
        <v>1368</v>
      </c>
      <c r="D495">
        <v>0.12</v>
      </c>
      <c r="E495">
        <f t="shared" si="14"/>
        <v>4.5038142889581183E-2</v>
      </c>
      <c r="F495">
        <f t="shared" si="15"/>
        <v>0.31972899138634764</v>
      </c>
      <c r="G495">
        <v>0</v>
      </c>
      <c r="H495">
        <v>0.5</v>
      </c>
      <c r="I495">
        <v>0.05</v>
      </c>
      <c r="J495">
        <v>0.75735947639839252</v>
      </c>
      <c r="K495">
        <v>0.18922017242029246</v>
      </c>
    </row>
    <row r="496" spans="1:11" customFormat="1">
      <c r="A496" s="119"/>
      <c r="B496" s="333" t="s">
        <v>1369</v>
      </c>
      <c r="D496">
        <v>0.12</v>
      </c>
      <c r="E496">
        <f t="shared" si="14"/>
        <v>4.5038142889581183E-2</v>
      </c>
      <c r="F496">
        <f t="shared" si="15"/>
        <v>0.31972899138634764</v>
      </c>
      <c r="G496">
        <v>0</v>
      </c>
      <c r="H496">
        <v>0.5</v>
      </c>
      <c r="I496">
        <v>0.05</v>
      </c>
      <c r="J496">
        <v>-0.11814932608516754</v>
      </c>
      <c r="K496">
        <v>7.8838579767257333E-2</v>
      </c>
    </row>
    <row r="497" spans="1:11" customFormat="1">
      <c r="A497" s="119"/>
      <c r="B497" s="333" t="s">
        <v>1370</v>
      </c>
      <c r="D497">
        <v>0.12</v>
      </c>
      <c r="E497">
        <f t="shared" si="14"/>
        <v>4.5038142889581183E-2</v>
      </c>
      <c r="F497">
        <f t="shared" si="15"/>
        <v>0.31972899138634764</v>
      </c>
      <c r="G497">
        <v>0</v>
      </c>
      <c r="H497">
        <v>0.5</v>
      </c>
      <c r="I497">
        <v>0.05</v>
      </c>
      <c r="J497">
        <v>0.19611950837069439</v>
      </c>
      <c r="K497">
        <v>0.10795033955762322</v>
      </c>
    </row>
    <row r="498" spans="1:11" customFormat="1">
      <c r="A498" s="119"/>
      <c r="B498" s="333" t="s">
        <v>1371</v>
      </c>
      <c r="D498">
        <v>7.0000000000000007E-2</v>
      </c>
      <c r="E498">
        <f t="shared" si="14"/>
        <v>2.6272250018922361E-2</v>
      </c>
      <c r="F498">
        <f t="shared" si="15"/>
        <v>0.18650857830870282</v>
      </c>
      <c r="G498">
        <v>0</v>
      </c>
      <c r="H498">
        <v>0.5</v>
      </c>
      <c r="I498">
        <v>0.05</v>
      </c>
      <c r="J498">
        <v>-0.2461813533559491</v>
      </c>
      <c r="K498">
        <v>4.0462432053504957E-2</v>
      </c>
    </row>
    <row r="499" spans="1:11" customFormat="1">
      <c r="A499" s="119"/>
      <c r="B499" s="333" t="s">
        <v>1372</v>
      </c>
      <c r="D499">
        <v>7.0000000000000007E-2</v>
      </c>
      <c r="E499">
        <f t="shared" si="14"/>
        <v>2.6272250018922361E-2</v>
      </c>
      <c r="F499">
        <f t="shared" si="15"/>
        <v>0.18650857830870282</v>
      </c>
      <c r="G499">
        <v>0</v>
      </c>
      <c r="H499">
        <v>0.5</v>
      </c>
      <c r="I499">
        <v>0.05</v>
      </c>
      <c r="J499">
        <v>7.699885465410336E-2</v>
      </c>
      <c r="K499">
        <v>5.589942802595696E-2</v>
      </c>
    </row>
    <row r="500" spans="1:11" customFormat="1">
      <c r="A500" s="119"/>
      <c r="B500" s="333" t="s">
        <v>1373</v>
      </c>
      <c r="D500">
        <v>0.12</v>
      </c>
      <c r="E500">
        <f t="shared" si="14"/>
        <v>4.5038142889581183E-2</v>
      </c>
      <c r="F500">
        <f t="shared" si="15"/>
        <v>0.31972899138634764</v>
      </c>
      <c r="G500">
        <v>0</v>
      </c>
      <c r="H500">
        <v>0.5</v>
      </c>
      <c r="I500">
        <v>0.05</v>
      </c>
      <c r="J500">
        <v>0.6040409933838633</v>
      </c>
      <c r="K500">
        <v>0.20833362216850271</v>
      </c>
    </row>
    <row r="501" spans="1:11" customFormat="1">
      <c r="A501" s="119"/>
      <c r="B501" s="333" t="s">
        <v>1374</v>
      </c>
      <c r="D501">
        <v>7.0000000000000007E-2</v>
      </c>
      <c r="E501">
        <f t="shared" si="14"/>
        <v>2.6272250018922361E-2</v>
      </c>
      <c r="F501">
        <f t="shared" si="15"/>
        <v>0.18650857830870282</v>
      </c>
      <c r="G501">
        <v>0</v>
      </c>
      <c r="H501">
        <v>0.5</v>
      </c>
      <c r="I501">
        <v>0.05</v>
      </c>
      <c r="J501">
        <v>-9.3710928444626404E-2</v>
      </c>
      <c r="K501">
        <v>6.0484813978859429E-2</v>
      </c>
    </row>
    <row r="502" spans="1:11" customFormat="1">
      <c r="A502" s="119"/>
      <c r="B502" s="333" t="s">
        <v>1375</v>
      </c>
      <c r="D502">
        <v>7.0000000000000007E-2</v>
      </c>
      <c r="E502">
        <f t="shared" si="14"/>
        <v>2.6272250018922361E-2</v>
      </c>
      <c r="F502">
        <f t="shared" si="15"/>
        <v>0.18650857830870282</v>
      </c>
      <c r="G502">
        <v>0</v>
      </c>
      <c r="H502">
        <v>0.5</v>
      </c>
      <c r="I502">
        <v>0.05</v>
      </c>
      <c r="J502">
        <v>-7.4126014025848744E-2</v>
      </c>
      <c r="K502">
        <v>6.1681080031108101E-2</v>
      </c>
    </row>
    <row r="503" spans="1:11" customFormat="1">
      <c r="A503" s="119"/>
      <c r="B503" s="333" t="s">
        <v>1376</v>
      </c>
      <c r="D503">
        <v>7.0000000000000007E-2</v>
      </c>
      <c r="E503">
        <f t="shared" si="14"/>
        <v>2.6272250018922361E-2</v>
      </c>
      <c r="F503">
        <f t="shared" si="15"/>
        <v>0.18650857830870282</v>
      </c>
      <c r="G503">
        <v>0</v>
      </c>
      <c r="H503">
        <v>0.5</v>
      </c>
      <c r="I503">
        <v>0.05</v>
      </c>
      <c r="J503">
        <v>-0.49374812074387181</v>
      </c>
      <c r="K503">
        <v>4.0542675387409882E-2</v>
      </c>
    </row>
    <row r="504" spans="1:11" customFormat="1">
      <c r="A504" s="119"/>
      <c r="B504" s="333" t="s">
        <v>1377</v>
      </c>
      <c r="D504">
        <v>0.06</v>
      </c>
      <c r="E504">
        <f t="shared" si="14"/>
        <v>2.2519071444790591E-2</v>
      </c>
      <c r="F504">
        <f t="shared" si="15"/>
        <v>0.15986449569317382</v>
      </c>
      <c r="G504">
        <v>0</v>
      </c>
      <c r="H504">
        <v>0.5</v>
      </c>
      <c r="I504">
        <v>0.05</v>
      </c>
      <c r="J504">
        <v>-5.9806172194923714E-2</v>
      </c>
      <c r="K504">
        <v>5.3632026627103639E-2</v>
      </c>
    </row>
    <row r="505" spans="1:11" customFormat="1">
      <c r="A505" s="119"/>
      <c r="B505" s="333" t="s">
        <v>1378</v>
      </c>
      <c r="D505">
        <v>0.05</v>
      </c>
      <c r="E505">
        <f t="shared" si="14"/>
        <v>1.8765892870658829E-2</v>
      </c>
      <c r="F505">
        <f t="shared" si="15"/>
        <v>0.13322041307764484</v>
      </c>
      <c r="G505">
        <v>0</v>
      </c>
      <c r="H505">
        <v>0.5</v>
      </c>
      <c r="I505">
        <v>0.05</v>
      </c>
      <c r="J505">
        <v>-0.39768751497747262</v>
      </c>
      <c r="K505">
        <v>3.1878872993025116E-2</v>
      </c>
    </row>
    <row r="506" spans="1:11" customFormat="1">
      <c r="A506" s="119"/>
      <c r="B506" s="333" t="s">
        <v>1379</v>
      </c>
      <c r="D506">
        <v>0.06</v>
      </c>
      <c r="E506">
        <f t="shared" si="14"/>
        <v>2.2519071444790591E-2</v>
      </c>
      <c r="F506">
        <f t="shared" si="15"/>
        <v>0.15986449569317382</v>
      </c>
      <c r="G506">
        <v>0</v>
      </c>
      <c r="H506">
        <v>0.5</v>
      </c>
      <c r="I506">
        <v>0.05</v>
      </c>
      <c r="J506">
        <v>-0.49671833679791205</v>
      </c>
      <c r="K506">
        <v>3.464780017939624E-2</v>
      </c>
    </row>
    <row r="507" spans="1:11" customFormat="1">
      <c r="A507" s="119"/>
      <c r="B507" s="333" t="s">
        <v>1380</v>
      </c>
      <c r="D507">
        <v>7.0000000000000007E-2</v>
      </c>
      <c r="E507">
        <f t="shared" si="14"/>
        <v>2.6272250018922361E-2</v>
      </c>
      <c r="F507">
        <f t="shared" si="15"/>
        <v>0.18650857830870282</v>
      </c>
      <c r="G507">
        <v>0</v>
      </c>
      <c r="H507">
        <v>0.5</v>
      </c>
      <c r="I507">
        <v>0.05</v>
      </c>
      <c r="J507">
        <v>-0.4273745711830742</v>
      </c>
      <c r="K507">
        <v>4.3324950027884189E-2</v>
      </c>
    </row>
    <row r="508" spans="1:11" customFormat="1">
      <c r="A508" s="119"/>
      <c r="B508" s="333" t="s">
        <v>1381</v>
      </c>
      <c r="D508">
        <v>0.08</v>
      </c>
      <c r="E508">
        <f t="shared" si="14"/>
        <v>3.0025428593054123E-2</v>
      </c>
      <c r="F508">
        <f t="shared" si="15"/>
        <v>0.21315266092423177</v>
      </c>
      <c r="G508">
        <v>0</v>
      </c>
      <c r="H508">
        <v>0.5</v>
      </c>
      <c r="I508">
        <v>0.05</v>
      </c>
      <c r="J508">
        <v>-0.49839480728042423</v>
      </c>
      <c r="K508">
        <v>4.6119683770210841E-2</v>
      </c>
    </row>
    <row r="509" spans="1:11" customFormat="1">
      <c r="A509" s="119"/>
      <c r="B509" s="333" t="s">
        <v>1382</v>
      </c>
      <c r="D509">
        <v>0.11</v>
      </c>
      <c r="E509">
        <f t="shared" si="14"/>
        <v>4.1284964315449417E-2</v>
      </c>
      <c r="F509">
        <f t="shared" si="15"/>
        <v>0.29308490877081866</v>
      </c>
      <c r="G509">
        <v>0</v>
      </c>
      <c r="H509">
        <v>0.5</v>
      </c>
      <c r="I509">
        <v>0.05</v>
      </c>
      <c r="J509">
        <v>0.80665184453168359</v>
      </c>
      <c r="K509">
        <v>0.23386411034127819</v>
      </c>
    </row>
    <row r="510" spans="1:11" customFormat="1">
      <c r="A510" s="119"/>
      <c r="B510" s="333" t="s">
        <v>1383</v>
      </c>
      <c r="D510">
        <v>0.12</v>
      </c>
      <c r="E510">
        <f t="shared" si="14"/>
        <v>4.5038142889581183E-2</v>
      </c>
      <c r="F510">
        <f t="shared" si="15"/>
        <v>0.31972899138634764</v>
      </c>
      <c r="G510">
        <v>0</v>
      </c>
      <c r="H510">
        <v>0.5</v>
      </c>
      <c r="I510">
        <v>0.05</v>
      </c>
      <c r="J510">
        <v>4.2194693279887133E-2</v>
      </c>
      <c r="K510">
        <v>0.11878254248750797</v>
      </c>
    </row>
    <row r="511" spans="1:11" customFormat="1">
      <c r="A511" s="119"/>
      <c r="B511" s="333" t="s">
        <v>1384</v>
      </c>
      <c r="D511">
        <v>0.12</v>
      </c>
      <c r="E511">
        <f t="shared" si="14"/>
        <v>4.5038142889581183E-2</v>
      </c>
      <c r="F511">
        <f t="shared" si="15"/>
        <v>0.31972899138634764</v>
      </c>
      <c r="G511">
        <v>0</v>
      </c>
      <c r="H511">
        <v>0.5</v>
      </c>
      <c r="I511">
        <v>0.05</v>
      </c>
      <c r="J511">
        <v>-0.53477753656650107</v>
      </c>
      <c r="K511">
        <v>6.6707822007713594E-2</v>
      </c>
    </row>
    <row r="512" spans="1:11" customFormat="1">
      <c r="A512" s="119"/>
      <c r="B512" s="333" t="s">
        <v>1385</v>
      </c>
      <c r="D512">
        <v>0.12</v>
      </c>
      <c r="E512">
        <f t="shared" si="14"/>
        <v>4.5038142889581183E-2</v>
      </c>
      <c r="F512">
        <f t="shared" si="15"/>
        <v>0.31972899138634764</v>
      </c>
      <c r="G512">
        <v>0</v>
      </c>
      <c r="H512">
        <v>0.5</v>
      </c>
      <c r="I512">
        <v>0.05</v>
      </c>
      <c r="J512">
        <v>-0.40296302212424834</v>
      </c>
      <c r="K512">
        <v>9.8569259476683879E-2</v>
      </c>
    </row>
    <row r="513" spans="1:11" customFormat="1">
      <c r="A513" s="119"/>
      <c r="B513" s="333" t="s">
        <v>1386</v>
      </c>
      <c r="D513">
        <v>7.0000000000000007E-2</v>
      </c>
      <c r="E513">
        <f t="shared" si="14"/>
        <v>2.6272250018922361E-2</v>
      </c>
      <c r="F513">
        <f t="shared" si="15"/>
        <v>0.18650857830870282</v>
      </c>
      <c r="G513">
        <v>0</v>
      </c>
      <c r="H513">
        <v>0.5</v>
      </c>
      <c r="I513">
        <v>0.05</v>
      </c>
      <c r="J513">
        <v>-0.10693909757368311</v>
      </c>
      <c r="K513">
        <v>7.7307182370140434E-2</v>
      </c>
    </row>
    <row r="514" spans="1:11" customFormat="1">
      <c r="A514" s="119"/>
      <c r="B514" s="333" t="s">
        <v>1387</v>
      </c>
      <c r="D514">
        <v>7.0000000000000007E-2</v>
      </c>
      <c r="E514">
        <f t="shared" si="14"/>
        <v>2.6272250018922361E-2</v>
      </c>
      <c r="F514">
        <f t="shared" si="15"/>
        <v>0.18650857830870282</v>
      </c>
      <c r="G514">
        <v>0</v>
      </c>
      <c r="H514">
        <v>0.5</v>
      </c>
      <c r="I514">
        <v>0.05</v>
      </c>
      <c r="J514">
        <v>0.19641837418138558</v>
      </c>
      <c r="K514">
        <v>0.10470473471238718</v>
      </c>
    </row>
    <row r="515" spans="1:11" customFormat="1">
      <c r="A515" s="119"/>
      <c r="B515" s="333" t="s">
        <v>1388</v>
      </c>
      <c r="D515">
        <v>7.0000000000000007E-2</v>
      </c>
      <c r="E515">
        <f t="shared" si="14"/>
        <v>2.6272250018922361E-2</v>
      </c>
      <c r="F515">
        <f t="shared" si="15"/>
        <v>0.18650857830870282</v>
      </c>
      <c r="G515">
        <v>0</v>
      </c>
      <c r="H515">
        <v>0.5</v>
      </c>
      <c r="I515">
        <v>0.05</v>
      </c>
      <c r="J515">
        <v>0.18867979646286259</v>
      </c>
      <c r="K515">
        <v>0.10389759606588431</v>
      </c>
    </row>
    <row r="516" spans="1:11" customFormat="1">
      <c r="A516" s="119"/>
      <c r="B516" s="333" t="s">
        <v>1389</v>
      </c>
      <c r="D516">
        <v>0.06</v>
      </c>
      <c r="E516">
        <f t="shared" ref="E516:E547" si="16">CalcMin(D516,G516,H516,I516)</f>
        <v>2.2519071444790591E-2</v>
      </c>
      <c r="F516">
        <f t="shared" ref="F516:F547" si="17">CalcMax(D516,G516,H516,I516)</f>
        <v>0.15986449569317382</v>
      </c>
      <c r="G516">
        <v>0</v>
      </c>
      <c r="H516">
        <v>0.5</v>
      </c>
      <c r="I516">
        <v>0.05</v>
      </c>
      <c r="J516">
        <v>-0.5237375189081952</v>
      </c>
      <c r="K516">
        <v>4.3677703986391356E-2</v>
      </c>
    </row>
    <row r="517" spans="1:11" customFormat="1">
      <c r="A517" s="119"/>
      <c r="B517" s="333" t="s">
        <v>1390</v>
      </c>
      <c r="D517">
        <v>0.05</v>
      </c>
      <c r="E517">
        <f t="shared" si="16"/>
        <v>1.8765892870658829E-2</v>
      </c>
      <c r="F517">
        <f t="shared" si="17"/>
        <v>0.13322041307764484</v>
      </c>
      <c r="G517">
        <v>0</v>
      </c>
      <c r="H517">
        <v>0.5</v>
      </c>
      <c r="I517">
        <v>0.05</v>
      </c>
      <c r="J517">
        <v>-0.28064054555441781</v>
      </c>
      <c r="K517">
        <v>4.6414559029374039E-2</v>
      </c>
    </row>
    <row r="518" spans="1:11" customFormat="1">
      <c r="A518" s="119"/>
      <c r="B518" s="333" t="s">
        <v>1391</v>
      </c>
      <c r="D518">
        <v>0.06</v>
      </c>
      <c r="E518">
        <f t="shared" si="16"/>
        <v>2.2519071444790591E-2</v>
      </c>
      <c r="F518">
        <f t="shared" si="17"/>
        <v>0.15986449569317382</v>
      </c>
      <c r="G518">
        <v>0</v>
      </c>
      <c r="H518">
        <v>0.5</v>
      </c>
      <c r="I518">
        <v>0.05</v>
      </c>
      <c r="J518">
        <v>-0.23006618351361177</v>
      </c>
      <c r="K518">
        <v>5.8586781591984931E-2</v>
      </c>
    </row>
    <row r="519" spans="1:11" customFormat="1">
      <c r="A519" s="119"/>
      <c r="B519" s="333" t="s">
        <v>1392</v>
      </c>
      <c r="D519">
        <v>7.0000000000000007E-2</v>
      </c>
      <c r="E519">
        <f t="shared" si="16"/>
        <v>2.6272250018922361E-2</v>
      </c>
      <c r="F519">
        <f t="shared" si="17"/>
        <v>0.18650857830870282</v>
      </c>
      <c r="G519">
        <v>0</v>
      </c>
      <c r="H519">
        <v>0.5</v>
      </c>
      <c r="I519">
        <v>0.05</v>
      </c>
      <c r="J519">
        <v>-0.39096901092504227</v>
      </c>
      <c r="K519">
        <v>5.8192527524902442E-2</v>
      </c>
    </row>
    <row r="520" spans="1:11" customFormat="1">
      <c r="A520" s="119"/>
      <c r="B520" s="333" t="s">
        <v>1393</v>
      </c>
      <c r="D520">
        <v>0.08</v>
      </c>
      <c r="E520">
        <f t="shared" si="16"/>
        <v>3.0025428593054123E-2</v>
      </c>
      <c r="F520">
        <f t="shared" si="17"/>
        <v>0.21315266092423177</v>
      </c>
      <c r="G520">
        <v>0</v>
      </c>
      <c r="H520">
        <v>0.5</v>
      </c>
      <c r="I520">
        <v>0.05</v>
      </c>
      <c r="J520">
        <v>-0.36108925212838966</v>
      </c>
      <c r="K520">
        <v>6.852290746235179E-2</v>
      </c>
    </row>
    <row r="521" spans="1:11" customFormat="1">
      <c r="A521" s="119"/>
      <c r="B521" s="333" t="s">
        <v>1394</v>
      </c>
      <c r="D521">
        <v>0.11</v>
      </c>
      <c r="E521">
        <f t="shared" si="16"/>
        <v>4.1284964315449417E-2</v>
      </c>
      <c r="F521">
        <f t="shared" si="17"/>
        <v>0.29308490877081866</v>
      </c>
      <c r="G521">
        <v>0</v>
      </c>
      <c r="H521">
        <v>0.5</v>
      </c>
      <c r="I521">
        <v>0.05</v>
      </c>
      <c r="J521">
        <v>-0.74473388656094275</v>
      </c>
      <c r="K521">
        <v>6.4198330235095358E-2</v>
      </c>
    </row>
    <row r="522" spans="1:11" customFormat="1">
      <c r="A522" s="119"/>
      <c r="B522" s="333" t="s">
        <v>1395</v>
      </c>
      <c r="D522">
        <v>0.12</v>
      </c>
      <c r="E522">
        <f t="shared" si="16"/>
        <v>4.5038142889581183E-2</v>
      </c>
      <c r="F522">
        <f t="shared" si="17"/>
        <v>0.31972899138634764</v>
      </c>
      <c r="G522">
        <v>0</v>
      </c>
      <c r="H522">
        <v>0.5</v>
      </c>
      <c r="I522">
        <v>0.05</v>
      </c>
      <c r="J522">
        <v>-0.54908117118202304</v>
      </c>
      <c r="K522">
        <v>8.5169321604412151E-2</v>
      </c>
    </row>
    <row r="523" spans="1:11" customFormat="1">
      <c r="A523" s="119"/>
      <c r="B523" s="333" t="s">
        <v>1396</v>
      </c>
      <c r="D523">
        <v>0.12</v>
      </c>
      <c r="E523">
        <f t="shared" si="16"/>
        <v>4.5038142889581183E-2</v>
      </c>
      <c r="F523">
        <f t="shared" si="17"/>
        <v>0.31972899138634764</v>
      </c>
      <c r="G523">
        <v>0</v>
      </c>
      <c r="H523">
        <v>0.5</v>
      </c>
      <c r="I523">
        <v>0.05</v>
      </c>
      <c r="J523">
        <v>0.25728888905822012</v>
      </c>
      <c r="K523">
        <v>0.19075909594039195</v>
      </c>
    </row>
    <row r="524" spans="1:11" customFormat="1">
      <c r="A524" s="119"/>
      <c r="B524" s="333" t="s">
        <v>1397</v>
      </c>
      <c r="D524">
        <v>0.05</v>
      </c>
      <c r="E524">
        <f t="shared" si="16"/>
        <v>1.8765892870658829E-2</v>
      </c>
      <c r="F524">
        <f t="shared" si="17"/>
        <v>0.13322041307764484</v>
      </c>
      <c r="G524">
        <v>0</v>
      </c>
      <c r="H524">
        <v>0.5</v>
      </c>
      <c r="I524">
        <v>0.05</v>
      </c>
      <c r="J524">
        <v>-0.37656835583793702</v>
      </c>
      <c r="K524">
        <v>3.5938609674804986E-2</v>
      </c>
    </row>
    <row r="525" spans="1:11" customFormat="1">
      <c r="A525" s="119"/>
      <c r="B525" s="333" t="s">
        <v>1398</v>
      </c>
      <c r="D525">
        <v>0.05</v>
      </c>
      <c r="E525">
        <f t="shared" si="16"/>
        <v>1.8765892870658829E-2</v>
      </c>
      <c r="F525">
        <f t="shared" si="17"/>
        <v>0.13322041307764484</v>
      </c>
      <c r="G525">
        <v>0</v>
      </c>
      <c r="H525">
        <v>0.5</v>
      </c>
      <c r="I525">
        <v>0.05</v>
      </c>
      <c r="J525">
        <v>0.41561644520400381</v>
      </c>
      <c r="K525">
        <v>7.9360201102764136E-2</v>
      </c>
    </row>
    <row r="526" spans="1:11" customFormat="1">
      <c r="A526" s="119"/>
      <c r="B526" s="333" t="s">
        <v>1399</v>
      </c>
      <c r="D526">
        <v>0.06</v>
      </c>
      <c r="E526">
        <f t="shared" si="16"/>
        <v>2.2519071444790591E-2</v>
      </c>
      <c r="F526">
        <f t="shared" si="17"/>
        <v>0.15986449569317382</v>
      </c>
      <c r="G526">
        <v>0</v>
      </c>
      <c r="H526">
        <v>0.5</v>
      </c>
      <c r="I526">
        <v>0.05</v>
      </c>
      <c r="J526">
        <v>0.48677927058268661</v>
      </c>
      <c r="K526">
        <v>0.10225619493030016</v>
      </c>
    </row>
    <row r="527" spans="1:11" customFormat="1">
      <c r="A527" s="119"/>
      <c r="B527" s="333" t="s">
        <v>1400</v>
      </c>
      <c r="D527">
        <v>7.0000000000000007E-2</v>
      </c>
      <c r="E527">
        <f t="shared" si="16"/>
        <v>2.6272250018922361E-2</v>
      </c>
      <c r="F527">
        <f t="shared" si="17"/>
        <v>0.18650857830870282</v>
      </c>
      <c r="G527">
        <v>0</v>
      </c>
      <c r="H527">
        <v>0.5</v>
      </c>
      <c r="I527">
        <v>0.05</v>
      </c>
      <c r="J527">
        <v>0.1675597285531073</v>
      </c>
      <c r="K527">
        <v>8.6696413573854103E-2</v>
      </c>
    </row>
    <row r="528" spans="1:11" customFormat="1">
      <c r="A528" s="119"/>
      <c r="B528" s="333" t="s">
        <v>1401</v>
      </c>
      <c r="D528">
        <v>0.08</v>
      </c>
      <c r="E528">
        <f t="shared" si="16"/>
        <v>3.0025428593054123E-2</v>
      </c>
      <c r="F528">
        <f t="shared" si="17"/>
        <v>0.21315266092423177</v>
      </c>
      <c r="G528">
        <v>0</v>
      </c>
      <c r="H528">
        <v>0.5</v>
      </c>
      <c r="I528">
        <v>0.05</v>
      </c>
      <c r="J528">
        <v>-0.31234577483539305</v>
      </c>
      <c r="K528">
        <v>6.1315851979239874E-2</v>
      </c>
    </row>
    <row r="529" spans="1:11" customFormat="1">
      <c r="A529" s="119"/>
      <c r="B529" s="333" t="s">
        <v>1402</v>
      </c>
      <c r="D529">
        <v>0.12</v>
      </c>
      <c r="E529">
        <f t="shared" si="16"/>
        <v>4.5038142889581183E-2</v>
      </c>
      <c r="F529">
        <f t="shared" si="17"/>
        <v>0.31972899138634764</v>
      </c>
      <c r="G529">
        <v>0</v>
      </c>
      <c r="H529">
        <v>0.5</v>
      </c>
      <c r="I529">
        <v>0.05</v>
      </c>
      <c r="J529">
        <v>-8.7865482867349631E-2</v>
      </c>
      <c r="K529">
        <v>0.11512100658304125</v>
      </c>
    </row>
    <row r="530" spans="1:11" customFormat="1">
      <c r="A530" s="119"/>
      <c r="B530" s="333" t="s">
        <v>1403</v>
      </c>
      <c r="D530">
        <v>0.12</v>
      </c>
      <c r="E530">
        <f t="shared" si="16"/>
        <v>4.5038142889581183E-2</v>
      </c>
      <c r="F530">
        <f t="shared" si="17"/>
        <v>0.31972899138634764</v>
      </c>
      <c r="G530">
        <v>0</v>
      </c>
      <c r="H530">
        <v>0.5</v>
      </c>
      <c r="I530">
        <v>0.05</v>
      </c>
      <c r="J530">
        <v>-0.77867350177415162</v>
      </c>
      <c r="K530">
        <v>5.7695304212662966E-2</v>
      </c>
    </row>
    <row r="531" spans="1:11" customFormat="1">
      <c r="A531" s="119"/>
      <c r="B531" s="333" t="s">
        <v>1404</v>
      </c>
      <c r="D531">
        <v>0.12</v>
      </c>
      <c r="E531">
        <f t="shared" si="16"/>
        <v>4.5038142889581183E-2</v>
      </c>
      <c r="F531">
        <f t="shared" si="17"/>
        <v>0.31972899138634764</v>
      </c>
      <c r="G531">
        <v>0</v>
      </c>
      <c r="H531">
        <v>0.5</v>
      </c>
      <c r="I531">
        <v>0.05</v>
      </c>
      <c r="J531">
        <v>-0.3046277064216884</v>
      </c>
      <c r="K531">
        <v>9.2686384314344755E-2</v>
      </c>
    </row>
    <row r="532" spans="1:11" customFormat="1">
      <c r="A532" s="119"/>
      <c r="B532" s="333" t="s">
        <v>1405</v>
      </c>
      <c r="D532">
        <v>0.1</v>
      </c>
      <c r="E532">
        <f t="shared" si="16"/>
        <v>3.7531785741317658E-2</v>
      </c>
      <c r="F532">
        <f t="shared" si="17"/>
        <v>0.26644082615528969</v>
      </c>
      <c r="G532">
        <v>0</v>
      </c>
      <c r="H532">
        <v>0.5</v>
      </c>
      <c r="I532">
        <v>0.05</v>
      </c>
      <c r="J532">
        <v>-0.53919738874418599</v>
      </c>
      <c r="K532">
        <v>6.1088909979663049E-2</v>
      </c>
    </row>
    <row r="533" spans="1:11" customFormat="1">
      <c r="A533" s="119"/>
      <c r="B533" s="333" t="s">
        <v>1406</v>
      </c>
      <c r="D533">
        <v>0.09</v>
      </c>
      <c r="E533">
        <f t="shared" si="16"/>
        <v>3.3778607167185885E-2</v>
      </c>
      <c r="F533">
        <f t="shared" si="17"/>
        <v>0.23979674353976071</v>
      </c>
      <c r="G533">
        <v>0</v>
      </c>
      <c r="H533">
        <v>0.5</v>
      </c>
      <c r="I533">
        <v>0.05</v>
      </c>
      <c r="J533">
        <v>0.54511656969862454</v>
      </c>
      <c r="K533">
        <v>0.16259846982956594</v>
      </c>
    </row>
    <row r="534" spans="1:11" customFormat="1">
      <c r="A534" s="119"/>
      <c r="B534" s="333" t="s">
        <v>1407</v>
      </c>
      <c r="D534">
        <v>7.0000000000000007E-2</v>
      </c>
      <c r="E534">
        <f t="shared" si="16"/>
        <v>2.6272250018922361E-2</v>
      </c>
      <c r="F534">
        <f t="shared" si="17"/>
        <v>0.18650857830870282</v>
      </c>
      <c r="G534">
        <v>0</v>
      </c>
      <c r="H534">
        <v>0.5</v>
      </c>
      <c r="I534">
        <v>0.05</v>
      </c>
      <c r="J534">
        <v>0.31623932719863451</v>
      </c>
      <c r="K534">
        <v>0.10059394989478489</v>
      </c>
    </row>
    <row r="535" spans="1:11" customFormat="1">
      <c r="A535" s="119"/>
      <c r="B535" s="333" t="s">
        <v>1408</v>
      </c>
      <c r="D535">
        <v>7.0000000000000007E-2</v>
      </c>
      <c r="E535">
        <f t="shared" si="16"/>
        <v>2.6272250018922361E-2</v>
      </c>
      <c r="F535">
        <f t="shared" si="17"/>
        <v>0.18650857830870282</v>
      </c>
      <c r="G535">
        <v>0</v>
      </c>
      <c r="H535">
        <v>0.5</v>
      </c>
      <c r="I535">
        <v>0.05</v>
      </c>
      <c r="J535">
        <v>-0.49602750898261916</v>
      </c>
      <c r="K535">
        <v>4.4648703924973693E-2</v>
      </c>
    </row>
    <row r="536" spans="1:11" customFormat="1">
      <c r="A536" s="119"/>
      <c r="B536" s="333" t="s">
        <v>1409</v>
      </c>
      <c r="D536">
        <v>0.06</v>
      </c>
      <c r="E536">
        <f t="shared" si="16"/>
        <v>2.2519071444790591E-2</v>
      </c>
      <c r="F536">
        <f t="shared" si="17"/>
        <v>0.15986449569317382</v>
      </c>
      <c r="G536">
        <v>0</v>
      </c>
      <c r="H536">
        <v>0.5</v>
      </c>
      <c r="I536">
        <v>0.05</v>
      </c>
      <c r="J536">
        <v>0.19341969684555388</v>
      </c>
      <c r="K536">
        <v>5.7335654721417134E-2</v>
      </c>
    </row>
    <row r="537" spans="1:11" customFormat="1">
      <c r="A537" s="119"/>
      <c r="B537" s="333" t="s">
        <v>1410</v>
      </c>
      <c r="D537">
        <v>0.06</v>
      </c>
      <c r="E537">
        <f t="shared" si="16"/>
        <v>2.2519071444790591E-2</v>
      </c>
      <c r="F537">
        <f t="shared" si="17"/>
        <v>0.15986449569317382</v>
      </c>
      <c r="G537">
        <v>0</v>
      </c>
      <c r="H537">
        <v>0.5</v>
      </c>
      <c r="I537">
        <v>0.05</v>
      </c>
      <c r="J537">
        <v>0.75400127104977743</v>
      </c>
      <c r="K537">
        <v>0.10043434705113038</v>
      </c>
    </row>
    <row r="538" spans="1:11" customFormat="1">
      <c r="A538" s="119"/>
      <c r="B538" s="333" t="s">
        <v>1411</v>
      </c>
      <c r="D538">
        <v>0.06</v>
      </c>
      <c r="E538">
        <f t="shared" si="16"/>
        <v>2.2519071444790591E-2</v>
      </c>
      <c r="F538">
        <f t="shared" si="17"/>
        <v>0.15986449569317382</v>
      </c>
      <c r="G538">
        <v>0</v>
      </c>
      <c r="H538">
        <v>0.5</v>
      </c>
      <c r="I538">
        <v>0.05</v>
      </c>
      <c r="J538">
        <v>0.26304973643856117</v>
      </c>
      <c r="K538">
        <v>6.1470213014007777E-2</v>
      </c>
    </row>
    <row r="539" spans="1:11" customFormat="1">
      <c r="A539" s="119"/>
      <c r="B539" s="333" t="s">
        <v>1412</v>
      </c>
      <c r="D539">
        <v>7.0000000000000007E-2</v>
      </c>
      <c r="E539">
        <f t="shared" si="16"/>
        <v>2.6272250018922361E-2</v>
      </c>
      <c r="F539">
        <f t="shared" si="17"/>
        <v>0.18650857830870282</v>
      </c>
      <c r="G539">
        <v>0</v>
      </c>
      <c r="H539">
        <v>0.5</v>
      </c>
      <c r="I539">
        <v>0.05</v>
      </c>
      <c r="J539">
        <v>0.68631259233780584</v>
      </c>
      <c r="K539">
        <v>0.10950456654258386</v>
      </c>
    </row>
    <row r="540" spans="1:11" customFormat="1">
      <c r="A540" s="119"/>
      <c r="B540" s="333" t="s">
        <v>1413</v>
      </c>
      <c r="D540">
        <v>0.08</v>
      </c>
      <c r="E540">
        <f t="shared" si="16"/>
        <v>3.0025428593054123E-2</v>
      </c>
      <c r="F540">
        <f t="shared" si="17"/>
        <v>0.21315266092423177</v>
      </c>
      <c r="G540">
        <v>0</v>
      </c>
      <c r="H540">
        <v>0.5</v>
      </c>
      <c r="I540">
        <v>0.05</v>
      </c>
      <c r="J540">
        <v>-2.0016454925617752E-2</v>
      </c>
      <c r="K540">
        <v>6.1754608069637604E-2</v>
      </c>
    </row>
    <row r="541" spans="1:11" customFormat="1">
      <c r="A541" s="119"/>
      <c r="B541" s="333" t="s">
        <v>1414</v>
      </c>
      <c r="D541">
        <v>0.11</v>
      </c>
      <c r="E541">
        <f t="shared" si="16"/>
        <v>4.1284964315449417E-2</v>
      </c>
      <c r="F541">
        <f t="shared" si="17"/>
        <v>0.29308490877081866</v>
      </c>
      <c r="G541">
        <v>0</v>
      </c>
      <c r="H541">
        <v>0.5</v>
      </c>
      <c r="I541">
        <v>0.05</v>
      </c>
      <c r="J541">
        <v>-0.56183812447010262</v>
      </c>
      <c r="K541">
        <v>4.9392602148831267E-2</v>
      </c>
    </row>
    <row r="542" spans="1:11" customFormat="1">
      <c r="A542" s="119"/>
      <c r="B542" s="333" t="s">
        <v>1415</v>
      </c>
      <c r="D542">
        <v>0.11</v>
      </c>
      <c r="E542">
        <f t="shared" si="16"/>
        <v>4.1284964315449417E-2</v>
      </c>
      <c r="F542">
        <f t="shared" si="17"/>
        <v>0.29308490877081866</v>
      </c>
      <c r="G542">
        <v>0</v>
      </c>
      <c r="H542">
        <v>0.5</v>
      </c>
      <c r="I542">
        <v>0.05</v>
      </c>
      <c r="J542">
        <v>0.13801649228221591</v>
      </c>
      <c r="K542">
        <v>9.9450026887276999E-2</v>
      </c>
    </row>
    <row r="543" spans="1:11" customFormat="1">
      <c r="A543" s="119"/>
      <c r="B543" s="333" t="s">
        <v>1416</v>
      </c>
      <c r="D543">
        <v>0.11</v>
      </c>
      <c r="E543">
        <f t="shared" si="16"/>
        <v>4.1284964315449417E-2</v>
      </c>
      <c r="F543">
        <f t="shared" si="17"/>
        <v>0.29308490877081866</v>
      </c>
      <c r="G543">
        <v>0</v>
      </c>
      <c r="H543">
        <v>0.5</v>
      </c>
      <c r="I543">
        <v>0.05</v>
      </c>
      <c r="J543">
        <v>-0.14421704632480745</v>
      </c>
      <c r="K543">
        <v>7.499502192894221E-2</v>
      </c>
    </row>
    <row r="544" spans="1:11" customFormat="1">
      <c r="A544" s="119"/>
      <c r="B544" s="333" t="s">
        <v>1417</v>
      </c>
      <c r="D544">
        <v>0.11</v>
      </c>
      <c r="E544">
        <f t="shared" si="16"/>
        <v>4.1284964315449417E-2</v>
      </c>
      <c r="F544">
        <f t="shared" si="17"/>
        <v>0.29308490877081866</v>
      </c>
      <c r="G544">
        <v>0</v>
      </c>
      <c r="H544">
        <v>0.5</v>
      </c>
      <c r="I544">
        <v>0.05</v>
      </c>
      <c r="J544">
        <v>0.70102450716325482</v>
      </c>
      <c r="K544">
        <v>0.17462892438536587</v>
      </c>
    </row>
    <row r="545" spans="1:18">
      <c r="A545" s="119"/>
      <c r="B545" s="333" t="s">
        <v>1418</v>
      </c>
      <c r="D545">
        <v>0.1</v>
      </c>
      <c r="E545">
        <f t="shared" si="16"/>
        <v>3.7531785741317658E-2</v>
      </c>
      <c r="F545">
        <f t="shared" si="17"/>
        <v>0.26644082615528969</v>
      </c>
      <c r="G545">
        <v>0</v>
      </c>
      <c r="H545">
        <v>0.5</v>
      </c>
      <c r="I545">
        <v>0.05</v>
      </c>
      <c r="J545">
        <v>0.14227106245255988</v>
      </c>
      <c r="K545">
        <v>9.0794586703367444E-2</v>
      </c>
      <c r="O545"/>
      <c r="R545"/>
    </row>
    <row r="546" spans="1:18">
      <c r="A546" s="119"/>
      <c r="B546" s="333" t="s">
        <v>1419</v>
      </c>
      <c r="D546">
        <v>0.06</v>
      </c>
      <c r="E546">
        <f t="shared" si="16"/>
        <v>2.2519071444790591E-2</v>
      </c>
      <c r="F546">
        <f t="shared" si="17"/>
        <v>0.15986449569317382</v>
      </c>
      <c r="G546">
        <v>0</v>
      </c>
      <c r="H546">
        <v>0.5</v>
      </c>
      <c r="I546">
        <v>0.05</v>
      </c>
      <c r="J546">
        <v>0.2451348110004411</v>
      </c>
      <c r="K546">
        <v>6.0378784353253223E-2</v>
      </c>
      <c r="O546"/>
      <c r="R546"/>
    </row>
    <row r="547" spans="1:18">
      <c r="A547" s="119"/>
      <c r="B547" s="333" t="s">
        <v>1420</v>
      </c>
      <c r="D547">
        <v>7.0000000000000007E-2</v>
      </c>
      <c r="E547">
        <f t="shared" si="16"/>
        <v>2.6272250018922361E-2</v>
      </c>
      <c r="F547">
        <f t="shared" si="17"/>
        <v>0.18650857830870282</v>
      </c>
      <c r="G547">
        <v>0</v>
      </c>
      <c r="H547">
        <v>0.5</v>
      </c>
      <c r="I547">
        <v>0.05</v>
      </c>
      <c r="J547">
        <v>8.2365938521864232E-2</v>
      </c>
      <c r="K547">
        <v>5.9860664194186293E-2</v>
      </c>
      <c r="O547"/>
      <c r="R547"/>
    </row>
    <row r="548" spans="1:18">
      <c r="A548" s="119"/>
      <c r="B548" s="334"/>
      <c r="G548"/>
      <c r="I548"/>
      <c r="O548"/>
      <c r="R548"/>
    </row>
    <row r="549" spans="1:18">
      <c r="A549" s="388">
        <v>1.623</v>
      </c>
      <c r="B549" s="392" t="s">
        <v>444</v>
      </c>
      <c r="G549"/>
      <c r="I549"/>
      <c r="O549"/>
      <c r="R549"/>
    </row>
    <row r="550" spans="1:18">
      <c r="A550" s="119"/>
      <c r="B550" s="333" t="s">
        <v>1325</v>
      </c>
      <c r="D550">
        <v>0.06</v>
      </c>
      <c r="E550">
        <f t="shared" ref="E550:E581" si="18">CalcMin(D550,G550,H550,I550)</f>
        <v>2.2519071444790591E-2</v>
      </c>
      <c r="F550">
        <f t="shared" ref="F550:F581" si="19">CalcMax(D550,G550,H550,I550)</f>
        <v>0.15986449569317382</v>
      </c>
      <c r="G550">
        <v>0</v>
      </c>
      <c r="H550">
        <v>0.5</v>
      </c>
      <c r="I550">
        <v>0.05</v>
      </c>
      <c r="J550">
        <v>-0.23391939432676817</v>
      </c>
      <c r="K550">
        <v>4.5866600884499474E-2</v>
      </c>
      <c r="O550"/>
      <c r="R550"/>
    </row>
    <row r="551" spans="1:18">
      <c r="A551" s="119"/>
      <c r="B551" s="333" t="s">
        <v>1326</v>
      </c>
      <c r="D551">
        <v>0.06</v>
      </c>
      <c r="E551">
        <f t="shared" si="18"/>
        <v>2.2519071444790591E-2</v>
      </c>
      <c r="F551">
        <f t="shared" si="19"/>
        <v>0.15986449569317382</v>
      </c>
      <c r="G551">
        <v>0</v>
      </c>
      <c r="H551">
        <v>0.5</v>
      </c>
      <c r="I551">
        <v>0.05</v>
      </c>
      <c r="J551">
        <v>0.76448394526841357</v>
      </c>
      <c r="K551">
        <v>0.12447943757461162</v>
      </c>
      <c r="O551"/>
      <c r="R551"/>
    </row>
    <row r="552" spans="1:18">
      <c r="A552" s="119"/>
      <c r="B552" s="333" t="s">
        <v>1327</v>
      </c>
      <c r="D552">
        <v>0.06</v>
      </c>
      <c r="E552">
        <f t="shared" si="18"/>
        <v>2.2519071444790591E-2</v>
      </c>
      <c r="F552">
        <f t="shared" si="19"/>
        <v>0.15986449569317382</v>
      </c>
      <c r="G552">
        <v>0</v>
      </c>
      <c r="H552">
        <v>0.5</v>
      </c>
      <c r="I552">
        <v>0.05</v>
      </c>
      <c r="J552">
        <v>9.1700846578701423E-2</v>
      </c>
      <c r="K552">
        <v>6.3520166841372669E-2</v>
      </c>
      <c r="O552"/>
      <c r="R552"/>
    </row>
    <row r="553" spans="1:18">
      <c r="A553" s="119"/>
      <c r="B553" s="333" t="s">
        <v>1328</v>
      </c>
      <c r="D553">
        <v>0.06</v>
      </c>
      <c r="E553">
        <f t="shared" si="18"/>
        <v>2.2519071444790591E-2</v>
      </c>
      <c r="F553">
        <f t="shared" si="19"/>
        <v>0.15986449569317382</v>
      </c>
      <c r="G553">
        <v>0</v>
      </c>
      <c r="H553">
        <v>0.5</v>
      </c>
      <c r="I553">
        <v>0.05</v>
      </c>
      <c r="J553">
        <v>-3.6641847013936989E-2</v>
      </c>
      <c r="K553">
        <v>5.5869284112534265E-2</v>
      </c>
      <c r="O553"/>
      <c r="R553"/>
    </row>
    <row r="554" spans="1:18">
      <c r="A554" s="119"/>
      <c r="B554" s="333" t="s">
        <v>1329</v>
      </c>
      <c r="D554">
        <v>0.08</v>
      </c>
      <c r="E554">
        <f t="shared" si="18"/>
        <v>3.0025428593054123E-2</v>
      </c>
      <c r="F554">
        <f t="shared" si="19"/>
        <v>0.21315266092423177</v>
      </c>
      <c r="G554">
        <v>0</v>
      </c>
      <c r="H554">
        <v>0.5</v>
      </c>
      <c r="I554">
        <v>0.05</v>
      </c>
      <c r="J554">
        <v>-0.31756389849485916</v>
      </c>
      <c r="K554">
        <v>5.6248241080159453E-2</v>
      </c>
      <c r="O554"/>
      <c r="R554"/>
    </row>
    <row r="555" spans="1:18">
      <c r="A555" s="119"/>
      <c r="B555" s="333" t="s">
        <v>1330</v>
      </c>
      <c r="D555">
        <v>0.12</v>
      </c>
      <c r="E555">
        <f t="shared" si="18"/>
        <v>4.5038142889581183E-2</v>
      </c>
      <c r="F555">
        <f t="shared" si="19"/>
        <v>0.31972899138634764</v>
      </c>
      <c r="G555">
        <v>0</v>
      </c>
      <c r="H555">
        <v>0.5</v>
      </c>
      <c r="I555">
        <v>0.05</v>
      </c>
      <c r="J555">
        <v>-3.7988167428728466E-2</v>
      </c>
      <c r="K555">
        <v>0.11158823353158877</v>
      </c>
      <c r="O555"/>
      <c r="R555"/>
    </row>
    <row r="556" spans="1:18">
      <c r="A556" s="119"/>
      <c r="B556" s="333" t="s">
        <v>1331</v>
      </c>
      <c r="D556">
        <v>0.12</v>
      </c>
      <c r="E556">
        <f t="shared" si="18"/>
        <v>4.5038142889581183E-2</v>
      </c>
      <c r="F556">
        <f t="shared" si="19"/>
        <v>0.31972899138634764</v>
      </c>
      <c r="G556">
        <v>0</v>
      </c>
      <c r="H556">
        <v>0.5</v>
      </c>
      <c r="I556">
        <v>0.05</v>
      </c>
      <c r="J556">
        <v>-0.22185762585011773</v>
      </c>
      <c r="K556">
        <v>9.284636628085538E-2</v>
      </c>
      <c r="O556"/>
      <c r="R556"/>
    </row>
    <row r="557" spans="1:18">
      <c r="A557" s="119"/>
      <c r="B557" s="333" t="s">
        <v>1332</v>
      </c>
      <c r="D557">
        <v>0.12</v>
      </c>
      <c r="E557">
        <f t="shared" si="18"/>
        <v>4.5038142889581183E-2</v>
      </c>
      <c r="F557">
        <f t="shared" si="19"/>
        <v>0.31972899138634764</v>
      </c>
      <c r="G557">
        <v>0</v>
      </c>
      <c r="H557">
        <v>0.5</v>
      </c>
      <c r="I557">
        <v>0.05</v>
      </c>
      <c r="J557">
        <v>0.23021995684605479</v>
      </c>
      <c r="K557">
        <v>0.14591492324443639</v>
      </c>
      <c r="O557"/>
      <c r="R557"/>
    </row>
    <row r="558" spans="1:18">
      <c r="A558" s="119"/>
      <c r="B558" s="333" t="s">
        <v>1333</v>
      </c>
      <c r="D558">
        <v>0.1</v>
      </c>
      <c r="E558">
        <f t="shared" si="18"/>
        <v>3.7531785741317658E-2</v>
      </c>
      <c r="F558">
        <f t="shared" si="19"/>
        <v>0.26644082615528969</v>
      </c>
      <c r="G558">
        <v>0</v>
      </c>
      <c r="H558">
        <v>0.5</v>
      </c>
      <c r="I558">
        <v>0.05</v>
      </c>
      <c r="J558">
        <v>9.6814448881732788E-3</v>
      </c>
      <c r="K558">
        <v>9.7530355265657204E-2</v>
      </c>
      <c r="O558"/>
      <c r="R558"/>
    </row>
    <row r="559" spans="1:18">
      <c r="A559" s="119"/>
      <c r="B559" s="333" t="s">
        <v>1334</v>
      </c>
      <c r="D559">
        <v>0.1</v>
      </c>
      <c r="E559">
        <f t="shared" si="18"/>
        <v>3.7531785741317658E-2</v>
      </c>
      <c r="F559">
        <f t="shared" si="19"/>
        <v>0.26644082615528969</v>
      </c>
      <c r="G559">
        <v>0</v>
      </c>
      <c r="H559">
        <v>0.5</v>
      </c>
      <c r="I559">
        <v>0.05</v>
      </c>
      <c r="J559">
        <v>-0.37368044191282723</v>
      </c>
      <c r="K559">
        <v>6.647339409485846E-2</v>
      </c>
      <c r="O559"/>
      <c r="R559"/>
    </row>
    <row r="560" spans="1:18">
      <c r="A560" s="119"/>
      <c r="B560" s="333" t="s">
        <v>1335</v>
      </c>
      <c r="D560">
        <v>0.06</v>
      </c>
      <c r="E560">
        <f t="shared" si="18"/>
        <v>2.2519071444790591E-2</v>
      </c>
      <c r="F560">
        <f t="shared" si="19"/>
        <v>0.15986449569317382</v>
      </c>
      <c r="G560">
        <v>0</v>
      </c>
      <c r="H560">
        <v>0.5</v>
      </c>
      <c r="I560">
        <v>0.05</v>
      </c>
      <c r="J560">
        <v>0.36032220183165498</v>
      </c>
      <c r="K560">
        <v>8.3094523634749562E-2</v>
      </c>
      <c r="O560"/>
      <c r="R560"/>
    </row>
    <row r="561" spans="1:11" customFormat="1">
      <c r="A561" s="119"/>
      <c r="B561" s="333" t="s">
        <v>1336</v>
      </c>
      <c r="D561">
        <v>0.06</v>
      </c>
      <c r="E561">
        <f t="shared" si="18"/>
        <v>2.2519071444790591E-2</v>
      </c>
      <c r="F561">
        <f t="shared" si="19"/>
        <v>0.15986449569317382</v>
      </c>
      <c r="G561">
        <v>0</v>
      </c>
      <c r="H561">
        <v>0.5</v>
      </c>
      <c r="I561">
        <v>0.05</v>
      </c>
      <c r="J561">
        <v>-2.4204773030155422E-2</v>
      </c>
      <c r="K561">
        <v>5.6568473454676672E-2</v>
      </c>
    </row>
    <row r="562" spans="1:11" customFormat="1">
      <c r="A562" s="119"/>
      <c r="B562" s="333" t="s">
        <v>1337</v>
      </c>
      <c r="D562">
        <v>0.06</v>
      </c>
      <c r="E562">
        <f t="shared" si="18"/>
        <v>2.2519071444790591E-2</v>
      </c>
      <c r="F562">
        <f t="shared" si="19"/>
        <v>0.15986449569317382</v>
      </c>
      <c r="G562">
        <v>0</v>
      </c>
      <c r="H562">
        <v>0.5</v>
      </c>
      <c r="I562">
        <v>0.05</v>
      </c>
      <c r="J562">
        <v>0.52501695230518353</v>
      </c>
      <c r="K562">
        <v>9.0340061083337739E-2</v>
      </c>
    </row>
    <row r="563" spans="1:11" customFormat="1">
      <c r="A563" s="119"/>
      <c r="B563" s="333" t="s">
        <v>1338</v>
      </c>
      <c r="D563">
        <v>0.06</v>
      </c>
      <c r="E563">
        <f t="shared" si="18"/>
        <v>2.2519071444790591E-2</v>
      </c>
      <c r="F563">
        <f t="shared" si="19"/>
        <v>0.15986449569317382</v>
      </c>
      <c r="G563">
        <v>0</v>
      </c>
      <c r="H563">
        <v>0.5</v>
      </c>
      <c r="I563">
        <v>0.05</v>
      </c>
      <c r="J563">
        <v>-0.49167203222125389</v>
      </c>
      <c r="K563">
        <v>3.2684207881580316E-2</v>
      </c>
    </row>
    <row r="564" spans="1:11" customFormat="1">
      <c r="A564" s="119"/>
      <c r="B564" s="333" t="s">
        <v>1339</v>
      </c>
      <c r="D564">
        <v>0.06</v>
      </c>
      <c r="E564">
        <f t="shared" si="18"/>
        <v>2.2519071444790591E-2</v>
      </c>
      <c r="F564">
        <f t="shared" si="19"/>
        <v>0.15986449569317382</v>
      </c>
      <c r="G564">
        <v>0</v>
      </c>
      <c r="H564">
        <v>0.5</v>
      </c>
      <c r="I564">
        <v>0.05</v>
      </c>
      <c r="J564">
        <v>-0.4551393114830643</v>
      </c>
      <c r="K564">
        <v>3.3900329787617603E-2</v>
      </c>
    </row>
    <row r="565" spans="1:11" customFormat="1">
      <c r="A565" s="119"/>
      <c r="B565" s="333" t="s">
        <v>1340</v>
      </c>
      <c r="D565">
        <v>7.0000000000000007E-2</v>
      </c>
      <c r="E565">
        <f t="shared" si="18"/>
        <v>2.6272250018922361E-2</v>
      </c>
      <c r="F565">
        <f t="shared" si="19"/>
        <v>0.18650857830870282</v>
      </c>
      <c r="G565">
        <v>0</v>
      </c>
      <c r="H565">
        <v>0.5</v>
      </c>
      <c r="I565">
        <v>0.05</v>
      </c>
      <c r="J565">
        <v>-0.82673575532941124</v>
      </c>
      <c r="K565">
        <v>2.727523038878412E-2</v>
      </c>
    </row>
    <row r="566" spans="1:11" customFormat="1">
      <c r="A566" s="119"/>
      <c r="B566" s="333" t="s">
        <v>1341</v>
      </c>
      <c r="D566">
        <v>0.08</v>
      </c>
      <c r="E566">
        <f t="shared" si="18"/>
        <v>3.0025428593054123E-2</v>
      </c>
      <c r="F566">
        <f t="shared" si="19"/>
        <v>0.21315266092423177</v>
      </c>
      <c r="G566">
        <v>0</v>
      </c>
      <c r="H566">
        <v>0.5</v>
      </c>
      <c r="I566">
        <v>0.05</v>
      </c>
      <c r="J566">
        <v>-0.1553743291265843</v>
      </c>
      <c r="K566">
        <v>6.0999873926693142E-2</v>
      </c>
    </row>
    <row r="567" spans="1:11" customFormat="1">
      <c r="A567" s="119"/>
      <c r="B567" s="333" t="s">
        <v>1342</v>
      </c>
      <c r="D567">
        <v>0.11</v>
      </c>
      <c r="E567">
        <f t="shared" si="18"/>
        <v>4.1284964315449417E-2</v>
      </c>
      <c r="F567">
        <f t="shared" si="19"/>
        <v>0.29308490877081866</v>
      </c>
      <c r="G567">
        <v>0</v>
      </c>
      <c r="H567">
        <v>0.5</v>
      </c>
      <c r="I567">
        <v>0.05</v>
      </c>
      <c r="J567">
        <v>-1.8385893950790485E-2</v>
      </c>
      <c r="K567">
        <v>9.6188899739426403E-2</v>
      </c>
    </row>
    <row r="568" spans="1:11" customFormat="1">
      <c r="A568" s="119"/>
      <c r="B568" s="333" t="s">
        <v>1343</v>
      </c>
      <c r="D568">
        <v>0.12</v>
      </c>
      <c r="E568">
        <f t="shared" si="18"/>
        <v>4.5038142889581183E-2</v>
      </c>
      <c r="F568">
        <f t="shared" si="19"/>
        <v>0.31972899138634764</v>
      </c>
      <c r="G568">
        <v>0</v>
      </c>
      <c r="H568">
        <v>0.5</v>
      </c>
      <c r="I568">
        <v>0.05</v>
      </c>
      <c r="J568">
        <v>0.53909889527524923</v>
      </c>
      <c r="K568">
        <v>0.18324244826530944</v>
      </c>
    </row>
    <row r="569" spans="1:11" customFormat="1">
      <c r="A569" s="119"/>
      <c r="B569" s="333" t="s">
        <v>1344</v>
      </c>
      <c r="D569">
        <v>0.11</v>
      </c>
      <c r="E569">
        <f t="shared" si="18"/>
        <v>4.1284964315449417E-2</v>
      </c>
      <c r="F569">
        <f t="shared" si="19"/>
        <v>0.29308490877081866</v>
      </c>
      <c r="G569">
        <v>0</v>
      </c>
      <c r="H569">
        <v>0.5</v>
      </c>
      <c r="I569">
        <v>0.05</v>
      </c>
      <c r="J569">
        <v>0.68274660100046181</v>
      </c>
      <c r="K569">
        <v>0.1939201465570897</v>
      </c>
    </row>
    <row r="570" spans="1:11" customFormat="1">
      <c r="A570" s="119"/>
      <c r="B570" s="333" t="s">
        <v>1345</v>
      </c>
      <c r="D570">
        <v>0.1</v>
      </c>
      <c r="E570">
        <f t="shared" si="18"/>
        <v>3.7531785741317658E-2</v>
      </c>
      <c r="F570">
        <f t="shared" si="19"/>
        <v>0.26644082615528969</v>
      </c>
      <c r="G570">
        <v>0</v>
      </c>
      <c r="H570">
        <v>0.5</v>
      </c>
      <c r="I570">
        <v>0.05</v>
      </c>
      <c r="J570">
        <v>0.2955746826697474</v>
      </c>
      <c r="K570">
        <v>0.11969709706389062</v>
      </c>
    </row>
    <row r="571" spans="1:11" customFormat="1">
      <c r="A571" s="119"/>
      <c r="B571" s="333" t="s">
        <v>1346</v>
      </c>
      <c r="D571">
        <v>0.1</v>
      </c>
      <c r="E571">
        <f t="shared" si="18"/>
        <v>3.7531785741317658E-2</v>
      </c>
      <c r="F571">
        <f t="shared" si="19"/>
        <v>0.26644082615528969</v>
      </c>
      <c r="G571">
        <v>0</v>
      </c>
      <c r="H571">
        <v>0.5</v>
      </c>
      <c r="I571">
        <v>0.05</v>
      </c>
      <c r="J571">
        <v>-0.16517433937839784</v>
      </c>
      <c r="K571">
        <v>7.5506242764411022E-2</v>
      </c>
    </row>
    <row r="572" spans="1:11" customFormat="1">
      <c r="A572" s="119"/>
      <c r="B572" s="333" t="s">
        <v>1347</v>
      </c>
      <c r="D572">
        <v>0.06</v>
      </c>
      <c r="E572">
        <f t="shared" si="18"/>
        <v>2.2519071444790591E-2</v>
      </c>
      <c r="F572">
        <f t="shared" si="19"/>
        <v>0.15986449569317382</v>
      </c>
      <c r="G572">
        <v>0</v>
      </c>
      <c r="H572">
        <v>0.5</v>
      </c>
      <c r="I572">
        <v>0.05</v>
      </c>
      <c r="J572">
        <v>0.10411183219005669</v>
      </c>
      <c r="K572">
        <v>5.9303948340669529E-2</v>
      </c>
    </row>
    <row r="573" spans="1:11" customFormat="1">
      <c r="A573" s="119"/>
      <c r="B573" s="333" t="s">
        <v>1348</v>
      </c>
      <c r="D573">
        <v>7.0000000000000007E-2</v>
      </c>
      <c r="E573">
        <f t="shared" si="18"/>
        <v>2.6272250018922361E-2</v>
      </c>
      <c r="F573">
        <f t="shared" si="19"/>
        <v>0.18650857830870282</v>
      </c>
      <c r="G573">
        <v>0</v>
      </c>
      <c r="H573">
        <v>0.5</v>
      </c>
      <c r="I573">
        <v>0.05</v>
      </c>
      <c r="J573">
        <v>-0.83904635806626515</v>
      </c>
      <c r="K573">
        <v>2.6941514201190633E-2</v>
      </c>
    </row>
    <row r="574" spans="1:11" customFormat="1">
      <c r="A574" s="119"/>
      <c r="B574" s="333" t="s">
        <v>1349</v>
      </c>
      <c r="D574">
        <v>0.05</v>
      </c>
      <c r="E574">
        <f t="shared" si="18"/>
        <v>1.8765892870658829E-2</v>
      </c>
      <c r="F574">
        <f t="shared" si="19"/>
        <v>0.13322041307764484</v>
      </c>
      <c r="G574">
        <v>0</v>
      </c>
      <c r="H574">
        <v>0.5</v>
      </c>
      <c r="I574">
        <v>0.05</v>
      </c>
      <c r="J574">
        <v>-0.61997129425685671</v>
      </c>
      <c r="K574">
        <v>2.5029232724476411E-2</v>
      </c>
    </row>
    <row r="575" spans="1:11" customFormat="1">
      <c r="A575" s="119"/>
      <c r="B575" s="333" t="s">
        <v>1350</v>
      </c>
      <c r="D575">
        <v>0.05</v>
      </c>
      <c r="E575">
        <f t="shared" si="18"/>
        <v>1.8765892870658829E-2</v>
      </c>
      <c r="F575">
        <f t="shared" si="19"/>
        <v>0.13322041307764484</v>
      </c>
      <c r="G575">
        <v>0</v>
      </c>
      <c r="H575">
        <v>0.5</v>
      </c>
      <c r="I575">
        <v>0.05</v>
      </c>
      <c r="J575">
        <v>0.2699912222837525</v>
      </c>
      <c r="K575">
        <v>6.0947142203861361E-2</v>
      </c>
    </row>
    <row r="576" spans="1:11" customFormat="1">
      <c r="A576" s="119"/>
      <c r="B576" s="333" t="s">
        <v>1351</v>
      </c>
      <c r="D576">
        <v>0.06</v>
      </c>
      <c r="E576">
        <f t="shared" si="18"/>
        <v>2.2519071444790591E-2</v>
      </c>
      <c r="F576">
        <f t="shared" si="19"/>
        <v>0.15986449569317382</v>
      </c>
      <c r="G576">
        <v>0</v>
      </c>
      <c r="H576">
        <v>0.5</v>
      </c>
      <c r="I576">
        <v>0.05</v>
      </c>
      <c r="J576">
        <v>6.1104695749680839E-2</v>
      </c>
      <c r="K576">
        <v>5.9349399172294641E-2</v>
      </c>
    </row>
    <row r="577" spans="1:11" customFormat="1">
      <c r="A577" s="119"/>
      <c r="B577" s="333" t="s">
        <v>1352</v>
      </c>
      <c r="D577">
        <v>7.0000000000000007E-2</v>
      </c>
      <c r="E577">
        <f t="shared" si="18"/>
        <v>2.6272250018922361E-2</v>
      </c>
      <c r="F577">
        <f t="shared" si="19"/>
        <v>0.18650857830870282</v>
      </c>
      <c r="G577">
        <v>0</v>
      </c>
      <c r="H577">
        <v>0.5</v>
      </c>
      <c r="I577">
        <v>0.05</v>
      </c>
      <c r="J577">
        <v>-0.22860992514821063</v>
      </c>
      <c r="K577">
        <v>5.1825279759670891E-2</v>
      </c>
    </row>
    <row r="578" spans="1:11" customFormat="1">
      <c r="A578" s="119"/>
      <c r="B578" s="333" t="s">
        <v>1353</v>
      </c>
      <c r="D578">
        <v>0.08</v>
      </c>
      <c r="E578">
        <f t="shared" si="18"/>
        <v>3.0025428593054123E-2</v>
      </c>
      <c r="F578">
        <f t="shared" si="19"/>
        <v>0.21315266092423177</v>
      </c>
      <c r="G578">
        <v>0</v>
      </c>
      <c r="H578">
        <v>0.5</v>
      </c>
      <c r="I578">
        <v>0.05</v>
      </c>
      <c r="J578">
        <v>0.6053663738886782</v>
      </c>
      <c r="K578">
        <v>0.13637190486485173</v>
      </c>
    </row>
    <row r="579" spans="1:11" customFormat="1">
      <c r="A579" s="119"/>
      <c r="B579" s="333" t="s">
        <v>1354</v>
      </c>
      <c r="D579">
        <v>0.08</v>
      </c>
      <c r="E579">
        <f t="shared" si="18"/>
        <v>3.0025428593054123E-2</v>
      </c>
      <c r="F579">
        <f t="shared" si="19"/>
        <v>0.21315266092423177</v>
      </c>
      <c r="G579">
        <v>0</v>
      </c>
      <c r="H579">
        <v>0.5</v>
      </c>
      <c r="I579">
        <v>0.05</v>
      </c>
      <c r="J579">
        <v>-9.8324999522979462E-2</v>
      </c>
      <c r="K579">
        <v>6.7470763770002495E-2</v>
      </c>
    </row>
    <row r="580" spans="1:11" customFormat="1">
      <c r="A580" s="119"/>
      <c r="B580" s="333" t="s">
        <v>1355</v>
      </c>
      <c r="D580">
        <v>0.12</v>
      </c>
      <c r="E580">
        <f t="shared" si="18"/>
        <v>4.5038142889581183E-2</v>
      </c>
      <c r="F580">
        <f t="shared" si="19"/>
        <v>0.31972899138634764</v>
      </c>
      <c r="G580">
        <v>0</v>
      </c>
      <c r="H580">
        <v>0.5</v>
      </c>
      <c r="I580">
        <v>0.05</v>
      </c>
      <c r="J580">
        <v>-0.38495471051054075</v>
      </c>
      <c r="K580">
        <v>7.598453037255852E-2</v>
      </c>
    </row>
    <row r="581" spans="1:11" customFormat="1">
      <c r="A581" s="119"/>
      <c r="B581" s="333" t="s">
        <v>1356</v>
      </c>
      <c r="D581">
        <v>0.12</v>
      </c>
      <c r="E581">
        <f t="shared" si="18"/>
        <v>4.5038142889581183E-2</v>
      </c>
      <c r="F581">
        <f t="shared" si="19"/>
        <v>0.31972899138634764</v>
      </c>
      <c r="G581">
        <v>0</v>
      </c>
      <c r="H581">
        <v>0.5</v>
      </c>
      <c r="I581">
        <v>0.05</v>
      </c>
      <c r="J581">
        <v>-0.22120197159459112</v>
      </c>
      <c r="K581">
        <v>8.9503927836049629E-2</v>
      </c>
    </row>
    <row r="582" spans="1:11" customFormat="1">
      <c r="A582" s="119"/>
      <c r="B582" s="333" t="s">
        <v>1357</v>
      </c>
      <c r="D582">
        <v>0.12</v>
      </c>
      <c r="E582">
        <f t="shared" ref="E582:E613" si="20">CalcMin(D582,G582,H582,I582)</f>
        <v>4.5038142889581183E-2</v>
      </c>
      <c r="F582">
        <f t="shared" ref="F582:F613" si="21">CalcMax(D582,G582,H582,I582)</f>
        <v>0.31972899138634764</v>
      </c>
      <c r="G582">
        <v>0</v>
      </c>
      <c r="H582">
        <v>0.5</v>
      </c>
      <c r="I582">
        <v>0.05</v>
      </c>
      <c r="J582">
        <v>-0.34665306063225737</v>
      </c>
      <c r="K582">
        <v>7.8951316977104238E-2</v>
      </c>
    </row>
    <row r="583" spans="1:11" customFormat="1">
      <c r="A583" s="119"/>
      <c r="B583" s="333" t="s">
        <v>1358</v>
      </c>
      <c r="D583">
        <v>0.11</v>
      </c>
      <c r="E583">
        <f t="shared" si="20"/>
        <v>4.1284964315449417E-2</v>
      </c>
      <c r="F583">
        <f t="shared" si="21"/>
        <v>0.29308490877081866</v>
      </c>
      <c r="G583">
        <v>0</v>
      </c>
      <c r="H583">
        <v>0.5</v>
      </c>
      <c r="I583">
        <v>0.05</v>
      </c>
      <c r="J583">
        <v>0.21875228344007031</v>
      </c>
      <c r="K583">
        <v>0.12738645117772565</v>
      </c>
    </row>
    <row r="584" spans="1:11" customFormat="1">
      <c r="A584" s="119"/>
      <c r="B584" s="333" t="s">
        <v>1359</v>
      </c>
      <c r="D584">
        <v>7.0000000000000007E-2</v>
      </c>
      <c r="E584">
        <f t="shared" si="20"/>
        <v>2.6272250018922361E-2</v>
      </c>
      <c r="F584">
        <f t="shared" si="21"/>
        <v>0.18650857830870282</v>
      </c>
      <c r="G584">
        <v>0</v>
      </c>
      <c r="H584">
        <v>0.5</v>
      </c>
      <c r="I584">
        <v>0.05</v>
      </c>
      <c r="J584">
        <v>0.88839521165799828</v>
      </c>
      <c r="K584">
        <v>0.15836194325320116</v>
      </c>
    </row>
    <row r="585" spans="1:11" customFormat="1">
      <c r="A585" s="119"/>
      <c r="B585" s="333" t="s">
        <v>1360</v>
      </c>
      <c r="D585">
        <v>7.0000000000000007E-2</v>
      </c>
      <c r="E585">
        <f t="shared" si="20"/>
        <v>2.6272250018922361E-2</v>
      </c>
      <c r="F585">
        <f t="shared" si="21"/>
        <v>0.18650857830870282</v>
      </c>
      <c r="G585">
        <v>0</v>
      </c>
      <c r="H585">
        <v>0.5</v>
      </c>
      <c r="I585">
        <v>0.05</v>
      </c>
      <c r="J585">
        <v>5.4978924742720106E-2</v>
      </c>
      <c r="K585">
        <v>6.8818107888203361E-2</v>
      </c>
    </row>
    <row r="586" spans="1:11" customFormat="1">
      <c r="A586" s="119"/>
      <c r="B586" s="333" t="s">
        <v>1361</v>
      </c>
      <c r="D586">
        <v>0.05</v>
      </c>
      <c r="E586">
        <f t="shared" si="20"/>
        <v>1.8765892870658829E-2</v>
      </c>
      <c r="F586">
        <f t="shared" si="21"/>
        <v>0.13322041307764484</v>
      </c>
      <c r="G586">
        <v>0</v>
      </c>
      <c r="H586">
        <v>0.5</v>
      </c>
      <c r="I586">
        <v>0.05</v>
      </c>
      <c r="J586">
        <v>-0.58803986372542694</v>
      </c>
      <c r="K586">
        <v>3.1882346548398353E-2</v>
      </c>
    </row>
    <row r="587" spans="1:11" customFormat="1">
      <c r="A587" s="119"/>
      <c r="B587" s="333" t="s">
        <v>1362</v>
      </c>
      <c r="D587">
        <v>0.05</v>
      </c>
      <c r="E587">
        <f t="shared" si="20"/>
        <v>1.8765892870658829E-2</v>
      </c>
      <c r="F587">
        <f t="shared" si="21"/>
        <v>0.13322041307764484</v>
      </c>
      <c r="G587">
        <v>0</v>
      </c>
      <c r="H587">
        <v>0.5</v>
      </c>
      <c r="I587">
        <v>0.05</v>
      </c>
      <c r="J587">
        <v>0.2201904656499169</v>
      </c>
      <c r="K587">
        <v>7.1541863814146969E-2</v>
      </c>
    </row>
    <row r="588" spans="1:11" customFormat="1">
      <c r="A588" s="119"/>
      <c r="B588" s="333" t="s">
        <v>1363</v>
      </c>
      <c r="D588">
        <v>0.06</v>
      </c>
      <c r="E588">
        <f t="shared" si="20"/>
        <v>2.2519071444790591E-2</v>
      </c>
      <c r="F588">
        <f t="shared" si="21"/>
        <v>0.15986449569317382</v>
      </c>
      <c r="G588">
        <v>0</v>
      </c>
      <c r="H588">
        <v>0.5</v>
      </c>
      <c r="I588">
        <v>0.05</v>
      </c>
      <c r="J588">
        <v>-0.1112774873930574</v>
      </c>
      <c r="K588">
        <v>6.1629237334953756E-2</v>
      </c>
    </row>
    <row r="589" spans="1:11" customFormat="1">
      <c r="A589" s="119"/>
      <c r="B589" s="333" t="s">
        <v>1364</v>
      </c>
      <c r="D589">
        <v>7.0000000000000007E-2</v>
      </c>
      <c r="E589">
        <f t="shared" si="20"/>
        <v>2.6272250018922361E-2</v>
      </c>
      <c r="F589">
        <f t="shared" si="21"/>
        <v>0.18650857830870282</v>
      </c>
      <c r="G589">
        <v>0</v>
      </c>
      <c r="H589">
        <v>0.5</v>
      </c>
      <c r="I589">
        <v>0.05</v>
      </c>
      <c r="J589">
        <v>-0.30121236629748677</v>
      </c>
      <c r="K589">
        <v>5.9462876349026396E-2</v>
      </c>
    </row>
    <row r="590" spans="1:11" customFormat="1">
      <c r="A590" s="119"/>
      <c r="B590" s="333" t="s">
        <v>1365</v>
      </c>
      <c r="D590">
        <v>0.08</v>
      </c>
      <c r="E590">
        <f t="shared" si="20"/>
        <v>3.0025428593054123E-2</v>
      </c>
      <c r="F590">
        <f t="shared" si="21"/>
        <v>0.21315266092423177</v>
      </c>
      <c r="G590">
        <v>0</v>
      </c>
      <c r="H590">
        <v>0.5</v>
      </c>
      <c r="I590">
        <v>0.05</v>
      </c>
      <c r="J590">
        <v>-0.28905045147419295</v>
      </c>
      <c r="K590">
        <v>6.878911349735442E-2</v>
      </c>
    </row>
    <row r="591" spans="1:11" customFormat="1">
      <c r="A591" s="119"/>
      <c r="B591" s="333" t="s">
        <v>1366</v>
      </c>
      <c r="D591">
        <v>0.1</v>
      </c>
      <c r="E591">
        <f t="shared" si="20"/>
        <v>3.7531785741317658E-2</v>
      </c>
      <c r="F591">
        <f t="shared" si="21"/>
        <v>0.26644082615528969</v>
      </c>
      <c r="G591">
        <v>0</v>
      </c>
      <c r="H591">
        <v>0.5</v>
      </c>
      <c r="I591">
        <v>0.05</v>
      </c>
      <c r="J591">
        <v>-3.7928666817852882E-2</v>
      </c>
      <c r="K591">
        <v>0.11053263694749671</v>
      </c>
    </row>
    <row r="592" spans="1:11" customFormat="1">
      <c r="A592" s="119"/>
      <c r="B592" s="333" t="s">
        <v>1367</v>
      </c>
      <c r="D592">
        <v>0.1</v>
      </c>
      <c r="E592">
        <f t="shared" si="20"/>
        <v>3.7531785741317658E-2</v>
      </c>
      <c r="F592">
        <f t="shared" si="21"/>
        <v>0.26644082615528969</v>
      </c>
      <c r="G592">
        <v>0</v>
      </c>
      <c r="H592">
        <v>0.5</v>
      </c>
      <c r="I592">
        <v>0.05</v>
      </c>
      <c r="J592">
        <v>-0.13249182552247701</v>
      </c>
      <c r="K592">
        <v>0.10055930728002577</v>
      </c>
    </row>
    <row r="593" spans="1:11" customFormat="1">
      <c r="A593" s="119"/>
      <c r="B593" s="333" t="s">
        <v>1368</v>
      </c>
      <c r="D593">
        <v>0.12</v>
      </c>
      <c r="E593">
        <f t="shared" si="20"/>
        <v>4.5038142889581183E-2</v>
      </c>
      <c r="F593">
        <f t="shared" si="21"/>
        <v>0.31972899138634764</v>
      </c>
      <c r="G593">
        <v>0</v>
      </c>
      <c r="H593">
        <v>0.5</v>
      </c>
      <c r="I593">
        <v>0.05</v>
      </c>
      <c r="J593">
        <v>1.6487759570753699E-2</v>
      </c>
      <c r="K593">
        <v>0.14005690685032138</v>
      </c>
    </row>
    <row r="594" spans="1:11" customFormat="1">
      <c r="A594" s="119"/>
      <c r="B594" s="333" t="s">
        <v>1369</v>
      </c>
      <c r="D594">
        <v>0.12</v>
      </c>
      <c r="E594">
        <f t="shared" si="20"/>
        <v>4.5038142889581183E-2</v>
      </c>
      <c r="F594">
        <f t="shared" si="21"/>
        <v>0.31972899138634764</v>
      </c>
      <c r="G594">
        <v>0</v>
      </c>
      <c r="H594">
        <v>0.5</v>
      </c>
      <c r="I594">
        <v>0.05</v>
      </c>
      <c r="J594">
        <v>-0.46011957756404254</v>
      </c>
      <c r="K594">
        <v>8.6959411941445089E-2</v>
      </c>
    </row>
    <row r="595" spans="1:11" customFormat="1">
      <c r="A595" s="119"/>
      <c r="B595" s="333" t="s">
        <v>1370</v>
      </c>
      <c r="D595">
        <v>0.11</v>
      </c>
      <c r="E595">
        <f t="shared" si="20"/>
        <v>4.1284964315449417E-2</v>
      </c>
      <c r="F595">
        <f t="shared" si="21"/>
        <v>0.29308490877081866</v>
      </c>
      <c r="G595">
        <v>0</v>
      </c>
      <c r="H595">
        <v>0.5</v>
      </c>
      <c r="I595">
        <v>0.05</v>
      </c>
      <c r="J595">
        <v>-0.59468785911949784</v>
      </c>
      <c r="K595">
        <v>6.967641082671687E-2</v>
      </c>
    </row>
    <row r="596" spans="1:11" customFormat="1">
      <c r="A596" s="119"/>
      <c r="B596" s="333" t="s">
        <v>1371</v>
      </c>
      <c r="D596">
        <v>7.0000000000000007E-2</v>
      </c>
      <c r="E596">
        <f t="shared" si="20"/>
        <v>2.6272250018922361E-2</v>
      </c>
      <c r="F596">
        <f t="shared" si="21"/>
        <v>0.18650857830870282</v>
      </c>
      <c r="G596">
        <v>0</v>
      </c>
      <c r="H596">
        <v>0.5</v>
      </c>
      <c r="I596">
        <v>0.05</v>
      </c>
      <c r="J596">
        <v>0.4665196882171993</v>
      </c>
      <c r="K596">
        <v>0.12813498075518101</v>
      </c>
    </row>
    <row r="597" spans="1:11" customFormat="1">
      <c r="A597" s="119"/>
      <c r="B597" s="333" t="s">
        <v>1372</v>
      </c>
      <c r="D597">
        <v>7.0000000000000007E-2</v>
      </c>
      <c r="E597">
        <f t="shared" si="20"/>
        <v>2.6272250018922361E-2</v>
      </c>
      <c r="F597">
        <f t="shared" si="21"/>
        <v>0.18650857830870282</v>
      </c>
      <c r="G597">
        <v>0</v>
      </c>
      <c r="H597">
        <v>0.5</v>
      </c>
      <c r="I597">
        <v>0.05</v>
      </c>
      <c r="J597">
        <v>-0.12706002816516326</v>
      </c>
      <c r="K597">
        <v>7.0774907854933219E-2</v>
      </c>
    </row>
    <row r="598" spans="1:11" customFormat="1">
      <c r="A598" s="119"/>
      <c r="B598" s="333" t="s">
        <v>1373</v>
      </c>
      <c r="D598">
        <v>0.12</v>
      </c>
      <c r="E598">
        <f t="shared" si="20"/>
        <v>4.5038142889581183E-2</v>
      </c>
      <c r="F598">
        <f t="shared" si="21"/>
        <v>0.31972899138634764</v>
      </c>
      <c r="G598">
        <v>0</v>
      </c>
      <c r="H598">
        <v>0.5</v>
      </c>
      <c r="I598">
        <v>0.05</v>
      </c>
      <c r="J598">
        <v>-0.68568197091994643</v>
      </c>
      <c r="K598">
        <v>5.3913072689246548E-2</v>
      </c>
    </row>
    <row r="599" spans="1:11" customFormat="1">
      <c r="A599" s="119"/>
      <c r="B599" s="333" t="s">
        <v>1374</v>
      </c>
      <c r="D599">
        <v>7.0000000000000007E-2</v>
      </c>
      <c r="E599">
        <f t="shared" si="20"/>
        <v>2.6272250018922361E-2</v>
      </c>
      <c r="F599">
        <f t="shared" si="21"/>
        <v>0.18650857830870282</v>
      </c>
      <c r="G599">
        <v>0</v>
      </c>
      <c r="H599">
        <v>0.5</v>
      </c>
      <c r="I599">
        <v>0.05</v>
      </c>
      <c r="J599">
        <v>-0.8916509572549205</v>
      </c>
      <c r="K599">
        <v>2.5595268173254099E-2</v>
      </c>
    </row>
    <row r="600" spans="1:11" customFormat="1">
      <c r="A600" s="119"/>
      <c r="B600" s="333" t="s">
        <v>1375</v>
      </c>
      <c r="D600">
        <v>7.0000000000000007E-2</v>
      </c>
      <c r="E600">
        <f t="shared" si="20"/>
        <v>2.6272250018922361E-2</v>
      </c>
      <c r="F600">
        <f t="shared" si="21"/>
        <v>0.18650857830870282</v>
      </c>
      <c r="G600">
        <v>0</v>
      </c>
      <c r="H600">
        <v>0.5</v>
      </c>
      <c r="I600">
        <v>0.05</v>
      </c>
      <c r="J600">
        <v>-2.0431674420078115E-2</v>
      </c>
      <c r="K600">
        <v>6.1168159238835999E-2</v>
      </c>
    </row>
    <row r="601" spans="1:11" customFormat="1">
      <c r="A601" s="119"/>
      <c r="B601" s="333" t="s">
        <v>1376</v>
      </c>
      <c r="D601">
        <v>7.0000000000000007E-2</v>
      </c>
      <c r="E601">
        <f t="shared" si="20"/>
        <v>2.6272250018922361E-2</v>
      </c>
      <c r="F601">
        <f t="shared" si="21"/>
        <v>0.18650857830870282</v>
      </c>
      <c r="G601">
        <v>0</v>
      </c>
      <c r="H601">
        <v>0.5</v>
      </c>
      <c r="I601">
        <v>0.05</v>
      </c>
      <c r="J601">
        <v>6.4705841786312113E-2</v>
      </c>
      <c r="K601">
        <v>6.6603977398413117E-2</v>
      </c>
    </row>
    <row r="602" spans="1:11" customFormat="1">
      <c r="A602" s="119"/>
      <c r="B602" s="333" t="s">
        <v>1377</v>
      </c>
      <c r="D602">
        <v>0.06</v>
      </c>
      <c r="E602">
        <f t="shared" si="20"/>
        <v>2.2519071444790591E-2</v>
      </c>
      <c r="F602">
        <f t="shared" si="21"/>
        <v>0.15986449569317382</v>
      </c>
      <c r="G602">
        <v>0</v>
      </c>
      <c r="H602">
        <v>0.5</v>
      </c>
      <c r="I602">
        <v>0.05</v>
      </c>
      <c r="J602">
        <v>0.1009656299882989</v>
      </c>
      <c r="K602">
        <v>5.9197150354919223E-2</v>
      </c>
    </row>
    <row r="603" spans="1:11" customFormat="1">
      <c r="A603" s="119"/>
      <c r="B603" s="333" t="s">
        <v>1378</v>
      </c>
      <c r="D603">
        <v>0.05</v>
      </c>
      <c r="E603">
        <f t="shared" si="20"/>
        <v>1.8765892870658829E-2</v>
      </c>
      <c r="F603">
        <f t="shared" si="21"/>
        <v>0.13322041307764484</v>
      </c>
      <c r="G603">
        <v>0</v>
      </c>
      <c r="H603">
        <v>0.5</v>
      </c>
      <c r="I603">
        <v>0.05</v>
      </c>
      <c r="J603">
        <v>0.24710459871822552</v>
      </c>
      <c r="K603">
        <v>5.7093530942689055E-2</v>
      </c>
    </row>
    <row r="604" spans="1:11" customFormat="1">
      <c r="A604" s="119"/>
      <c r="B604" s="333" t="s">
        <v>1379</v>
      </c>
      <c r="D604">
        <v>0.06</v>
      </c>
      <c r="E604">
        <f t="shared" si="20"/>
        <v>2.2519071444790591E-2</v>
      </c>
      <c r="F604">
        <f t="shared" si="21"/>
        <v>0.15986449569317382</v>
      </c>
      <c r="G604">
        <v>0</v>
      </c>
      <c r="H604">
        <v>0.5</v>
      </c>
      <c r="I604">
        <v>0.05</v>
      </c>
      <c r="J604">
        <v>0.65332219327567642</v>
      </c>
      <c r="K604">
        <v>0.10284571659478094</v>
      </c>
    </row>
    <row r="605" spans="1:11" customFormat="1">
      <c r="A605" s="119"/>
      <c r="B605" s="333" t="s">
        <v>1380</v>
      </c>
      <c r="D605">
        <v>7.0000000000000007E-2</v>
      </c>
      <c r="E605">
        <f t="shared" si="20"/>
        <v>2.6272250018922361E-2</v>
      </c>
      <c r="F605">
        <f t="shared" si="21"/>
        <v>0.18650857830870282</v>
      </c>
      <c r="G605">
        <v>0</v>
      </c>
      <c r="H605">
        <v>0.5</v>
      </c>
      <c r="I605">
        <v>0.05</v>
      </c>
      <c r="J605">
        <v>0.80284676238089414</v>
      </c>
      <c r="K605">
        <v>0.13933835962290611</v>
      </c>
    </row>
    <row r="606" spans="1:11" customFormat="1">
      <c r="A606" s="119"/>
      <c r="B606" s="333" t="s">
        <v>1381</v>
      </c>
      <c r="D606">
        <v>0.08</v>
      </c>
      <c r="E606">
        <f t="shared" si="20"/>
        <v>3.0025428593054123E-2</v>
      </c>
      <c r="F606">
        <f t="shared" si="21"/>
        <v>0.21315266092423177</v>
      </c>
      <c r="G606">
        <v>0</v>
      </c>
      <c r="H606">
        <v>0.5</v>
      </c>
      <c r="I606">
        <v>0.05</v>
      </c>
      <c r="J606">
        <v>-0.17154492746469013</v>
      </c>
      <c r="K606">
        <v>6.0102108242348941E-2</v>
      </c>
    </row>
    <row r="607" spans="1:11" customFormat="1">
      <c r="A607" s="119"/>
      <c r="B607" s="333" t="s">
        <v>1382</v>
      </c>
      <c r="D607">
        <v>0.11</v>
      </c>
      <c r="E607">
        <f t="shared" si="20"/>
        <v>4.1284964315449417E-2</v>
      </c>
      <c r="F607">
        <f t="shared" si="21"/>
        <v>0.29308490877081866</v>
      </c>
      <c r="G607">
        <v>0</v>
      </c>
      <c r="H607">
        <v>0.5</v>
      </c>
      <c r="I607">
        <v>0.05</v>
      </c>
      <c r="J607">
        <v>7.9681967698187237E-2</v>
      </c>
      <c r="K607">
        <v>0.10624264120032793</v>
      </c>
    </row>
    <row r="608" spans="1:11" customFormat="1">
      <c r="A608" s="119"/>
      <c r="B608" s="333" t="s">
        <v>1383</v>
      </c>
      <c r="D608">
        <v>0.12</v>
      </c>
      <c r="E608">
        <f t="shared" si="20"/>
        <v>4.5038142889581183E-2</v>
      </c>
      <c r="F608">
        <f t="shared" si="21"/>
        <v>0.31972899138634764</v>
      </c>
      <c r="G608">
        <v>0</v>
      </c>
      <c r="H608">
        <v>0.5</v>
      </c>
      <c r="I608">
        <v>0.05</v>
      </c>
      <c r="J608">
        <v>-0.96544448718209919</v>
      </c>
      <c r="K608">
        <v>4.0756301600091367E-2</v>
      </c>
    </row>
    <row r="609" spans="1:11" customFormat="1">
      <c r="A609" s="119"/>
      <c r="B609" s="333" t="s">
        <v>1384</v>
      </c>
      <c r="D609">
        <v>0.12</v>
      </c>
      <c r="E609">
        <f t="shared" si="20"/>
        <v>4.5038142889581183E-2</v>
      </c>
      <c r="F609">
        <f t="shared" si="21"/>
        <v>0.31972899138634764</v>
      </c>
      <c r="G609">
        <v>0</v>
      </c>
      <c r="H609">
        <v>0.5</v>
      </c>
      <c r="I609">
        <v>0.05</v>
      </c>
      <c r="J609">
        <v>0.75252796281796708</v>
      </c>
      <c r="K609">
        <v>0.2271437139421866</v>
      </c>
    </row>
    <row r="610" spans="1:11" customFormat="1">
      <c r="A610" s="119"/>
      <c r="B610" s="333" t="s">
        <v>1385</v>
      </c>
      <c r="D610">
        <v>0.12</v>
      </c>
      <c r="E610">
        <f t="shared" si="20"/>
        <v>4.5038142889581183E-2</v>
      </c>
      <c r="F610">
        <f t="shared" si="21"/>
        <v>0.31972899138634764</v>
      </c>
      <c r="G610">
        <v>0</v>
      </c>
      <c r="H610">
        <v>0.5</v>
      </c>
      <c r="I610">
        <v>0.05</v>
      </c>
      <c r="J610">
        <v>0.96692644898110691</v>
      </c>
      <c r="K610">
        <v>0.2276759541533819</v>
      </c>
    </row>
    <row r="611" spans="1:11" customFormat="1">
      <c r="A611" s="119"/>
      <c r="B611" s="333" t="s">
        <v>1386</v>
      </c>
      <c r="D611">
        <v>7.0000000000000007E-2</v>
      </c>
      <c r="E611">
        <f t="shared" si="20"/>
        <v>2.6272250018922361E-2</v>
      </c>
      <c r="F611">
        <f t="shared" si="21"/>
        <v>0.18650857830870282</v>
      </c>
      <c r="G611">
        <v>0</v>
      </c>
      <c r="H611">
        <v>0.5</v>
      </c>
      <c r="I611">
        <v>0.05</v>
      </c>
      <c r="J611">
        <v>-0.60626935146245975</v>
      </c>
      <c r="K611">
        <v>2.7542521948456987E-2</v>
      </c>
    </row>
    <row r="612" spans="1:11" customFormat="1">
      <c r="A612" s="119"/>
      <c r="B612" s="333" t="s">
        <v>1387</v>
      </c>
      <c r="D612">
        <v>7.0000000000000007E-2</v>
      </c>
      <c r="E612">
        <f t="shared" si="20"/>
        <v>2.6272250018922361E-2</v>
      </c>
      <c r="F612">
        <f t="shared" si="21"/>
        <v>0.18650857830870282</v>
      </c>
      <c r="G612">
        <v>0</v>
      </c>
      <c r="H612">
        <v>0.5</v>
      </c>
      <c r="I612">
        <v>0.05</v>
      </c>
      <c r="J612">
        <v>-0.19379114628391844</v>
      </c>
      <c r="K612">
        <v>4.1604538850741099E-2</v>
      </c>
    </row>
    <row r="613" spans="1:11" customFormat="1">
      <c r="A613" s="119"/>
      <c r="B613" s="333" t="s">
        <v>1388</v>
      </c>
      <c r="D613">
        <v>7.0000000000000007E-2</v>
      </c>
      <c r="E613">
        <f t="shared" si="20"/>
        <v>2.6272250018922361E-2</v>
      </c>
      <c r="F613">
        <f t="shared" si="21"/>
        <v>0.18650857830870282</v>
      </c>
      <c r="G613">
        <v>0</v>
      </c>
      <c r="H613">
        <v>0.5</v>
      </c>
      <c r="I613">
        <v>0.05</v>
      </c>
      <c r="J613">
        <v>-7.198480730839979E-2</v>
      </c>
      <c r="K613">
        <v>4.699379667119729E-2</v>
      </c>
    </row>
    <row r="614" spans="1:11" customFormat="1">
      <c r="A614" s="119"/>
      <c r="B614" s="333" t="s">
        <v>1389</v>
      </c>
      <c r="D614">
        <v>0.06</v>
      </c>
      <c r="E614">
        <f t="shared" ref="E614:E645" si="22">CalcMin(D614,G614,H614,I614)</f>
        <v>2.2519071444790591E-2</v>
      </c>
      <c r="F614">
        <f t="shared" ref="F614:F645" si="23">CalcMax(D614,G614,H614,I614)</f>
        <v>0.15986449569317382</v>
      </c>
      <c r="G614">
        <v>0</v>
      </c>
      <c r="H614">
        <v>0.5</v>
      </c>
      <c r="I614">
        <v>0.05</v>
      </c>
      <c r="J614">
        <v>-0.25403212379445256</v>
      </c>
      <c r="K614">
        <v>3.3576204308411566E-2</v>
      </c>
    </row>
    <row r="615" spans="1:11" customFormat="1">
      <c r="A615" s="119"/>
      <c r="B615" s="333" t="s">
        <v>1390</v>
      </c>
      <c r="D615">
        <v>0.05</v>
      </c>
      <c r="E615">
        <f t="shared" si="22"/>
        <v>1.8765892870658829E-2</v>
      </c>
      <c r="F615">
        <f t="shared" si="23"/>
        <v>0.13322041307764484</v>
      </c>
      <c r="G615">
        <v>0</v>
      </c>
      <c r="H615">
        <v>0.5</v>
      </c>
      <c r="I615">
        <v>0.05</v>
      </c>
      <c r="J615">
        <v>-0.37557553127052723</v>
      </c>
      <c r="K615">
        <v>2.4777912880781548E-2</v>
      </c>
    </row>
    <row r="616" spans="1:11" customFormat="1">
      <c r="A616" s="119"/>
      <c r="B616" s="333" t="s">
        <v>1391</v>
      </c>
      <c r="D616">
        <v>0.06</v>
      </c>
      <c r="E616">
        <f t="shared" si="22"/>
        <v>2.2519071444790591E-2</v>
      </c>
      <c r="F616">
        <f t="shared" si="23"/>
        <v>0.15986449569317382</v>
      </c>
      <c r="G616">
        <v>0</v>
      </c>
      <c r="H616">
        <v>0.5</v>
      </c>
      <c r="I616">
        <v>0.05</v>
      </c>
      <c r="J616">
        <v>-0.39550635823157582</v>
      </c>
      <c r="K616">
        <v>2.9146748899129157E-2</v>
      </c>
    </row>
    <row r="617" spans="1:11" customFormat="1">
      <c r="A617" s="119"/>
      <c r="B617" s="333" t="s">
        <v>1392</v>
      </c>
      <c r="D617">
        <v>7.0000000000000007E-2</v>
      </c>
      <c r="E617">
        <f t="shared" si="22"/>
        <v>2.6272250018922361E-2</v>
      </c>
      <c r="F617">
        <f t="shared" si="23"/>
        <v>0.18650857830870282</v>
      </c>
      <c r="G617">
        <v>0</v>
      </c>
      <c r="H617">
        <v>0.5</v>
      </c>
      <c r="I617">
        <v>0.05</v>
      </c>
      <c r="J617">
        <v>-4.2943348251551459E-2</v>
      </c>
      <c r="K617">
        <v>4.8378575769639838E-2</v>
      </c>
    </row>
    <row r="618" spans="1:11" customFormat="1">
      <c r="A618" s="119"/>
      <c r="B618" s="333" t="s">
        <v>1393</v>
      </c>
      <c r="D618">
        <v>0.08</v>
      </c>
      <c r="E618">
        <f t="shared" si="22"/>
        <v>3.0025428593054123E-2</v>
      </c>
      <c r="F618">
        <f t="shared" si="23"/>
        <v>0.21315266092423177</v>
      </c>
      <c r="G618">
        <v>0</v>
      </c>
      <c r="H618">
        <v>0.5</v>
      </c>
      <c r="I618">
        <v>0.05</v>
      </c>
      <c r="J618">
        <v>0.21631305630815431</v>
      </c>
      <c r="K618">
        <v>7.1653705063330145E-2</v>
      </c>
    </row>
    <row r="619" spans="1:11" customFormat="1">
      <c r="A619" s="119"/>
      <c r="B619" s="333" t="s">
        <v>1394</v>
      </c>
      <c r="D619">
        <v>0.11</v>
      </c>
      <c r="E619">
        <f t="shared" si="22"/>
        <v>4.1284964315449417E-2</v>
      </c>
      <c r="F619">
        <f t="shared" si="23"/>
        <v>0.29308490877081866</v>
      </c>
      <c r="G619">
        <v>0</v>
      </c>
      <c r="H619">
        <v>0.5</v>
      </c>
      <c r="I619">
        <v>0.05</v>
      </c>
      <c r="J619">
        <v>0.76390796848483966</v>
      </c>
      <c r="K619">
        <v>0.17035653521288124</v>
      </c>
    </row>
    <row r="620" spans="1:11" customFormat="1">
      <c r="A620" s="119"/>
      <c r="B620" s="333" t="s">
        <v>1395</v>
      </c>
      <c r="D620">
        <v>0.12</v>
      </c>
      <c r="E620">
        <f t="shared" si="22"/>
        <v>4.5038142889581183E-2</v>
      </c>
      <c r="F620">
        <f t="shared" si="23"/>
        <v>0.31972899138634764</v>
      </c>
      <c r="G620">
        <v>0</v>
      </c>
      <c r="H620">
        <v>0.5</v>
      </c>
      <c r="I620">
        <v>0.05</v>
      </c>
      <c r="J620">
        <v>4.3236041377788956E-2</v>
      </c>
      <c r="K620">
        <v>9.0398977518567153E-2</v>
      </c>
    </row>
    <row r="621" spans="1:11" customFormat="1">
      <c r="A621" s="119"/>
      <c r="B621" s="333" t="s">
        <v>1396</v>
      </c>
      <c r="D621">
        <v>0.12</v>
      </c>
      <c r="E621">
        <f t="shared" si="22"/>
        <v>4.5038142889581183E-2</v>
      </c>
      <c r="F621">
        <f t="shared" si="23"/>
        <v>0.31972899138634764</v>
      </c>
      <c r="G621">
        <v>0</v>
      </c>
      <c r="H621">
        <v>0.5</v>
      </c>
      <c r="I621">
        <v>0.05</v>
      </c>
      <c r="J621">
        <v>0.77488387265144432</v>
      </c>
      <c r="K621">
        <v>0.18789452872348197</v>
      </c>
    </row>
    <row r="622" spans="1:11" customFormat="1">
      <c r="A622" s="119"/>
      <c r="B622" s="333" t="s">
        <v>1397</v>
      </c>
      <c r="D622">
        <v>0.05</v>
      </c>
      <c r="E622">
        <f t="shared" si="22"/>
        <v>1.8765892870658829E-2</v>
      </c>
      <c r="F622">
        <f t="shared" si="23"/>
        <v>0.13322041307764484</v>
      </c>
      <c r="G622">
        <v>0</v>
      </c>
      <c r="H622">
        <v>0.5</v>
      </c>
      <c r="I622">
        <v>0.05</v>
      </c>
      <c r="J622">
        <v>0.59567731200876639</v>
      </c>
      <c r="K622">
        <v>9.0352069457676806E-2</v>
      </c>
    </row>
    <row r="623" spans="1:11" customFormat="1">
      <c r="A623" s="119"/>
      <c r="B623" s="333" t="s">
        <v>1398</v>
      </c>
      <c r="D623">
        <v>0.05</v>
      </c>
      <c r="E623">
        <f t="shared" si="22"/>
        <v>1.8765892870658829E-2</v>
      </c>
      <c r="F623">
        <f t="shared" si="23"/>
        <v>0.13322041307764484</v>
      </c>
      <c r="G623">
        <v>0</v>
      </c>
      <c r="H623">
        <v>0.5</v>
      </c>
      <c r="I623">
        <v>0.05</v>
      </c>
      <c r="J623">
        <v>-0.17083883620141274</v>
      </c>
      <c r="K623">
        <v>4.1980187192294981E-2</v>
      </c>
    </row>
    <row r="624" spans="1:11" customFormat="1">
      <c r="A624" s="119"/>
      <c r="B624" s="333" t="s">
        <v>1399</v>
      </c>
      <c r="D624">
        <v>0.06</v>
      </c>
      <c r="E624">
        <f t="shared" si="22"/>
        <v>2.2519071444790591E-2</v>
      </c>
      <c r="F624">
        <f t="shared" si="23"/>
        <v>0.15986449569317382</v>
      </c>
      <c r="G624">
        <v>0</v>
      </c>
      <c r="H624">
        <v>0.5</v>
      </c>
      <c r="I624">
        <v>0.05</v>
      </c>
      <c r="J624">
        <v>-0.19060301906244712</v>
      </c>
      <c r="K624">
        <v>4.9390354268120121E-2</v>
      </c>
    </row>
    <row r="625" spans="1:11" customFormat="1">
      <c r="A625" s="119"/>
      <c r="B625" s="333" t="s">
        <v>1400</v>
      </c>
      <c r="D625">
        <v>7.0000000000000007E-2</v>
      </c>
      <c r="E625">
        <f t="shared" si="22"/>
        <v>2.6272250018922361E-2</v>
      </c>
      <c r="F625">
        <f t="shared" si="23"/>
        <v>0.18650857830870282</v>
      </c>
      <c r="G625">
        <v>0</v>
      </c>
      <c r="H625">
        <v>0.5</v>
      </c>
      <c r="I625">
        <v>0.05</v>
      </c>
      <c r="J625">
        <v>0.35041279944017362</v>
      </c>
      <c r="K625">
        <v>9.8980379708238017E-2</v>
      </c>
    </row>
    <row r="626" spans="1:11" customFormat="1">
      <c r="A626" s="119"/>
      <c r="B626" s="333" t="s">
        <v>1401</v>
      </c>
      <c r="D626">
        <v>0.08</v>
      </c>
      <c r="E626">
        <f t="shared" si="22"/>
        <v>3.0025428593054123E-2</v>
      </c>
      <c r="F626">
        <f t="shared" si="23"/>
        <v>0.21315266092423177</v>
      </c>
      <c r="G626">
        <v>0</v>
      </c>
      <c r="H626">
        <v>0.5</v>
      </c>
      <c r="I626">
        <v>0.05</v>
      </c>
      <c r="J626">
        <v>-0.80476732154685671</v>
      </c>
      <c r="K626">
        <v>3.5633026460485134E-2</v>
      </c>
    </row>
    <row r="627" spans="1:11" customFormat="1">
      <c r="A627" s="119"/>
      <c r="B627" s="333" t="s">
        <v>1402</v>
      </c>
      <c r="D627">
        <v>0.12</v>
      </c>
      <c r="E627">
        <f t="shared" si="22"/>
        <v>4.5038142889581183E-2</v>
      </c>
      <c r="F627">
        <f t="shared" si="23"/>
        <v>0.31972899138634764</v>
      </c>
      <c r="G627">
        <v>0</v>
      </c>
      <c r="H627">
        <v>0.5</v>
      </c>
      <c r="I627">
        <v>0.05</v>
      </c>
      <c r="J627">
        <v>7.6398395504707631E-2</v>
      </c>
      <c r="K627">
        <v>0.12901178316123144</v>
      </c>
    </row>
    <row r="628" spans="1:11" customFormat="1">
      <c r="A628" s="119"/>
      <c r="B628" s="333" t="s">
        <v>1403</v>
      </c>
      <c r="D628">
        <v>0.12</v>
      </c>
      <c r="E628">
        <f t="shared" si="22"/>
        <v>4.5038142889581183E-2</v>
      </c>
      <c r="F628">
        <f t="shared" si="23"/>
        <v>0.31972899138634764</v>
      </c>
      <c r="G628">
        <v>0</v>
      </c>
      <c r="H628">
        <v>0.5</v>
      </c>
      <c r="I628">
        <v>0.05</v>
      </c>
      <c r="J628">
        <v>-0.35650672099219366</v>
      </c>
      <c r="K628">
        <v>8.3679884999644821E-2</v>
      </c>
    </row>
    <row r="629" spans="1:11" customFormat="1">
      <c r="A629" s="119"/>
      <c r="B629" s="333" t="s">
        <v>1404</v>
      </c>
      <c r="D629">
        <v>0.12</v>
      </c>
      <c r="E629">
        <f t="shared" si="22"/>
        <v>4.5038142889581183E-2</v>
      </c>
      <c r="F629">
        <f t="shared" si="23"/>
        <v>0.31972899138634764</v>
      </c>
      <c r="G629">
        <v>0</v>
      </c>
      <c r="H629">
        <v>0.5</v>
      </c>
      <c r="I629">
        <v>0.05</v>
      </c>
      <c r="J629">
        <v>0.5815779746945654</v>
      </c>
      <c r="K629">
        <v>0.21380904887545282</v>
      </c>
    </row>
    <row r="630" spans="1:11" customFormat="1">
      <c r="A630" s="119"/>
      <c r="B630" s="333" t="s">
        <v>1405</v>
      </c>
      <c r="D630">
        <v>0.1</v>
      </c>
      <c r="E630">
        <f t="shared" si="22"/>
        <v>3.7531785741317658E-2</v>
      </c>
      <c r="F630">
        <f t="shared" si="23"/>
        <v>0.26644082615528969</v>
      </c>
      <c r="G630">
        <v>0</v>
      </c>
      <c r="H630">
        <v>0.5</v>
      </c>
      <c r="I630">
        <v>0.05</v>
      </c>
      <c r="J630">
        <v>0.12379096263610066</v>
      </c>
      <c r="K630">
        <v>0.11272765228763588</v>
      </c>
    </row>
    <row r="631" spans="1:11" customFormat="1">
      <c r="A631" s="119"/>
      <c r="B631" s="333" t="s">
        <v>1406</v>
      </c>
      <c r="D631">
        <v>0.09</v>
      </c>
      <c r="E631">
        <f t="shared" si="22"/>
        <v>3.3778607167185885E-2</v>
      </c>
      <c r="F631">
        <f t="shared" si="23"/>
        <v>0.23979674353976071</v>
      </c>
      <c r="G631">
        <v>0</v>
      </c>
      <c r="H631">
        <v>0.5</v>
      </c>
      <c r="I631">
        <v>0.05</v>
      </c>
      <c r="J631">
        <v>-0.32138361903480661</v>
      </c>
      <c r="K631">
        <v>6.5003405155686519E-2</v>
      </c>
    </row>
    <row r="632" spans="1:11" customFormat="1">
      <c r="A632" s="119"/>
      <c r="B632" s="333" t="s">
        <v>1407</v>
      </c>
      <c r="D632">
        <v>7.0000000000000007E-2</v>
      </c>
      <c r="E632">
        <f t="shared" si="22"/>
        <v>2.6272250018922361E-2</v>
      </c>
      <c r="F632">
        <f t="shared" si="23"/>
        <v>0.18650857830870282</v>
      </c>
      <c r="G632">
        <v>0</v>
      </c>
      <c r="H632">
        <v>0.5</v>
      </c>
      <c r="I632">
        <v>0.05</v>
      </c>
      <c r="J632">
        <v>-0.36544049347998314</v>
      </c>
      <c r="K632">
        <v>4.8379121796120694E-2</v>
      </c>
    </row>
    <row r="633" spans="1:11" customFormat="1">
      <c r="A633" s="119"/>
      <c r="B633" s="333" t="s">
        <v>1408</v>
      </c>
      <c r="D633">
        <v>7.0000000000000007E-2</v>
      </c>
      <c r="E633">
        <f t="shared" si="22"/>
        <v>2.6272250018922361E-2</v>
      </c>
      <c r="F633">
        <f t="shared" si="23"/>
        <v>0.18650857830870282</v>
      </c>
      <c r="G633">
        <v>0</v>
      </c>
      <c r="H633">
        <v>0.5</v>
      </c>
      <c r="I633">
        <v>0.05</v>
      </c>
      <c r="J633">
        <v>-0.8088106342368403</v>
      </c>
      <c r="K633">
        <v>3.1053086637412804E-2</v>
      </c>
    </row>
    <row r="634" spans="1:11" customFormat="1">
      <c r="A634" s="119"/>
      <c r="B634" s="333" t="s">
        <v>1409</v>
      </c>
      <c r="D634">
        <v>0.05</v>
      </c>
      <c r="E634">
        <f t="shared" si="22"/>
        <v>1.8765892870658829E-2</v>
      </c>
      <c r="F634">
        <f t="shared" si="23"/>
        <v>0.13322041307764484</v>
      </c>
      <c r="G634">
        <v>0</v>
      </c>
      <c r="H634">
        <v>0.5</v>
      </c>
      <c r="I634">
        <v>0.05</v>
      </c>
      <c r="J634">
        <v>-0.55575424674114693</v>
      </c>
      <c r="K634">
        <v>2.7714445492801203E-2</v>
      </c>
    </row>
    <row r="635" spans="1:11" customFormat="1">
      <c r="A635" s="119"/>
      <c r="B635" s="333" t="s">
        <v>1410</v>
      </c>
      <c r="D635">
        <v>0.05</v>
      </c>
      <c r="E635">
        <f t="shared" si="22"/>
        <v>1.8765892870658829E-2</v>
      </c>
      <c r="F635">
        <f t="shared" si="23"/>
        <v>0.13322041307764484</v>
      </c>
      <c r="G635">
        <v>0</v>
      </c>
      <c r="H635">
        <v>0.5</v>
      </c>
      <c r="I635">
        <v>0.05</v>
      </c>
      <c r="J635">
        <v>-0.32481113556199764</v>
      </c>
      <c r="K635">
        <v>3.4914313929669101E-2</v>
      </c>
    </row>
    <row r="636" spans="1:11" customFormat="1">
      <c r="A636" s="119"/>
      <c r="B636" s="333" t="s">
        <v>1411</v>
      </c>
      <c r="D636">
        <v>0.06</v>
      </c>
      <c r="E636">
        <f t="shared" si="22"/>
        <v>2.2519071444790591E-2</v>
      </c>
      <c r="F636">
        <f t="shared" si="23"/>
        <v>0.15986449569317382</v>
      </c>
      <c r="G636">
        <v>0</v>
      </c>
      <c r="H636">
        <v>0.5</v>
      </c>
      <c r="I636">
        <v>0.05</v>
      </c>
      <c r="J636">
        <v>0.5506321519511882</v>
      </c>
      <c r="K636">
        <v>0.10055066508647353</v>
      </c>
    </row>
    <row r="637" spans="1:11" customFormat="1">
      <c r="A637" s="119"/>
      <c r="B637" s="333" t="s">
        <v>1412</v>
      </c>
      <c r="D637">
        <v>7.0000000000000007E-2</v>
      </c>
      <c r="E637">
        <f t="shared" si="22"/>
        <v>2.6272250018922361E-2</v>
      </c>
      <c r="F637">
        <f t="shared" si="23"/>
        <v>0.18650857830870282</v>
      </c>
      <c r="G637">
        <v>0</v>
      </c>
      <c r="H637">
        <v>0.5</v>
      </c>
      <c r="I637">
        <v>0.05</v>
      </c>
      <c r="J637">
        <v>-0.23770462265013872</v>
      </c>
      <c r="K637">
        <v>5.3328752694963427E-2</v>
      </c>
    </row>
    <row r="638" spans="1:11" customFormat="1">
      <c r="A638" s="119"/>
      <c r="B638" s="333" t="s">
        <v>1413</v>
      </c>
      <c r="D638">
        <v>0.08</v>
      </c>
      <c r="E638">
        <f t="shared" si="22"/>
        <v>3.0025428593054123E-2</v>
      </c>
      <c r="F638">
        <f t="shared" si="23"/>
        <v>0.21315266092423177</v>
      </c>
      <c r="G638">
        <v>0</v>
      </c>
      <c r="H638">
        <v>0.5</v>
      </c>
      <c r="I638">
        <v>0.05</v>
      </c>
      <c r="J638">
        <v>0.2547117471576727</v>
      </c>
      <c r="K638">
        <v>9.9725698132157578E-2</v>
      </c>
    </row>
    <row r="639" spans="1:11" customFormat="1">
      <c r="A639" s="119"/>
      <c r="B639" s="333" t="s">
        <v>1414</v>
      </c>
      <c r="D639">
        <v>0.1</v>
      </c>
      <c r="E639">
        <f t="shared" si="22"/>
        <v>3.7531785741317658E-2</v>
      </c>
      <c r="F639">
        <f t="shared" si="23"/>
        <v>0.26644082615528969</v>
      </c>
      <c r="G639">
        <v>0</v>
      </c>
      <c r="H639">
        <v>0.5</v>
      </c>
      <c r="I639">
        <v>0.05</v>
      </c>
      <c r="J639">
        <v>-6.7250537851638717E-2</v>
      </c>
      <c r="K639">
        <v>9.034219839812084E-2</v>
      </c>
    </row>
    <row r="640" spans="1:11" customFormat="1">
      <c r="A640" s="119"/>
      <c r="B640" s="333" t="s">
        <v>1415</v>
      </c>
      <c r="D640">
        <v>0.11</v>
      </c>
      <c r="E640">
        <f t="shared" si="22"/>
        <v>4.1284964315449417E-2</v>
      </c>
      <c r="F640">
        <f t="shared" si="23"/>
        <v>0.29308490877081866</v>
      </c>
      <c r="G640">
        <v>0</v>
      </c>
      <c r="H640">
        <v>0.5</v>
      </c>
      <c r="I640">
        <v>0.05</v>
      </c>
      <c r="J640">
        <v>0.14817826860850861</v>
      </c>
      <c r="K640">
        <v>0.12326588030483075</v>
      </c>
    </row>
    <row r="641" spans="1:18">
      <c r="A641" s="119"/>
      <c r="B641" s="333" t="s">
        <v>1416</v>
      </c>
      <c r="D641">
        <v>0.12</v>
      </c>
      <c r="E641">
        <f t="shared" si="22"/>
        <v>4.5038142889581183E-2</v>
      </c>
      <c r="F641">
        <f t="shared" si="23"/>
        <v>0.31972899138634764</v>
      </c>
      <c r="G641">
        <v>0</v>
      </c>
      <c r="H641">
        <v>0.5</v>
      </c>
      <c r="I641">
        <v>0.05</v>
      </c>
      <c r="J641">
        <v>-0.1974468898048769</v>
      </c>
      <c r="K641">
        <v>9.5176196092410112E-2</v>
      </c>
      <c r="O641"/>
      <c r="R641"/>
    </row>
    <row r="642" spans="1:18">
      <c r="A642" s="119"/>
      <c r="B642" s="333" t="s">
        <v>1417</v>
      </c>
      <c r="D642">
        <v>0.12</v>
      </c>
      <c r="E642">
        <f t="shared" si="22"/>
        <v>4.5038142889581183E-2</v>
      </c>
      <c r="F642">
        <f t="shared" si="23"/>
        <v>0.31972899138634764</v>
      </c>
      <c r="G642">
        <v>0</v>
      </c>
      <c r="H642">
        <v>0.5</v>
      </c>
      <c r="I642">
        <v>0.05</v>
      </c>
      <c r="J642">
        <v>-0.54063808878739694</v>
      </c>
      <c r="K642">
        <v>6.7527753106049457E-2</v>
      </c>
      <c r="O642"/>
      <c r="R642"/>
    </row>
    <row r="643" spans="1:18">
      <c r="A643" s="119"/>
      <c r="B643" s="333" t="s">
        <v>1418</v>
      </c>
      <c r="D643">
        <v>0.11</v>
      </c>
      <c r="E643">
        <f t="shared" si="22"/>
        <v>4.1284964315449417E-2</v>
      </c>
      <c r="F643">
        <f t="shared" si="23"/>
        <v>0.29308490877081866</v>
      </c>
      <c r="G643">
        <v>0</v>
      </c>
      <c r="H643">
        <v>0.5</v>
      </c>
      <c r="I643">
        <v>0.05</v>
      </c>
      <c r="J643">
        <v>0.64362729005170982</v>
      </c>
      <c r="K643">
        <v>0.20230827994005002</v>
      </c>
      <c r="O643"/>
      <c r="R643"/>
    </row>
    <row r="644" spans="1:18">
      <c r="A644" s="119"/>
      <c r="B644" s="333" t="s">
        <v>1419</v>
      </c>
      <c r="D644">
        <v>7.0000000000000007E-2</v>
      </c>
      <c r="E644">
        <f t="shared" si="22"/>
        <v>2.6272250018922361E-2</v>
      </c>
      <c r="F644">
        <f t="shared" si="23"/>
        <v>0.18650857830870282</v>
      </c>
      <c r="G644">
        <v>0</v>
      </c>
      <c r="H644">
        <v>0.5</v>
      </c>
      <c r="I644">
        <v>0.05</v>
      </c>
      <c r="J644">
        <v>-0.30350330181182406</v>
      </c>
      <c r="K644">
        <v>4.9932742841757229E-2</v>
      </c>
      <c r="O644"/>
      <c r="R644"/>
    </row>
    <row r="645" spans="1:18">
      <c r="A645" s="119"/>
      <c r="B645" s="333" t="s">
        <v>1420</v>
      </c>
      <c r="D645">
        <v>0.06</v>
      </c>
      <c r="E645">
        <f t="shared" si="22"/>
        <v>2.2519071444790591E-2</v>
      </c>
      <c r="F645">
        <f t="shared" si="23"/>
        <v>0.15986449569317382</v>
      </c>
      <c r="G645">
        <v>0</v>
      </c>
      <c r="H645">
        <v>0.5</v>
      </c>
      <c r="I645">
        <v>0.05</v>
      </c>
      <c r="J645">
        <v>-4.8829806014797174E-2</v>
      </c>
      <c r="K645">
        <v>5.5213073980716794E-2</v>
      </c>
      <c r="O645"/>
      <c r="R645"/>
    </row>
    <row r="646" spans="1:18">
      <c r="B646" s="332"/>
      <c r="G646"/>
      <c r="I646"/>
      <c r="O646"/>
      <c r="R646"/>
    </row>
    <row r="647" spans="1:18" ht="15.75">
      <c r="A647" s="388">
        <v>1.63</v>
      </c>
      <c r="B647" s="389" t="s">
        <v>363</v>
      </c>
      <c r="C647" s="362" t="s">
        <v>548</v>
      </c>
      <c r="D647" s="362" t="s">
        <v>549</v>
      </c>
      <c r="E647" s="362" t="s">
        <v>550</v>
      </c>
      <c r="G647"/>
      <c r="I647"/>
      <c r="O647"/>
      <c r="R647"/>
    </row>
    <row r="648" spans="1:18" ht="15.75">
      <c r="A648" s="119"/>
      <c r="B648" s="331" t="s">
        <v>1001</v>
      </c>
      <c r="C648" s="362">
        <v>334.20498244440734</v>
      </c>
      <c r="D648" s="362">
        <v>157.12247117017415</v>
      </c>
      <c r="E648" s="362">
        <f t="shared" ref="E648:E711" si="24">MAX(0,C648-D648)</f>
        <v>177.08251127423318</v>
      </c>
      <c r="G648"/>
      <c r="I648"/>
      <c r="K648">
        <f t="shared" ref="K648:K711" si="25">MIN(C648,D648)</f>
        <v>157.12247117017415</v>
      </c>
      <c r="O648"/>
      <c r="R648"/>
    </row>
    <row r="649" spans="1:18" ht="15.75">
      <c r="A649" s="119"/>
      <c r="B649" s="331" t="s">
        <v>1002</v>
      </c>
      <c r="C649" s="362">
        <v>334.20498244440734</v>
      </c>
      <c r="D649" s="362">
        <v>132.78773049700749</v>
      </c>
      <c r="E649" s="362">
        <f t="shared" si="24"/>
        <v>201.41725194739985</v>
      </c>
      <c r="G649"/>
      <c r="I649"/>
      <c r="K649">
        <f t="shared" si="25"/>
        <v>132.78773049700749</v>
      </c>
      <c r="O649"/>
      <c r="R649"/>
    </row>
    <row r="650" spans="1:18" ht="15.75">
      <c r="A650" s="119"/>
      <c r="B650" s="331" t="s">
        <v>1003</v>
      </c>
      <c r="C650" s="362">
        <v>411.41148047999997</v>
      </c>
      <c r="D650" s="362">
        <v>209.87165496777584</v>
      </c>
      <c r="E650" s="362">
        <f t="shared" si="24"/>
        <v>201.53982551222413</v>
      </c>
      <c r="G650"/>
      <c r="I650"/>
      <c r="K650">
        <f t="shared" si="25"/>
        <v>209.87165496777584</v>
      </c>
      <c r="O650"/>
      <c r="R650"/>
    </row>
    <row r="651" spans="1:18" ht="15.75">
      <c r="A651" s="119"/>
      <c r="B651" s="331" t="s">
        <v>1004</v>
      </c>
      <c r="C651" s="362">
        <v>372.41584896286179</v>
      </c>
      <c r="D651" s="362">
        <v>563.63141240351797</v>
      </c>
      <c r="E651" s="362">
        <f t="shared" si="24"/>
        <v>0</v>
      </c>
      <c r="G651"/>
      <c r="I651"/>
      <c r="K651">
        <f t="shared" si="25"/>
        <v>372.41584896286179</v>
      </c>
      <c r="O651"/>
      <c r="R651"/>
    </row>
    <row r="652" spans="1:18" ht="15.75">
      <c r="A652" s="119"/>
      <c r="B652" s="331" t="s">
        <v>1005</v>
      </c>
      <c r="C652" s="362">
        <v>548.54864063999992</v>
      </c>
      <c r="D652" s="362">
        <v>485.42527354499839</v>
      </c>
      <c r="E652" s="362">
        <f t="shared" si="24"/>
        <v>63.123367095001527</v>
      </c>
      <c r="G652"/>
      <c r="I652"/>
      <c r="K652">
        <f t="shared" si="25"/>
        <v>485.42527354499839</v>
      </c>
      <c r="O652"/>
      <c r="R652"/>
    </row>
    <row r="653" spans="1:18" ht="15.75">
      <c r="A653" s="119"/>
      <c r="B653" s="331" t="s">
        <v>1006</v>
      </c>
      <c r="C653" s="362">
        <v>712.25769669327246</v>
      </c>
      <c r="D653" s="362">
        <v>1105.7346467948576</v>
      </c>
      <c r="E653" s="362">
        <f t="shared" si="24"/>
        <v>0</v>
      </c>
      <c r="G653"/>
      <c r="I653"/>
      <c r="K653">
        <f t="shared" si="25"/>
        <v>712.25769669327246</v>
      </c>
      <c r="O653"/>
      <c r="R653"/>
    </row>
    <row r="654" spans="1:18" ht="15.75">
      <c r="A654" s="119"/>
      <c r="B654" s="331" t="s">
        <v>1007</v>
      </c>
      <c r="C654" s="362">
        <v>712.25769669327246</v>
      </c>
      <c r="D654" s="362">
        <v>1096.0614961959354</v>
      </c>
      <c r="E654" s="362">
        <f t="shared" si="24"/>
        <v>0</v>
      </c>
      <c r="G654"/>
      <c r="I654"/>
      <c r="K654">
        <f t="shared" si="25"/>
        <v>712.25769669327246</v>
      </c>
      <c r="O654"/>
      <c r="R654"/>
    </row>
    <row r="655" spans="1:18" ht="15.75">
      <c r="A655" s="119"/>
      <c r="B655" s="331" t="s">
        <v>1008</v>
      </c>
      <c r="C655" s="362">
        <v>712.25769669327246</v>
      </c>
      <c r="D655" s="362">
        <v>359.21531621133551</v>
      </c>
      <c r="E655" s="362">
        <f t="shared" si="24"/>
        <v>353.04238048193696</v>
      </c>
      <c r="G655"/>
      <c r="I655"/>
      <c r="K655">
        <f t="shared" si="25"/>
        <v>359.21531621133551</v>
      </c>
      <c r="O655"/>
      <c r="R655"/>
    </row>
    <row r="656" spans="1:18" ht="15.75">
      <c r="A656" s="119"/>
      <c r="B656" s="331" t="s">
        <v>1009</v>
      </c>
      <c r="C656" s="362">
        <v>685.68580079999992</v>
      </c>
      <c r="D656" s="362">
        <v>486.39104140409751</v>
      </c>
      <c r="E656" s="362">
        <f t="shared" si="24"/>
        <v>199.29475939590242</v>
      </c>
      <c r="G656"/>
      <c r="I656"/>
      <c r="K656">
        <f t="shared" si="25"/>
        <v>486.39104140409751</v>
      </c>
      <c r="O656"/>
      <c r="R656"/>
    </row>
    <row r="657" spans="1:11" customFormat="1" ht="15.75">
      <c r="A657" s="119"/>
      <c r="B657" s="331" t="s">
        <v>1010</v>
      </c>
      <c r="C657" s="362">
        <v>625.13838936669276</v>
      </c>
      <c r="D657" s="362">
        <v>380.56556468303916</v>
      </c>
      <c r="E657" s="362">
        <f t="shared" si="24"/>
        <v>244.57282468365361</v>
      </c>
      <c r="K657">
        <f t="shared" si="25"/>
        <v>380.56556468303916</v>
      </c>
    </row>
    <row r="658" spans="1:11" customFormat="1" ht="15.75">
      <c r="A658" s="119"/>
      <c r="B658" s="331" t="s">
        <v>1011</v>
      </c>
      <c r="C658" s="362">
        <v>372.41584896286179</v>
      </c>
      <c r="D658" s="362">
        <v>312.30751336432468</v>
      </c>
      <c r="E658" s="362">
        <f t="shared" si="24"/>
        <v>60.10833559853711</v>
      </c>
      <c r="K658">
        <f t="shared" si="25"/>
        <v>312.30751336432468</v>
      </c>
    </row>
    <row r="659" spans="1:11" customFormat="1" ht="15.75">
      <c r="A659" s="119"/>
      <c r="B659" s="331" t="s">
        <v>1012</v>
      </c>
      <c r="C659" s="362">
        <v>372.41584896286179</v>
      </c>
      <c r="D659" s="362">
        <v>208.7817619809874</v>
      </c>
      <c r="E659" s="362">
        <f t="shared" si="24"/>
        <v>163.63408698187439</v>
      </c>
      <c r="K659">
        <f t="shared" si="25"/>
        <v>208.7817619809874</v>
      </c>
    </row>
    <row r="660" spans="1:11" customFormat="1" ht="15.75">
      <c r="A660" s="119"/>
      <c r="B660" s="331" t="s">
        <v>1013</v>
      </c>
      <c r="C660" s="362">
        <v>322.45118272741701</v>
      </c>
      <c r="D660" s="362">
        <v>322.6415769244802</v>
      </c>
      <c r="E660" s="362">
        <f t="shared" si="24"/>
        <v>0</v>
      </c>
      <c r="K660">
        <f t="shared" si="25"/>
        <v>322.45118272741701</v>
      </c>
    </row>
    <row r="661" spans="1:11" customFormat="1" ht="15.75">
      <c r="A661" s="119"/>
      <c r="B661" s="331" t="s">
        <v>1014</v>
      </c>
      <c r="C661" s="362">
        <v>322.45118272741701</v>
      </c>
      <c r="D661" s="362">
        <v>670.86017778253279</v>
      </c>
      <c r="E661" s="362">
        <f t="shared" si="24"/>
        <v>0</v>
      </c>
      <c r="K661">
        <f t="shared" si="25"/>
        <v>322.45118272741701</v>
      </c>
    </row>
    <row r="662" spans="1:11" customFormat="1" ht="15.75">
      <c r="A662" s="119"/>
      <c r="B662" s="331" t="s">
        <v>1015</v>
      </c>
      <c r="C662" s="362">
        <v>411.99188640973631</v>
      </c>
      <c r="D662" s="362">
        <v>434.41113304432071</v>
      </c>
      <c r="E662" s="362">
        <f t="shared" si="24"/>
        <v>0</v>
      </c>
      <c r="K662">
        <f t="shared" si="25"/>
        <v>411.99188640973631</v>
      </c>
    </row>
    <row r="663" spans="1:11" customFormat="1" ht="15.75">
      <c r="A663" s="119"/>
      <c r="B663" s="331" t="s">
        <v>1016</v>
      </c>
      <c r="C663" s="362">
        <v>358.81286067600985</v>
      </c>
      <c r="D663" s="362">
        <v>870.3047511790852</v>
      </c>
      <c r="E663" s="362">
        <f t="shared" si="24"/>
        <v>0</v>
      </c>
      <c r="K663">
        <f t="shared" si="25"/>
        <v>358.81286067600985</v>
      </c>
    </row>
    <row r="664" spans="1:11" customFormat="1" ht="15.75">
      <c r="A664" s="119"/>
      <c r="B664" s="331" t="s">
        <v>1017</v>
      </c>
      <c r="C664" s="362">
        <v>549.32251521298178</v>
      </c>
      <c r="D664" s="362">
        <v>1362.1704927962412</v>
      </c>
      <c r="E664" s="362">
        <f t="shared" si="24"/>
        <v>0</v>
      </c>
      <c r="K664">
        <f t="shared" si="25"/>
        <v>549.32251521298178</v>
      </c>
    </row>
    <row r="665" spans="1:11" customFormat="1" ht="15.75">
      <c r="A665" s="119"/>
      <c r="B665" s="331" t="s">
        <v>1018</v>
      </c>
      <c r="C665" s="362">
        <v>823.98377281947262</v>
      </c>
      <c r="D665" s="362">
        <v>715.3219808428131</v>
      </c>
      <c r="E665" s="362">
        <f t="shared" si="24"/>
        <v>108.66179197665952</v>
      </c>
      <c r="K665">
        <f t="shared" si="25"/>
        <v>715.3219808428131</v>
      </c>
    </row>
    <row r="666" spans="1:11" customFormat="1" ht="15.75">
      <c r="A666" s="119"/>
      <c r="B666" s="331" t="s">
        <v>1019</v>
      </c>
      <c r="C666" s="362">
        <v>823.98377281947262</v>
      </c>
      <c r="D666" s="362">
        <v>1043.0570288083741</v>
      </c>
      <c r="E666" s="362">
        <f t="shared" si="24"/>
        <v>0</v>
      </c>
      <c r="K666">
        <f t="shared" si="25"/>
        <v>823.98377281947262</v>
      </c>
    </row>
    <row r="667" spans="1:11" customFormat="1" ht="15.75">
      <c r="A667" s="119"/>
      <c r="B667" s="331" t="s">
        <v>1020</v>
      </c>
      <c r="C667" s="362">
        <v>823.98377281947262</v>
      </c>
      <c r="D667" s="362">
        <v>687.38187356135688</v>
      </c>
      <c r="E667" s="362">
        <f t="shared" si="24"/>
        <v>136.60189925811574</v>
      </c>
      <c r="K667">
        <f t="shared" si="25"/>
        <v>687.38187356135688</v>
      </c>
    </row>
    <row r="668" spans="1:11" customFormat="1" ht="15.75">
      <c r="A668" s="119"/>
      <c r="B668" s="331" t="s">
        <v>1021</v>
      </c>
      <c r="C668" s="362">
        <v>686.65314401622709</v>
      </c>
      <c r="D668" s="362">
        <v>559.29390595149187</v>
      </c>
      <c r="E668" s="362">
        <f t="shared" si="24"/>
        <v>127.35923806473522</v>
      </c>
      <c r="K668">
        <f t="shared" si="25"/>
        <v>559.29390595149187</v>
      </c>
    </row>
    <row r="669" spans="1:11" customFormat="1" ht="15.75">
      <c r="A669" s="119"/>
      <c r="B669" s="331" t="s">
        <v>1022</v>
      </c>
      <c r="C669" s="362">
        <v>741.69655560000001</v>
      </c>
      <c r="D669" s="362">
        <v>604.09648242760852</v>
      </c>
      <c r="E669" s="362">
        <f t="shared" si="24"/>
        <v>137.60007317239149</v>
      </c>
      <c r="K669">
        <f t="shared" si="25"/>
        <v>604.09648242760852</v>
      </c>
    </row>
    <row r="670" spans="1:11" customFormat="1" ht="15.75">
      <c r="A670" s="119"/>
      <c r="B670" s="331" t="s">
        <v>1023</v>
      </c>
      <c r="C670" s="362">
        <v>358.81286067600985</v>
      </c>
      <c r="D670" s="362">
        <v>354.66722478129799</v>
      </c>
      <c r="E670" s="362">
        <f t="shared" si="24"/>
        <v>4.1456358947118588</v>
      </c>
      <c r="K670">
        <f t="shared" si="25"/>
        <v>354.66722478129799</v>
      </c>
    </row>
    <row r="671" spans="1:11" customFormat="1" ht="15.75">
      <c r="A671" s="119"/>
      <c r="B671" s="331" t="s">
        <v>1024</v>
      </c>
      <c r="C671" s="362">
        <v>358.81286067600985</v>
      </c>
      <c r="D671" s="362">
        <v>343.99996447757212</v>
      </c>
      <c r="E671" s="362">
        <f t="shared" si="24"/>
        <v>14.812896198437727</v>
      </c>
      <c r="K671">
        <f t="shared" si="25"/>
        <v>343.99996447757212</v>
      </c>
    </row>
    <row r="672" spans="1:11" customFormat="1" ht="15.75">
      <c r="A672" s="119"/>
      <c r="B672" s="331" t="s">
        <v>1025</v>
      </c>
      <c r="C672" s="362">
        <v>476.25769388592545</v>
      </c>
      <c r="D672" s="362">
        <v>369.44264573298841</v>
      </c>
      <c r="E672" s="362">
        <f t="shared" si="24"/>
        <v>106.81504815293704</v>
      </c>
      <c r="K672">
        <f t="shared" si="25"/>
        <v>369.44264573298841</v>
      </c>
    </row>
    <row r="673" spans="1:11" customFormat="1" ht="15.75">
      <c r="A673" s="119"/>
      <c r="B673" s="331" t="s">
        <v>1026</v>
      </c>
      <c r="C673" s="362">
        <v>476.25769388592545</v>
      </c>
      <c r="D673" s="362">
        <v>1002.6470649683665</v>
      </c>
      <c r="E673" s="362">
        <f t="shared" si="24"/>
        <v>0</v>
      </c>
      <c r="K673">
        <f t="shared" si="25"/>
        <v>476.25769388592545</v>
      </c>
    </row>
    <row r="674" spans="1:11" customFormat="1" ht="15.75">
      <c r="A674" s="119"/>
      <c r="B674" s="331" t="s">
        <v>1027</v>
      </c>
      <c r="C674" s="362">
        <v>405.5345911949687</v>
      </c>
      <c r="D674" s="362">
        <v>511.6371835439021</v>
      </c>
      <c r="E674" s="362">
        <f t="shared" si="24"/>
        <v>0</v>
      </c>
      <c r="K674">
        <f t="shared" si="25"/>
        <v>405.5345911949687</v>
      </c>
    </row>
    <row r="675" spans="1:11" customFormat="1" ht="15.75">
      <c r="A675" s="119"/>
      <c r="B675" s="331" t="s">
        <v>1028</v>
      </c>
      <c r="C675" s="362">
        <v>470.80012169151217</v>
      </c>
      <c r="D675" s="362">
        <v>450.01146236494031</v>
      </c>
      <c r="E675" s="362">
        <f t="shared" si="24"/>
        <v>20.78865932657186</v>
      </c>
      <c r="K675">
        <f t="shared" si="25"/>
        <v>450.01146236494031</v>
      </c>
    </row>
    <row r="676" spans="1:11" customFormat="1" ht="15.75">
      <c r="A676" s="119"/>
      <c r="B676" s="331" t="s">
        <v>1029</v>
      </c>
      <c r="C676" s="362">
        <v>657.57339648000004</v>
      </c>
      <c r="D676" s="362">
        <v>453.06385478204902</v>
      </c>
      <c r="E676" s="362">
        <f t="shared" si="24"/>
        <v>204.50954169795102</v>
      </c>
      <c r="K676">
        <f t="shared" si="25"/>
        <v>453.06385478204902</v>
      </c>
    </row>
    <row r="677" spans="1:11" customFormat="1" ht="15.75">
      <c r="A677" s="119"/>
      <c r="B677" s="331" t="s">
        <v>1030</v>
      </c>
      <c r="C677" s="362">
        <v>946.24737945492689</v>
      </c>
      <c r="D677" s="362">
        <v>898.81202080777655</v>
      </c>
      <c r="E677" s="362">
        <f t="shared" si="24"/>
        <v>47.435358647150338</v>
      </c>
      <c r="K677">
        <f t="shared" si="25"/>
        <v>898.81202080777655</v>
      </c>
    </row>
    <row r="678" spans="1:11" customFormat="1" ht="15.75">
      <c r="A678" s="119"/>
      <c r="B678" s="331" t="s">
        <v>1031</v>
      </c>
      <c r="C678" s="362">
        <v>946.24737945492689</v>
      </c>
      <c r="D678" s="362">
        <v>747.85152036599743</v>
      </c>
      <c r="E678" s="362">
        <f t="shared" si="24"/>
        <v>198.39585908892946</v>
      </c>
      <c r="K678">
        <f t="shared" si="25"/>
        <v>747.85152036599743</v>
      </c>
    </row>
    <row r="679" spans="1:11" customFormat="1" ht="15.75">
      <c r="A679" s="119"/>
      <c r="B679" s="331" t="s">
        <v>1032</v>
      </c>
      <c r="C679" s="362">
        <v>946.24737945492689</v>
      </c>
      <c r="D679" s="362">
        <v>1175.3039086349286</v>
      </c>
      <c r="E679" s="362">
        <f t="shared" si="24"/>
        <v>0</v>
      </c>
      <c r="K679">
        <f t="shared" si="25"/>
        <v>946.24737945492689</v>
      </c>
    </row>
    <row r="680" spans="1:11" customFormat="1" ht="15.75">
      <c r="A680" s="119"/>
      <c r="B680" s="331" t="s">
        <v>1033</v>
      </c>
      <c r="C680" s="362">
        <v>811.0691823899374</v>
      </c>
      <c r="D680" s="362">
        <v>785.57974198606007</v>
      </c>
      <c r="E680" s="362">
        <f t="shared" si="24"/>
        <v>25.489440403877325</v>
      </c>
      <c r="K680">
        <f t="shared" si="25"/>
        <v>785.57974198606007</v>
      </c>
    </row>
    <row r="681" spans="1:11" customFormat="1" ht="15.75">
      <c r="A681" s="119"/>
      <c r="B681" s="331" t="s">
        <v>1034</v>
      </c>
      <c r="C681" s="362">
        <v>742.00230149597269</v>
      </c>
      <c r="D681" s="362">
        <v>535.42460334259215</v>
      </c>
      <c r="E681" s="362">
        <f t="shared" si="24"/>
        <v>206.57769815338054</v>
      </c>
      <c r="K681">
        <f t="shared" si="25"/>
        <v>535.42460334259215</v>
      </c>
    </row>
    <row r="682" spans="1:11" customFormat="1" ht="15.75">
      <c r="A682" s="119"/>
      <c r="B682" s="331" t="s">
        <v>1035</v>
      </c>
      <c r="C682" s="362">
        <v>470.80012169151217</v>
      </c>
      <c r="D682" s="362">
        <v>669.30315448596423</v>
      </c>
      <c r="E682" s="362">
        <f t="shared" si="24"/>
        <v>0</v>
      </c>
      <c r="K682">
        <f t="shared" si="25"/>
        <v>470.80012169151217</v>
      </c>
    </row>
    <row r="683" spans="1:11" customFormat="1" ht="15.75">
      <c r="A683" s="119"/>
      <c r="B683" s="331" t="s">
        <v>1036</v>
      </c>
      <c r="C683" s="362">
        <v>470.80012169151217</v>
      </c>
      <c r="D683" s="362">
        <v>455.64323702118469</v>
      </c>
      <c r="E683" s="362">
        <f t="shared" si="24"/>
        <v>15.156884670327486</v>
      </c>
      <c r="K683">
        <f t="shared" si="25"/>
        <v>455.64323702118469</v>
      </c>
    </row>
    <row r="684" spans="1:11" customFormat="1" ht="15.75">
      <c r="A684" s="119"/>
      <c r="B684" s="331" t="s">
        <v>1037</v>
      </c>
      <c r="C684" s="362">
        <v>411.41148047999997</v>
      </c>
      <c r="D684" s="362">
        <v>674.79161875321029</v>
      </c>
      <c r="E684" s="362">
        <f t="shared" si="24"/>
        <v>0</v>
      </c>
      <c r="K684">
        <f t="shared" si="25"/>
        <v>411.41148047999997</v>
      </c>
    </row>
    <row r="685" spans="1:11" customFormat="1" ht="15.75">
      <c r="A685" s="119"/>
      <c r="B685" s="331" t="s">
        <v>1038</v>
      </c>
      <c r="C685" s="362">
        <v>411.41148047999997</v>
      </c>
      <c r="D685" s="362">
        <v>649.96006176793003</v>
      </c>
      <c r="E685" s="362">
        <f t="shared" si="24"/>
        <v>0</v>
      </c>
      <c r="K685">
        <f t="shared" si="25"/>
        <v>411.41148047999997</v>
      </c>
    </row>
    <row r="686" spans="1:11" customFormat="1" ht="15.75">
      <c r="A686" s="119"/>
      <c r="B686" s="331" t="s">
        <v>1039</v>
      </c>
      <c r="C686" s="362">
        <v>357.11291090995718</v>
      </c>
      <c r="D686" s="362">
        <v>413.79857867768368</v>
      </c>
      <c r="E686" s="362">
        <f t="shared" si="24"/>
        <v>0</v>
      </c>
      <c r="K686">
        <f t="shared" si="25"/>
        <v>357.11291090995718</v>
      </c>
    </row>
    <row r="687" spans="1:11" customFormat="1" ht="15.75">
      <c r="A687" s="119"/>
      <c r="B687" s="331" t="s">
        <v>1040</v>
      </c>
      <c r="C687" s="362">
        <v>476.15054787994279</v>
      </c>
      <c r="D687" s="362">
        <v>1299.8542387499103</v>
      </c>
      <c r="E687" s="362">
        <f t="shared" si="24"/>
        <v>0</v>
      </c>
      <c r="K687">
        <f t="shared" si="25"/>
        <v>476.15054787994279</v>
      </c>
    </row>
    <row r="688" spans="1:11" customFormat="1" ht="15.75">
      <c r="A688" s="119"/>
      <c r="B688" s="331" t="s">
        <v>1041</v>
      </c>
      <c r="C688" s="362">
        <v>476.15054787994285</v>
      </c>
      <c r="D688" s="362">
        <v>658.99825702292515</v>
      </c>
      <c r="E688" s="362">
        <f t="shared" si="24"/>
        <v>0</v>
      </c>
      <c r="K688">
        <f t="shared" si="25"/>
        <v>476.15054787994285</v>
      </c>
    </row>
    <row r="689" spans="1:11" customFormat="1" ht="15.75">
      <c r="A689" s="119"/>
      <c r="B689" s="331" t="s">
        <v>1042</v>
      </c>
      <c r="C689" s="362">
        <v>754.25438087999987</v>
      </c>
      <c r="D689" s="362">
        <v>1057.9820726799578</v>
      </c>
      <c r="E689" s="362">
        <f t="shared" si="24"/>
        <v>0</v>
      </c>
      <c r="K689">
        <f t="shared" si="25"/>
        <v>754.25438087999987</v>
      </c>
    </row>
    <row r="690" spans="1:11" customFormat="1" ht="15.75">
      <c r="A690" s="119"/>
      <c r="B690" s="331" t="s">
        <v>1043</v>
      </c>
      <c r="C690" s="362">
        <v>772.41450376763066</v>
      </c>
      <c r="D690" s="362">
        <v>958.29657035101991</v>
      </c>
      <c r="E690" s="362">
        <f t="shared" si="24"/>
        <v>0</v>
      </c>
      <c r="K690">
        <f t="shared" si="25"/>
        <v>772.41450376763066</v>
      </c>
    </row>
    <row r="691" spans="1:11" customFormat="1" ht="15.75">
      <c r="A691" s="119"/>
      <c r="B691" s="331" t="s">
        <v>1044</v>
      </c>
      <c r="C691" s="362">
        <v>754.25438087999987</v>
      </c>
      <c r="D691" s="362">
        <v>1149.6450006130945</v>
      </c>
      <c r="E691" s="362">
        <f t="shared" si="24"/>
        <v>0</v>
      </c>
      <c r="K691">
        <f t="shared" si="25"/>
        <v>754.25438087999987</v>
      </c>
    </row>
    <row r="692" spans="1:11" customFormat="1" ht="15.75">
      <c r="A692" s="119"/>
      <c r="B692" s="331" t="s">
        <v>1045</v>
      </c>
      <c r="C692" s="362">
        <v>685.68580079999992</v>
      </c>
      <c r="D692" s="362">
        <v>691.1505753456828</v>
      </c>
      <c r="E692" s="362">
        <f t="shared" si="24"/>
        <v>0</v>
      </c>
      <c r="K692">
        <f t="shared" si="25"/>
        <v>685.68580079999992</v>
      </c>
    </row>
    <row r="693" spans="1:11" customFormat="1" ht="15.75">
      <c r="A693" s="119"/>
      <c r="B693" s="331" t="s">
        <v>1046</v>
      </c>
      <c r="C693" s="362">
        <v>655.01256144183503</v>
      </c>
      <c r="D693" s="362">
        <v>449.94634064637683</v>
      </c>
      <c r="E693" s="362">
        <f t="shared" si="24"/>
        <v>205.06622079545821</v>
      </c>
      <c r="K693">
        <f t="shared" si="25"/>
        <v>449.94634064637683</v>
      </c>
    </row>
    <row r="694" spans="1:11" customFormat="1" ht="15.75">
      <c r="A694" s="119"/>
      <c r="B694" s="331" t="s">
        <v>1047</v>
      </c>
      <c r="C694" s="362">
        <v>411.41148047999997</v>
      </c>
      <c r="D694" s="362">
        <v>987.43493725351334</v>
      </c>
      <c r="E694" s="362">
        <f t="shared" si="24"/>
        <v>0</v>
      </c>
      <c r="K694">
        <f t="shared" si="25"/>
        <v>411.41148047999997</v>
      </c>
    </row>
    <row r="695" spans="1:11" customFormat="1" ht="15.75">
      <c r="A695" s="119"/>
      <c r="B695" s="331" t="s">
        <v>1048</v>
      </c>
      <c r="C695" s="362">
        <v>410.07072799030914</v>
      </c>
      <c r="D695" s="362">
        <v>1174.8546240010724</v>
      </c>
      <c r="E695" s="362">
        <f t="shared" si="24"/>
        <v>0</v>
      </c>
      <c r="K695">
        <f t="shared" si="25"/>
        <v>410.07072799030914</v>
      </c>
    </row>
    <row r="696" spans="1:11" customFormat="1" ht="15.75">
      <c r="A696" s="119"/>
      <c r="B696" s="331" t="s">
        <v>1049</v>
      </c>
      <c r="C696" s="362">
        <v>383.56792144026178</v>
      </c>
      <c r="D696" s="362">
        <v>652.38751558635693</v>
      </c>
      <c r="E696" s="362">
        <f t="shared" si="24"/>
        <v>0</v>
      </c>
      <c r="K696">
        <f t="shared" si="25"/>
        <v>383.56792144026178</v>
      </c>
    </row>
    <row r="697" spans="1:11" customFormat="1" ht="15.75">
      <c r="A697" s="119"/>
      <c r="B697" s="331" t="s">
        <v>1050</v>
      </c>
      <c r="C697" s="362">
        <v>383.56792144026178</v>
      </c>
      <c r="D697" s="362">
        <v>786.96487148732717</v>
      </c>
      <c r="E697" s="362">
        <f t="shared" si="24"/>
        <v>0</v>
      </c>
      <c r="K697">
        <f t="shared" si="25"/>
        <v>383.56792144026178</v>
      </c>
    </row>
    <row r="698" spans="1:11" customFormat="1" ht="15.75">
      <c r="A698" s="119"/>
      <c r="B698" s="331" t="s">
        <v>1051</v>
      </c>
      <c r="C698" s="362">
        <v>383.56792144026178</v>
      </c>
      <c r="D698" s="362">
        <v>1084.0944025368649</v>
      </c>
      <c r="E698" s="362">
        <f t="shared" si="24"/>
        <v>0</v>
      </c>
      <c r="K698">
        <f t="shared" si="25"/>
        <v>383.56792144026178</v>
      </c>
    </row>
    <row r="699" spans="1:11" customFormat="1" ht="15.75">
      <c r="A699" s="119"/>
      <c r="B699" s="331" t="s">
        <v>1052</v>
      </c>
      <c r="C699" s="362">
        <v>511.42389525368242</v>
      </c>
      <c r="D699" s="362">
        <v>761.82967155147105</v>
      </c>
      <c r="E699" s="362">
        <f t="shared" si="24"/>
        <v>0</v>
      </c>
      <c r="K699">
        <f t="shared" si="25"/>
        <v>511.42389525368242</v>
      </c>
    </row>
    <row r="700" spans="1:11" customFormat="1" ht="15.75">
      <c r="A700" s="119"/>
      <c r="B700" s="331" t="s">
        <v>1053</v>
      </c>
      <c r="C700" s="362">
        <v>511.42389525368253</v>
      </c>
      <c r="D700" s="362">
        <v>778.72543160162718</v>
      </c>
      <c r="E700" s="362">
        <f t="shared" si="24"/>
        <v>0</v>
      </c>
      <c r="K700">
        <f t="shared" si="25"/>
        <v>511.42389525368253</v>
      </c>
    </row>
    <row r="701" spans="1:11" customFormat="1" ht="15.75">
      <c r="A701" s="119"/>
      <c r="B701" s="331" t="s">
        <v>1054</v>
      </c>
      <c r="C701" s="362">
        <v>767.13584288052368</v>
      </c>
      <c r="D701" s="362">
        <v>1075.6379673117999</v>
      </c>
      <c r="E701" s="362">
        <f t="shared" si="24"/>
        <v>0</v>
      </c>
      <c r="K701">
        <f t="shared" si="25"/>
        <v>767.13584288052368</v>
      </c>
    </row>
    <row r="702" spans="1:11" customFormat="1" ht="15.75">
      <c r="A702" s="119"/>
      <c r="B702" s="331" t="s">
        <v>1055</v>
      </c>
      <c r="C702" s="362">
        <v>767.13584288052368</v>
      </c>
      <c r="D702" s="362">
        <v>1025.9826320383584</v>
      </c>
      <c r="E702" s="362">
        <f t="shared" si="24"/>
        <v>0</v>
      </c>
      <c r="K702">
        <f t="shared" si="25"/>
        <v>767.13584288052368</v>
      </c>
    </row>
    <row r="703" spans="1:11" customFormat="1" ht="15.75">
      <c r="A703" s="119"/>
      <c r="B703" s="331" t="s">
        <v>1056</v>
      </c>
      <c r="C703" s="362">
        <v>767.13584288052368</v>
      </c>
      <c r="D703" s="362">
        <v>2447.1387414905216</v>
      </c>
      <c r="E703" s="362">
        <f t="shared" si="24"/>
        <v>0</v>
      </c>
      <c r="K703">
        <f t="shared" si="25"/>
        <v>767.13584288052368</v>
      </c>
    </row>
    <row r="704" spans="1:11" customFormat="1" ht="15.75">
      <c r="A704" s="119"/>
      <c r="B704" s="331" t="s">
        <v>1057</v>
      </c>
      <c r="C704" s="362">
        <v>767.13584288052368</v>
      </c>
      <c r="D704" s="362">
        <v>902.4736452180814</v>
      </c>
      <c r="E704" s="362">
        <f t="shared" si="24"/>
        <v>0</v>
      </c>
      <c r="K704">
        <f t="shared" si="25"/>
        <v>767.13584288052368</v>
      </c>
    </row>
    <row r="705" spans="1:11" customFormat="1" ht="15.75">
      <c r="A705" s="119"/>
      <c r="B705" s="331" t="s">
        <v>1058</v>
      </c>
      <c r="C705" s="362">
        <v>741.69655560000001</v>
      </c>
      <c r="D705" s="362">
        <v>1815.5708537139958</v>
      </c>
      <c r="E705" s="362">
        <f t="shared" si="24"/>
        <v>0</v>
      </c>
      <c r="K705">
        <f t="shared" si="25"/>
        <v>741.69655560000001</v>
      </c>
    </row>
    <row r="706" spans="1:11" customFormat="1" ht="15.75">
      <c r="A706" s="119"/>
      <c r="B706" s="331" t="s">
        <v>1059</v>
      </c>
      <c r="C706" s="362">
        <v>383.56792144026178</v>
      </c>
      <c r="D706" s="362">
        <v>963.61294982644313</v>
      </c>
      <c r="E706" s="362">
        <f t="shared" si="24"/>
        <v>0</v>
      </c>
      <c r="K706">
        <f t="shared" si="25"/>
        <v>383.56792144026178</v>
      </c>
    </row>
    <row r="707" spans="1:11" customFormat="1" ht="15.75">
      <c r="A707" s="119"/>
      <c r="B707" s="331" t="s">
        <v>1060</v>
      </c>
      <c r="C707" s="362">
        <v>511.42389525368242</v>
      </c>
      <c r="D707" s="362">
        <v>592.18958325061078</v>
      </c>
      <c r="E707" s="362">
        <f t="shared" si="24"/>
        <v>0</v>
      </c>
      <c r="K707">
        <f t="shared" si="25"/>
        <v>511.42389525368242</v>
      </c>
    </row>
    <row r="708" spans="1:11" customFormat="1" ht="15.75">
      <c r="A708" s="119"/>
      <c r="B708" s="331" t="s">
        <v>1061</v>
      </c>
      <c r="C708" s="362">
        <v>476.25769388592545</v>
      </c>
      <c r="D708" s="362">
        <v>264.96412813100318</v>
      </c>
      <c r="E708" s="362">
        <f t="shared" si="24"/>
        <v>211.29356575492227</v>
      </c>
      <c r="K708">
        <f t="shared" si="25"/>
        <v>264.96412813100318</v>
      </c>
    </row>
    <row r="709" spans="1:11" customFormat="1" ht="15.75">
      <c r="A709" s="119"/>
      <c r="B709" s="331" t="s">
        <v>1062</v>
      </c>
      <c r="C709" s="362">
        <v>476.25769388592545</v>
      </c>
      <c r="D709" s="362">
        <v>95.861598289229633</v>
      </c>
      <c r="E709" s="362">
        <f t="shared" si="24"/>
        <v>380.39609559669583</v>
      </c>
      <c r="K709">
        <f t="shared" si="25"/>
        <v>95.861598289229633</v>
      </c>
    </row>
    <row r="710" spans="1:11" customFormat="1" ht="15.75">
      <c r="A710" s="119"/>
      <c r="B710" s="331" t="s">
        <v>1063</v>
      </c>
      <c r="C710" s="362">
        <v>405.5345911949687</v>
      </c>
      <c r="D710" s="362">
        <v>99.428439806382613</v>
      </c>
      <c r="E710" s="362">
        <f t="shared" si="24"/>
        <v>306.10615138858611</v>
      </c>
      <c r="K710">
        <f t="shared" si="25"/>
        <v>99.428439806382613</v>
      </c>
    </row>
    <row r="711" spans="1:11" customFormat="1" ht="15.75">
      <c r="A711" s="119"/>
      <c r="B711" s="331" t="s">
        <v>1064</v>
      </c>
      <c r="C711" s="362">
        <v>540.7127882599583</v>
      </c>
      <c r="D711" s="362">
        <v>79.997263150725971</v>
      </c>
      <c r="E711" s="362">
        <f t="shared" si="24"/>
        <v>460.71552510923232</v>
      </c>
      <c r="K711">
        <f t="shared" si="25"/>
        <v>79.997263150725971</v>
      </c>
    </row>
    <row r="712" spans="1:11" customFormat="1" ht="15.75">
      <c r="A712" s="119"/>
      <c r="B712" s="331" t="s">
        <v>1065</v>
      </c>
      <c r="C712" s="362">
        <v>657.57339648000004</v>
      </c>
      <c r="D712" s="362">
        <v>178.9104215479484</v>
      </c>
      <c r="E712" s="362">
        <f t="shared" ref="E712:E775" si="26">MAX(0,C712-D712)</f>
        <v>478.66297493205161</v>
      </c>
      <c r="K712">
        <f t="shared" ref="K712:K775" si="27">MIN(C712,D712)</f>
        <v>178.9104215479484</v>
      </c>
    </row>
    <row r="713" spans="1:11" customFormat="1" ht="15.75">
      <c r="A713" s="119"/>
      <c r="B713" s="331" t="s">
        <v>1066</v>
      </c>
      <c r="C713" s="362">
        <v>882.55495644960615</v>
      </c>
      <c r="D713" s="362">
        <v>282.11856013498232</v>
      </c>
      <c r="E713" s="362">
        <f t="shared" si="26"/>
        <v>600.43639631462383</v>
      </c>
      <c r="K713">
        <f t="shared" si="27"/>
        <v>282.11856013498232</v>
      </c>
    </row>
    <row r="714" spans="1:11" customFormat="1" ht="15.75">
      <c r="A714" s="119"/>
      <c r="B714" s="331" t="s">
        <v>1067</v>
      </c>
      <c r="C714" s="362">
        <v>876.12002264578257</v>
      </c>
      <c r="D714" s="362">
        <v>537.4434659327809</v>
      </c>
      <c r="E714" s="362">
        <f t="shared" si="26"/>
        <v>338.67655671300167</v>
      </c>
      <c r="K714">
        <f t="shared" si="27"/>
        <v>537.4434659327809</v>
      </c>
    </row>
    <row r="715" spans="1:11" customFormat="1" ht="15.75">
      <c r="A715" s="119"/>
      <c r="B715" s="331" t="s">
        <v>1068</v>
      </c>
      <c r="C715" s="362">
        <v>875.34555712270821</v>
      </c>
      <c r="D715" s="362">
        <v>568.76076840524161</v>
      </c>
      <c r="E715" s="362">
        <f t="shared" si="26"/>
        <v>306.58478871746661</v>
      </c>
      <c r="K715">
        <f t="shared" si="27"/>
        <v>568.76076840524161</v>
      </c>
    </row>
    <row r="716" spans="1:11" customFormat="1" ht="15.75">
      <c r="A716" s="119"/>
      <c r="B716" s="331" t="s">
        <v>1069</v>
      </c>
      <c r="C716" s="362">
        <v>803.13167259786496</v>
      </c>
      <c r="D716" s="362">
        <v>351.06725170451995</v>
      </c>
      <c r="E716" s="362">
        <f t="shared" si="26"/>
        <v>452.06442089334502</v>
      </c>
      <c r="K716">
        <f t="shared" si="27"/>
        <v>351.06725170451995</v>
      </c>
    </row>
    <row r="717" spans="1:11" customFormat="1" ht="15.75">
      <c r="A717" s="119"/>
      <c r="B717" s="331" t="s">
        <v>1070</v>
      </c>
      <c r="C717" s="362">
        <v>744.71607314725713</v>
      </c>
      <c r="D717" s="362">
        <v>221.45707610341665</v>
      </c>
      <c r="E717" s="362">
        <f t="shared" si="26"/>
        <v>523.25899704384051</v>
      </c>
      <c r="K717">
        <f t="shared" si="27"/>
        <v>221.45707610341665</v>
      </c>
    </row>
    <row r="718" spans="1:11" customFormat="1" ht="15.75">
      <c r="A718" s="119"/>
      <c r="B718" s="331" t="s">
        <v>1071</v>
      </c>
      <c r="C718" s="362">
        <v>470.80012169151217</v>
      </c>
      <c r="D718" s="362">
        <v>173.93633321009264</v>
      </c>
      <c r="E718" s="362">
        <f t="shared" si="26"/>
        <v>296.86378848141953</v>
      </c>
      <c r="K718">
        <f t="shared" si="27"/>
        <v>173.93633321009264</v>
      </c>
    </row>
    <row r="719" spans="1:11" customFormat="1" ht="15.75">
      <c r="A719" s="119"/>
      <c r="B719" s="331" t="s">
        <v>1072</v>
      </c>
      <c r="C719" s="362">
        <v>464.68085106382995</v>
      </c>
      <c r="D719" s="362">
        <v>79.018485655685964</v>
      </c>
      <c r="E719" s="362">
        <f t="shared" si="26"/>
        <v>385.66236540814396</v>
      </c>
      <c r="K719">
        <f t="shared" si="27"/>
        <v>79.018485655685964</v>
      </c>
    </row>
    <row r="720" spans="1:11" customFormat="1" ht="15.75">
      <c r="A720" s="119"/>
      <c r="B720" s="331" t="s">
        <v>1073</v>
      </c>
      <c r="C720" s="362">
        <v>0</v>
      </c>
      <c r="D720" s="362">
        <v>134.50588944242992</v>
      </c>
      <c r="E720" s="362">
        <f t="shared" si="26"/>
        <v>0</v>
      </c>
      <c r="K720">
        <f t="shared" si="27"/>
        <v>0</v>
      </c>
    </row>
    <row r="721" spans="1:11" customFormat="1" ht="15.75">
      <c r="A721" s="119"/>
      <c r="B721" s="331" t="s">
        <v>1074</v>
      </c>
      <c r="C721" s="362">
        <v>0</v>
      </c>
      <c r="D721" s="362">
        <v>163.81870830415801</v>
      </c>
      <c r="E721" s="362">
        <f t="shared" si="26"/>
        <v>0</v>
      </c>
      <c r="K721">
        <f t="shared" si="27"/>
        <v>0</v>
      </c>
    </row>
    <row r="722" spans="1:11" customFormat="1" ht="15.75">
      <c r="A722" s="119"/>
      <c r="B722" s="331" t="s">
        <v>1075</v>
      </c>
      <c r="C722" s="362">
        <v>0</v>
      </c>
      <c r="D722" s="362">
        <v>265.94325231590761</v>
      </c>
      <c r="E722" s="362">
        <f t="shared" si="26"/>
        <v>0</v>
      </c>
      <c r="K722">
        <f t="shared" si="27"/>
        <v>0</v>
      </c>
    </row>
    <row r="723" spans="1:11" customFormat="1" ht="15.75">
      <c r="A723" s="119"/>
      <c r="B723" s="331" t="s">
        <v>1076</v>
      </c>
      <c r="C723" s="362">
        <v>0</v>
      </c>
      <c r="D723" s="362">
        <v>180.69543683557796</v>
      </c>
      <c r="E723" s="362">
        <f t="shared" si="26"/>
        <v>0</v>
      </c>
      <c r="K723">
        <f t="shared" si="27"/>
        <v>0</v>
      </c>
    </row>
    <row r="724" spans="1:11" customFormat="1" ht="15.75">
      <c r="A724" s="119"/>
      <c r="B724" s="331" t="s">
        <v>1077</v>
      </c>
      <c r="C724" s="362">
        <v>0</v>
      </c>
      <c r="D724" s="362">
        <v>216.25551551153342</v>
      </c>
      <c r="E724" s="362">
        <f t="shared" si="26"/>
        <v>0</v>
      </c>
      <c r="K724">
        <f t="shared" si="27"/>
        <v>0</v>
      </c>
    </row>
    <row r="725" spans="1:11" customFormat="1" ht="15.75">
      <c r="A725" s="119"/>
      <c r="B725" s="331" t="s">
        <v>1078</v>
      </c>
      <c r="C725" s="362">
        <v>0</v>
      </c>
      <c r="D725" s="362">
        <v>503.37939236854078</v>
      </c>
      <c r="E725" s="362">
        <f t="shared" si="26"/>
        <v>0</v>
      </c>
      <c r="K725">
        <f t="shared" si="27"/>
        <v>0</v>
      </c>
    </row>
    <row r="726" spans="1:11" customFormat="1" ht="15.75">
      <c r="A726" s="119"/>
      <c r="B726" s="331" t="s">
        <v>1079</v>
      </c>
      <c r="C726" s="362">
        <v>1075.9992566399999</v>
      </c>
      <c r="D726" s="362">
        <v>237.97059489551498</v>
      </c>
      <c r="E726" s="362">
        <f t="shared" si="26"/>
        <v>838.02866174448491</v>
      </c>
      <c r="K726">
        <f t="shared" si="27"/>
        <v>237.97059489551498</v>
      </c>
    </row>
    <row r="727" spans="1:11" customFormat="1" ht="15.75">
      <c r="A727" s="119"/>
      <c r="B727" s="331" t="s">
        <v>1080</v>
      </c>
      <c r="C727" s="362">
        <v>1075.9992566399999</v>
      </c>
      <c r="D727" s="362">
        <v>588.61007718232872</v>
      </c>
      <c r="E727" s="362">
        <f t="shared" si="26"/>
        <v>487.38917945767116</v>
      </c>
      <c r="K727">
        <f t="shared" si="27"/>
        <v>588.61007718232872</v>
      </c>
    </row>
    <row r="728" spans="1:11" customFormat="1" ht="15.75">
      <c r="A728" s="119"/>
      <c r="B728" s="331" t="s">
        <v>1081</v>
      </c>
      <c r="C728" s="362">
        <v>1075.9992566399999</v>
      </c>
      <c r="D728" s="362">
        <v>526.3991034546292</v>
      </c>
      <c r="E728" s="362">
        <f t="shared" si="26"/>
        <v>549.60015318537069</v>
      </c>
      <c r="K728">
        <f t="shared" si="27"/>
        <v>526.3991034546292</v>
      </c>
    </row>
    <row r="729" spans="1:11" customFormat="1" ht="15.75">
      <c r="A729" s="119"/>
      <c r="B729" s="331" t="s">
        <v>1082</v>
      </c>
      <c r="C729" s="362">
        <v>0</v>
      </c>
      <c r="D729" s="362">
        <v>292.13727610071982</v>
      </c>
      <c r="E729" s="362">
        <f t="shared" si="26"/>
        <v>0</v>
      </c>
      <c r="K729">
        <f t="shared" si="27"/>
        <v>0</v>
      </c>
    </row>
    <row r="730" spans="1:11" customFormat="1" ht="15.75">
      <c r="A730" s="119"/>
      <c r="B730" s="331" t="s">
        <v>1083</v>
      </c>
      <c r="C730" s="362">
        <v>0</v>
      </c>
      <c r="D730" s="362">
        <v>284.80537027848391</v>
      </c>
      <c r="E730" s="362">
        <f t="shared" si="26"/>
        <v>0</v>
      </c>
      <c r="K730">
        <f t="shared" si="27"/>
        <v>0</v>
      </c>
    </row>
    <row r="731" spans="1:11" customFormat="1" ht="15.75">
      <c r="A731" s="119"/>
      <c r="B731" s="331" t="s">
        <v>1084</v>
      </c>
      <c r="C731" s="362">
        <v>0</v>
      </c>
      <c r="D731" s="362">
        <v>286.38137831829113</v>
      </c>
      <c r="E731" s="362">
        <f t="shared" si="26"/>
        <v>0</v>
      </c>
      <c r="K731">
        <f t="shared" si="27"/>
        <v>0</v>
      </c>
    </row>
    <row r="732" spans="1:11" customFormat="1" ht="15.75">
      <c r="A732" s="119"/>
      <c r="B732" s="331" t="s">
        <v>1085</v>
      </c>
      <c r="C732" s="362">
        <v>0</v>
      </c>
      <c r="D732" s="362">
        <v>509.4649935978411</v>
      </c>
      <c r="E732" s="362">
        <f t="shared" si="26"/>
        <v>0</v>
      </c>
      <c r="K732">
        <f t="shared" si="27"/>
        <v>0</v>
      </c>
    </row>
    <row r="733" spans="1:11" customFormat="1" ht="15.75">
      <c r="A733" s="119"/>
      <c r="B733" s="331" t="s">
        <v>1086</v>
      </c>
      <c r="C733" s="362">
        <v>0</v>
      </c>
      <c r="D733" s="362">
        <v>427.55853488741059</v>
      </c>
      <c r="E733" s="362">
        <f t="shared" si="26"/>
        <v>0</v>
      </c>
      <c r="K733">
        <f t="shared" si="27"/>
        <v>0</v>
      </c>
    </row>
    <row r="734" spans="1:11" customFormat="1" ht="15.75">
      <c r="A734" s="119"/>
      <c r="B734" s="331" t="s">
        <v>1087</v>
      </c>
      <c r="C734" s="362">
        <v>0</v>
      </c>
      <c r="D734" s="362">
        <v>613.09079622177717</v>
      </c>
      <c r="E734" s="362">
        <f t="shared" si="26"/>
        <v>0</v>
      </c>
      <c r="K734">
        <f t="shared" si="27"/>
        <v>0</v>
      </c>
    </row>
    <row r="735" spans="1:11" customFormat="1" ht="15.75">
      <c r="A735" s="119"/>
      <c r="B735" s="331" t="s">
        <v>1088</v>
      </c>
      <c r="C735" s="362">
        <v>0</v>
      </c>
      <c r="D735" s="362">
        <v>598.81633035108439</v>
      </c>
      <c r="E735" s="362">
        <f t="shared" si="26"/>
        <v>0</v>
      </c>
      <c r="K735">
        <f t="shared" si="27"/>
        <v>0</v>
      </c>
    </row>
    <row r="736" spans="1:11" customFormat="1" ht="15.75">
      <c r="A736" s="119"/>
      <c r="B736" s="331" t="s">
        <v>1089</v>
      </c>
      <c r="C736" s="362">
        <v>0</v>
      </c>
      <c r="D736" s="362">
        <v>941.60182292014611</v>
      </c>
      <c r="E736" s="362">
        <f t="shared" si="26"/>
        <v>0</v>
      </c>
      <c r="K736">
        <f t="shared" si="27"/>
        <v>0</v>
      </c>
    </row>
    <row r="737" spans="1:11" customFormat="1" ht="15.75">
      <c r="A737" s="119"/>
      <c r="B737" s="331" t="s">
        <v>1090</v>
      </c>
      <c r="C737" s="362">
        <v>0</v>
      </c>
      <c r="D737" s="362">
        <v>686.97712697959128</v>
      </c>
      <c r="E737" s="362">
        <f t="shared" si="26"/>
        <v>0</v>
      </c>
      <c r="K737">
        <f t="shared" si="27"/>
        <v>0</v>
      </c>
    </row>
    <row r="738" spans="1:11" customFormat="1" ht="15.75">
      <c r="A738" s="119"/>
      <c r="B738" s="331" t="s">
        <v>1091</v>
      </c>
      <c r="C738" s="362">
        <v>1163.89305648</v>
      </c>
      <c r="D738" s="362">
        <v>2018.5271307675368</v>
      </c>
      <c r="E738" s="362">
        <f t="shared" si="26"/>
        <v>0</v>
      </c>
      <c r="K738">
        <f t="shared" si="27"/>
        <v>1163.89305648</v>
      </c>
    </row>
    <row r="739" spans="1:11" customFormat="1" ht="15.75">
      <c r="A739" s="119"/>
      <c r="B739" s="331" t="s">
        <v>1092</v>
      </c>
      <c r="C739" s="362">
        <v>1163.89305648</v>
      </c>
      <c r="D739" s="362">
        <v>482.32425371012414</v>
      </c>
      <c r="E739" s="362">
        <f t="shared" si="26"/>
        <v>681.5688027698759</v>
      </c>
      <c r="K739">
        <f t="shared" si="27"/>
        <v>482.32425371012414</v>
      </c>
    </row>
    <row r="740" spans="1:11" customFormat="1" ht="15.75">
      <c r="A740" s="119"/>
      <c r="B740" s="331" t="s">
        <v>1093</v>
      </c>
      <c r="C740" s="362">
        <v>1163.89305648</v>
      </c>
      <c r="D740" s="362">
        <v>767.67126104449403</v>
      </c>
      <c r="E740" s="362">
        <f t="shared" si="26"/>
        <v>396.22179543550601</v>
      </c>
      <c r="K740">
        <f t="shared" si="27"/>
        <v>767.67126104449403</v>
      </c>
    </row>
    <row r="741" spans="1:11" customFormat="1" ht="15.75">
      <c r="A741" s="119"/>
      <c r="B741" s="331" t="s">
        <v>1094</v>
      </c>
      <c r="C741" s="362">
        <v>1066.9019684400002</v>
      </c>
      <c r="D741" s="362">
        <v>1488.9529018746396</v>
      </c>
      <c r="E741" s="362">
        <f t="shared" si="26"/>
        <v>0</v>
      </c>
      <c r="K741">
        <f t="shared" si="27"/>
        <v>1066.9019684400002</v>
      </c>
    </row>
    <row r="742" spans="1:11" customFormat="1" ht="15.75">
      <c r="A742" s="119"/>
      <c r="B742" s="331" t="s">
        <v>1095</v>
      </c>
      <c r="C742" s="362">
        <v>0</v>
      </c>
      <c r="D742" s="362">
        <v>619.34852986809722</v>
      </c>
      <c r="E742" s="362">
        <f t="shared" si="26"/>
        <v>0</v>
      </c>
      <c r="K742">
        <f t="shared" si="27"/>
        <v>0</v>
      </c>
    </row>
    <row r="743" spans="1:11" customFormat="1" ht="15.75">
      <c r="A743" s="119"/>
      <c r="B743" s="331" t="s">
        <v>1096</v>
      </c>
      <c r="C743" s="362">
        <v>0</v>
      </c>
      <c r="D743" s="362">
        <v>770.35949310619708</v>
      </c>
      <c r="E743" s="362">
        <f t="shared" si="26"/>
        <v>0</v>
      </c>
      <c r="K743">
        <f t="shared" si="27"/>
        <v>0</v>
      </c>
    </row>
    <row r="744" spans="1:11" customFormat="1" ht="15.75">
      <c r="A744" s="119"/>
      <c r="B744" s="331" t="s">
        <v>1097</v>
      </c>
      <c r="C744" s="362">
        <v>0</v>
      </c>
      <c r="D744" s="362">
        <v>78.214452617743788</v>
      </c>
      <c r="E744" s="362">
        <f t="shared" si="26"/>
        <v>0</v>
      </c>
      <c r="K744">
        <f t="shared" si="27"/>
        <v>0</v>
      </c>
    </row>
    <row r="745" spans="1:11" customFormat="1" ht="15.75">
      <c r="A745" s="119"/>
      <c r="B745" s="331" t="s">
        <v>1098</v>
      </c>
      <c r="C745" s="362">
        <v>0</v>
      </c>
      <c r="D745" s="362">
        <v>190.45519367555954</v>
      </c>
      <c r="E745" s="362">
        <f t="shared" si="26"/>
        <v>0</v>
      </c>
      <c r="K745">
        <f t="shared" si="27"/>
        <v>0</v>
      </c>
    </row>
    <row r="746" spans="1:11" customFormat="1" ht="15.75">
      <c r="A746" s="119"/>
      <c r="B746" s="331" t="s">
        <v>1099</v>
      </c>
      <c r="C746" s="362">
        <v>0</v>
      </c>
      <c r="D746" s="362">
        <v>185.46236796598038</v>
      </c>
      <c r="E746" s="362">
        <f t="shared" si="26"/>
        <v>0</v>
      </c>
      <c r="K746">
        <f t="shared" si="27"/>
        <v>0</v>
      </c>
    </row>
    <row r="747" spans="1:11" customFormat="1" ht="15.75">
      <c r="A747" s="119"/>
      <c r="B747" s="331" t="s">
        <v>1100</v>
      </c>
      <c r="C747" s="362">
        <v>0</v>
      </c>
      <c r="D747" s="362">
        <v>161.95006586039449</v>
      </c>
      <c r="E747" s="362">
        <f t="shared" si="26"/>
        <v>0</v>
      </c>
      <c r="K747">
        <f t="shared" si="27"/>
        <v>0</v>
      </c>
    </row>
    <row r="748" spans="1:11" customFormat="1" ht="15.75">
      <c r="A748" s="119"/>
      <c r="B748" s="331" t="s">
        <v>1101</v>
      </c>
      <c r="C748" s="362">
        <v>0</v>
      </c>
      <c r="D748" s="362">
        <v>426.15185247020145</v>
      </c>
      <c r="E748" s="362">
        <f t="shared" si="26"/>
        <v>0</v>
      </c>
      <c r="K748">
        <f t="shared" si="27"/>
        <v>0</v>
      </c>
    </row>
    <row r="749" spans="1:11" customFormat="1" ht="15.75">
      <c r="A749" s="119"/>
      <c r="B749" s="331" t="s">
        <v>1102</v>
      </c>
      <c r="C749" s="362">
        <v>0</v>
      </c>
      <c r="D749" s="362">
        <v>210.84101594577501</v>
      </c>
      <c r="E749" s="362">
        <f t="shared" si="26"/>
        <v>0</v>
      </c>
      <c r="K749">
        <f t="shared" si="27"/>
        <v>0</v>
      </c>
    </row>
    <row r="750" spans="1:11" customFormat="1" ht="15.75">
      <c r="A750" s="119"/>
      <c r="B750" s="331" t="s">
        <v>1103</v>
      </c>
      <c r="C750" s="362">
        <v>1240</v>
      </c>
      <c r="D750" s="362">
        <v>237.44589040854493</v>
      </c>
      <c r="E750" s="362">
        <f t="shared" si="26"/>
        <v>1002.554109591455</v>
      </c>
      <c r="K750">
        <f t="shared" si="27"/>
        <v>237.44589040854493</v>
      </c>
    </row>
    <row r="751" spans="1:11" customFormat="1" ht="15.75">
      <c r="A751" s="119"/>
      <c r="B751" s="331" t="s">
        <v>1104</v>
      </c>
      <c r="C751" s="362">
        <v>1240</v>
      </c>
      <c r="D751" s="362">
        <v>279.6929813988578</v>
      </c>
      <c r="E751" s="362">
        <f t="shared" si="26"/>
        <v>960.3070186011422</v>
      </c>
      <c r="K751">
        <f t="shared" si="27"/>
        <v>279.6929813988578</v>
      </c>
    </row>
    <row r="752" spans="1:11" customFormat="1" ht="15.75">
      <c r="A752" s="119"/>
      <c r="B752" s="331" t="s">
        <v>1105</v>
      </c>
      <c r="C752" s="362">
        <v>1240</v>
      </c>
      <c r="D752" s="362">
        <v>246.71687337724288</v>
      </c>
      <c r="E752" s="362">
        <f t="shared" si="26"/>
        <v>993.28312662275709</v>
      </c>
      <c r="K752">
        <f t="shared" si="27"/>
        <v>246.71687337724288</v>
      </c>
    </row>
    <row r="753" spans="1:11" customFormat="1" ht="15.75">
      <c r="A753" s="119"/>
      <c r="B753" s="331" t="s">
        <v>1106</v>
      </c>
      <c r="C753" s="362">
        <v>1182.3675494400002</v>
      </c>
      <c r="D753" s="362">
        <v>398.07299166783321</v>
      </c>
      <c r="E753" s="362">
        <f t="shared" si="26"/>
        <v>784.29455777216697</v>
      </c>
      <c r="K753">
        <f t="shared" si="27"/>
        <v>398.07299166783321</v>
      </c>
    </row>
    <row r="754" spans="1:11" customFormat="1" ht="15.75">
      <c r="A754" s="119"/>
      <c r="B754" s="331" t="s">
        <v>1107</v>
      </c>
      <c r="C754" s="362">
        <v>0</v>
      </c>
      <c r="D754" s="362">
        <v>494.86905345359287</v>
      </c>
      <c r="E754" s="362">
        <f t="shared" si="26"/>
        <v>0</v>
      </c>
      <c r="K754">
        <f t="shared" si="27"/>
        <v>0</v>
      </c>
    </row>
    <row r="755" spans="1:11" customFormat="1" ht="15.75">
      <c r="A755" s="119"/>
      <c r="B755" s="331" t="s">
        <v>1108</v>
      </c>
      <c r="C755" s="362">
        <v>0</v>
      </c>
      <c r="D755" s="362">
        <v>215.05136405563789</v>
      </c>
      <c r="E755" s="362">
        <f t="shared" si="26"/>
        <v>0</v>
      </c>
      <c r="K755">
        <f t="shared" si="27"/>
        <v>0</v>
      </c>
    </row>
    <row r="756" spans="1:11" customFormat="1" ht="15.75">
      <c r="A756" s="119"/>
      <c r="B756" s="331" t="s">
        <v>1109</v>
      </c>
      <c r="C756" s="362">
        <v>0</v>
      </c>
      <c r="D756" s="362">
        <v>564.71233620968076</v>
      </c>
      <c r="E756" s="362">
        <f t="shared" si="26"/>
        <v>0</v>
      </c>
      <c r="K756">
        <f t="shared" si="27"/>
        <v>0</v>
      </c>
    </row>
    <row r="757" spans="1:11" customFormat="1" ht="15.75">
      <c r="A757" s="119"/>
      <c r="B757" s="331" t="s">
        <v>1110</v>
      </c>
      <c r="C757" s="362">
        <v>0</v>
      </c>
      <c r="D757" s="362">
        <v>983.47627313872772</v>
      </c>
      <c r="E757" s="362">
        <f t="shared" si="26"/>
        <v>0</v>
      </c>
      <c r="K757">
        <f t="shared" si="27"/>
        <v>0</v>
      </c>
    </row>
    <row r="758" spans="1:11" customFormat="1" ht="15.75">
      <c r="A758" s="119"/>
      <c r="B758" s="331" t="s">
        <v>1111</v>
      </c>
      <c r="C758" s="362">
        <v>0</v>
      </c>
      <c r="D758" s="362">
        <v>462.46697133724115</v>
      </c>
      <c r="E758" s="362">
        <f t="shared" si="26"/>
        <v>0</v>
      </c>
      <c r="K758">
        <f t="shared" si="27"/>
        <v>0</v>
      </c>
    </row>
    <row r="759" spans="1:11" customFormat="1" ht="15.75">
      <c r="A759" s="119"/>
      <c r="B759" s="331" t="s">
        <v>1112</v>
      </c>
      <c r="C759" s="362">
        <v>0</v>
      </c>
      <c r="D759" s="362">
        <v>686.90218271892115</v>
      </c>
      <c r="E759" s="362">
        <f t="shared" si="26"/>
        <v>0</v>
      </c>
      <c r="K759">
        <f t="shared" si="27"/>
        <v>0</v>
      </c>
    </row>
    <row r="760" spans="1:11" customFormat="1" ht="15.75">
      <c r="A760" s="119"/>
      <c r="B760" s="331" t="s">
        <v>1113</v>
      </c>
      <c r="C760" s="362">
        <v>0</v>
      </c>
      <c r="D760" s="362">
        <v>1456.7665460243854</v>
      </c>
      <c r="E760" s="362">
        <f t="shared" si="26"/>
        <v>0</v>
      </c>
      <c r="K760">
        <f t="shared" si="27"/>
        <v>0</v>
      </c>
    </row>
    <row r="761" spans="1:11" customFormat="1" ht="15.75">
      <c r="A761" s="119"/>
      <c r="B761" s="331" t="s">
        <v>1114</v>
      </c>
      <c r="C761" s="362">
        <v>1002.1561704000001</v>
      </c>
      <c r="D761" s="362">
        <v>1026.4723418996896</v>
      </c>
      <c r="E761" s="362">
        <f t="shared" si="26"/>
        <v>0</v>
      </c>
      <c r="K761">
        <f t="shared" si="27"/>
        <v>1002.1561704000001</v>
      </c>
    </row>
    <row r="762" spans="1:11" customFormat="1" ht="15.75">
      <c r="A762" s="119"/>
      <c r="B762" s="331" t="s">
        <v>1115</v>
      </c>
      <c r="C762" s="362">
        <v>1002.1561704000001</v>
      </c>
      <c r="D762" s="362">
        <v>2964.6228491499442</v>
      </c>
      <c r="E762" s="362">
        <f t="shared" si="26"/>
        <v>0</v>
      </c>
      <c r="K762">
        <f t="shared" si="27"/>
        <v>1002.1561704000001</v>
      </c>
    </row>
    <row r="763" spans="1:11" customFormat="1" ht="15.75">
      <c r="A763" s="119"/>
      <c r="B763" s="331" t="s">
        <v>1116</v>
      </c>
      <c r="C763" s="362">
        <v>1202.58740448</v>
      </c>
      <c r="D763" s="362">
        <v>2248.2895390209587</v>
      </c>
      <c r="E763" s="362">
        <f t="shared" si="26"/>
        <v>0</v>
      </c>
      <c r="K763">
        <f t="shared" si="27"/>
        <v>1202.58740448</v>
      </c>
    </row>
    <row r="764" spans="1:11" customFormat="1" ht="15.75">
      <c r="A764" s="119"/>
      <c r="B764" s="331" t="s">
        <v>1117</v>
      </c>
      <c r="C764" s="362">
        <v>1202.58740448</v>
      </c>
      <c r="D764" s="362">
        <v>1777.6615452802769</v>
      </c>
      <c r="E764" s="362">
        <f t="shared" si="26"/>
        <v>0</v>
      </c>
      <c r="K764">
        <f t="shared" si="27"/>
        <v>1202.58740448</v>
      </c>
    </row>
    <row r="765" spans="1:11" customFormat="1" ht="15.75">
      <c r="A765" s="119"/>
      <c r="B765" s="331" t="s">
        <v>1118</v>
      </c>
      <c r="C765" s="362">
        <v>1102.3717874399999</v>
      </c>
      <c r="D765" s="362">
        <v>1402.8035203155075</v>
      </c>
      <c r="E765" s="362">
        <f t="shared" si="26"/>
        <v>0</v>
      </c>
      <c r="K765">
        <f t="shared" si="27"/>
        <v>1102.3717874399999</v>
      </c>
    </row>
    <row r="766" spans="1:11" customFormat="1" ht="15.75">
      <c r="A766" s="119"/>
      <c r="B766" s="331" t="s">
        <v>1119</v>
      </c>
      <c r="C766" s="362">
        <v>0</v>
      </c>
      <c r="D766" s="362">
        <v>2112.8129514597572</v>
      </c>
      <c r="E766" s="362">
        <f t="shared" si="26"/>
        <v>0</v>
      </c>
      <c r="K766">
        <f t="shared" si="27"/>
        <v>0</v>
      </c>
    </row>
    <row r="767" spans="1:11" customFormat="1" ht="15.75">
      <c r="A767" s="119"/>
      <c r="B767" s="331" t="s">
        <v>1120</v>
      </c>
      <c r="C767" s="362">
        <v>0</v>
      </c>
      <c r="D767" s="362">
        <v>1349.8526104494649</v>
      </c>
      <c r="E767" s="362">
        <f t="shared" si="26"/>
        <v>0</v>
      </c>
      <c r="K767">
        <f t="shared" si="27"/>
        <v>0</v>
      </c>
    </row>
    <row r="768" spans="1:11" customFormat="1" ht="15.75">
      <c r="A768" s="119"/>
      <c r="B768" s="331" t="s">
        <v>1121</v>
      </c>
      <c r="C768" s="362">
        <v>0</v>
      </c>
      <c r="D768" s="362">
        <v>141.86879749176848</v>
      </c>
      <c r="E768" s="362">
        <f t="shared" si="26"/>
        <v>0</v>
      </c>
      <c r="K768">
        <f t="shared" si="27"/>
        <v>0</v>
      </c>
    </row>
    <row r="769" spans="1:11" customFormat="1" ht="15.75">
      <c r="A769" s="119"/>
      <c r="B769" s="331" t="s">
        <v>1122</v>
      </c>
      <c r="C769" s="362">
        <v>0</v>
      </c>
      <c r="D769" s="362">
        <v>149.25902654671677</v>
      </c>
      <c r="E769" s="362">
        <f t="shared" si="26"/>
        <v>0</v>
      </c>
      <c r="K769">
        <f t="shared" si="27"/>
        <v>0</v>
      </c>
    </row>
    <row r="770" spans="1:11" customFormat="1" ht="15.75">
      <c r="A770" s="119"/>
      <c r="B770" s="331" t="s">
        <v>1123</v>
      </c>
      <c r="C770" s="362">
        <v>0</v>
      </c>
      <c r="D770" s="362">
        <v>359.02628643392291</v>
      </c>
      <c r="E770" s="362">
        <f t="shared" si="26"/>
        <v>0</v>
      </c>
      <c r="K770">
        <f t="shared" si="27"/>
        <v>0</v>
      </c>
    </row>
    <row r="771" spans="1:11" customFormat="1" ht="15.75">
      <c r="A771" s="119"/>
      <c r="B771" s="331" t="s">
        <v>1124</v>
      </c>
      <c r="C771" s="362">
        <v>0</v>
      </c>
      <c r="D771" s="362">
        <v>514.7770046104423</v>
      </c>
      <c r="E771" s="362">
        <f t="shared" si="26"/>
        <v>0</v>
      </c>
      <c r="K771">
        <f t="shared" si="27"/>
        <v>0</v>
      </c>
    </row>
    <row r="772" spans="1:11" customFormat="1" ht="15.75">
      <c r="A772" s="119"/>
      <c r="B772" s="331" t="s">
        <v>1125</v>
      </c>
      <c r="C772" s="362">
        <v>0</v>
      </c>
      <c r="D772" s="362">
        <v>913.79994986902955</v>
      </c>
      <c r="E772" s="362">
        <f t="shared" si="26"/>
        <v>0</v>
      </c>
      <c r="K772">
        <f t="shared" si="27"/>
        <v>0</v>
      </c>
    </row>
    <row r="773" spans="1:11" customFormat="1" ht="15.75">
      <c r="A773" s="119"/>
      <c r="B773" s="331" t="s">
        <v>1126</v>
      </c>
      <c r="C773" s="362">
        <v>0</v>
      </c>
      <c r="D773" s="362">
        <v>445.11289751600066</v>
      </c>
      <c r="E773" s="362">
        <f t="shared" si="26"/>
        <v>0</v>
      </c>
      <c r="K773">
        <f t="shared" si="27"/>
        <v>0</v>
      </c>
    </row>
    <row r="774" spans="1:11" customFormat="1" ht="15.75">
      <c r="A774" s="119"/>
      <c r="B774" s="331" t="s">
        <v>1127</v>
      </c>
      <c r="C774" s="362">
        <v>1084.0180428000001</v>
      </c>
      <c r="D774" s="362">
        <v>1065.4674834904129</v>
      </c>
      <c r="E774" s="362">
        <f t="shared" si="26"/>
        <v>18.550559309587243</v>
      </c>
      <c r="K774">
        <f t="shared" si="27"/>
        <v>1065.4674834904129</v>
      </c>
    </row>
    <row r="775" spans="1:11" customFormat="1" ht="15.75">
      <c r="A775" s="119"/>
      <c r="B775" s="331" t="s">
        <v>1128</v>
      </c>
      <c r="C775" s="362">
        <v>1240</v>
      </c>
      <c r="D775" s="362">
        <v>1287.2114092714353</v>
      </c>
      <c r="E775" s="362">
        <f t="shared" si="26"/>
        <v>0</v>
      </c>
      <c r="K775">
        <f t="shared" si="27"/>
        <v>1240</v>
      </c>
    </row>
    <row r="776" spans="1:11" customFormat="1" ht="15.75">
      <c r="A776" s="119"/>
      <c r="B776" s="331" t="s">
        <v>1129</v>
      </c>
      <c r="C776" s="362">
        <v>1240</v>
      </c>
      <c r="D776" s="362">
        <v>536.31659917188927</v>
      </c>
      <c r="E776" s="362">
        <f t="shared" ref="E776:E839" si="28">MAX(0,C776-D776)</f>
        <v>703.68340082811073</v>
      </c>
      <c r="K776">
        <f t="shared" ref="K776:K839" si="29">MIN(C776,D776)</f>
        <v>536.31659917188927</v>
      </c>
    </row>
    <row r="777" spans="1:11" customFormat="1" ht="15.75">
      <c r="A777" s="119"/>
      <c r="B777" s="331" t="s">
        <v>1130</v>
      </c>
      <c r="C777" s="362">
        <v>1240</v>
      </c>
      <c r="D777" s="362">
        <v>734.35568172221087</v>
      </c>
      <c r="E777" s="362">
        <f t="shared" si="28"/>
        <v>505.64431827778913</v>
      </c>
      <c r="K777">
        <f t="shared" si="29"/>
        <v>734.35568172221087</v>
      </c>
    </row>
    <row r="778" spans="1:11" customFormat="1" ht="15.75">
      <c r="A778" s="119"/>
      <c r="B778" s="331" t="s">
        <v>1131</v>
      </c>
      <c r="C778" s="362">
        <v>0</v>
      </c>
      <c r="D778" s="362">
        <v>275.25450125082023</v>
      </c>
      <c r="E778" s="362">
        <f t="shared" si="28"/>
        <v>0</v>
      </c>
      <c r="K778">
        <f t="shared" si="29"/>
        <v>0</v>
      </c>
    </row>
    <row r="779" spans="1:11" customFormat="1" ht="15.75">
      <c r="A779" s="119"/>
      <c r="B779" s="331" t="s">
        <v>1132</v>
      </c>
      <c r="C779" s="362">
        <v>0</v>
      </c>
      <c r="D779" s="362">
        <v>380.26802642868034</v>
      </c>
      <c r="E779" s="362">
        <f t="shared" si="28"/>
        <v>0</v>
      </c>
      <c r="K779">
        <f t="shared" si="29"/>
        <v>0</v>
      </c>
    </row>
    <row r="780" spans="1:11" customFormat="1" ht="15.75">
      <c r="A780" s="119"/>
      <c r="B780" s="331" t="s">
        <v>1133</v>
      </c>
      <c r="C780" s="362">
        <v>0</v>
      </c>
      <c r="D780" s="362">
        <v>404.96966839580682</v>
      </c>
      <c r="E780" s="362">
        <f t="shared" si="28"/>
        <v>0</v>
      </c>
      <c r="K780">
        <f t="shared" si="29"/>
        <v>0</v>
      </c>
    </row>
    <row r="781" spans="1:11" customFormat="1" ht="15.75">
      <c r="A781" s="119"/>
      <c r="B781" s="331" t="s">
        <v>1134</v>
      </c>
      <c r="C781" s="362">
        <v>0</v>
      </c>
      <c r="D781" s="362">
        <v>908.72498425585684</v>
      </c>
      <c r="E781" s="362">
        <f t="shared" si="28"/>
        <v>0</v>
      </c>
      <c r="K781">
        <f t="shared" si="29"/>
        <v>0</v>
      </c>
    </row>
    <row r="782" spans="1:11" customFormat="1" ht="15.75">
      <c r="A782" s="119"/>
      <c r="B782" s="331" t="s">
        <v>1135</v>
      </c>
      <c r="C782" s="362">
        <v>0</v>
      </c>
      <c r="D782" s="362">
        <v>782.81477083676225</v>
      </c>
      <c r="E782" s="362">
        <f t="shared" si="28"/>
        <v>0</v>
      </c>
      <c r="K782">
        <f t="shared" si="29"/>
        <v>0</v>
      </c>
    </row>
    <row r="783" spans="1:11" customFormat="1" ht="15.75">
      <c r="A783" s="119"/>
      <c r="B783" s="331" t="s">
        <v>1136</v>
      </c>
      <c r="C783" s="362">
        <v>0</v>
      </c>
      <c r="D783" s="362">
        <v>755.29764662619539</v>
      </c>
      <c r="E783" s="362">
        <f t="shared" si="28"/>
        <v>0</v>
      </c>
      <c r="K783">
        <f t="shared" si="29"/>
        <v>0</v>
      </c>
    </row>
    <row r="784" spans="1:11" customFormat="1" ht="15.75">
      <c r="A784" s="119"/>
      <c r="B784" s="331" t="s">
        <v>1137</v>
      </c>
      <c r="C784" s="362">
        <v>0</v>
      </c>
      <c r="D784" s="362">
        <v>873.75954087873095</v>
      </c>
      <c r="E784" s="362">
        <f t="shared" si="28"/>
        <v>0</v>
      </c>
      <c r="K784">
        <f t="shared" si="29"/>
        <v>0</v>
      </c>
    </row>
    <row r="785" spans="1:11" customFormat="1" ht="15.75">
      <c r="A785" s="119"/>
      <c r="B785" s="331" t="s">
        <v>1138</v>
      </c>
      <c r="C785" s="362">
        <v>1201.3360128000002</v>
      </c>
      <c r="D785" s="362">
        <v>1403.9859099954026</v>
      </c>
      <c r="E785" s="362">
        <f t="shared" si="28"/>
        <v>0</v>
      </c>
      <c r="K785">
        <f t="shared" si="29"/>
        <v>1201.3360128000002</v>
      </c>
    </row>
    <row r="786" spans="1:11" customFormat="1" ht="15.75">
      <c r="A786" s="119"/>
      <c r="B786" s="331" t="s">
        <v>1139</v>
      </c>
      <c r="C786" s="362">
        <v>1201.3360128000002</v>
      </c>
      <c r="D786" s="362">
        <v>1277.3046444835745</v>
      </c>
      <c r="E786" s="362">
        <f t="shared" si="28"/>
        <v>0</v>
      </c>
      <c r="K786">
        <f t="shared" si="29"/>
        <v>1201.3360128000002</v>
      </c>
    </row>
    <row r="787" spans="1:11" customFormat="1" ht="15.75">
      <c r="A787" s="119"/>
      <c r="B787" s="331" t="s">
        <v>1140</v>
      </c>
      <c r="C787" s="362">
        <v>1240</v>
      </c>
      <c r="D787" s="362">
        <v>1779.0032812552306</v>
      </c>
      <c r="E787" s="362">
        <f t="shared" si="28"/>
        <v>0</v>
      </c>
      <c r="K787">
        <f t="shared" si="29"/>
        <v>1240</v>
      </c>
    </row>
    <row r="788" spans="1:11" customFormat="1" ht="15.75">
      <c r="A788" s="119"/>
      <c r="B788" s="331" t="s">
        <v>1141</v>
      </c>
      <c r="C788" s="362">
        <v>1240</v>
      </c>
      <c r="D788" s="362">
        <v>1104.5587301537719</v>
      </c>
      <c r="E788" s="362">
        <f t="shared" si="28"/>
        <v>135.44126984622812</v>
      </c>
      <c r="K788">
        <f t="shared" si="29"/>
        <v>1104.5587301537719</v>
      </c>
    </row>
    <row r="789" spans="1:11" customFormat="1" ht="15.75">
      <c r="A789" s="119"/>
      <c r="B789" s="331" t="s">
        <v>1142</v>
      </c>
      <c r="C789" s="362">
        <v>1240</v>
      </c>
      <c r="D789" s="362">
        <v>885.02999440996405</v>
      </c>
      <c r="E789" s="362">
        <f t="shared" si="28"/>
        <v>354.97000559003595</v>
      </c>
      <c r="K789">
        <f t="shared" si="29"/>
        <v>885.02999440996405</v>
      </c>
    </row>
    <row r="790" spans="1:11" customFormat="1" ht="15.75">
      <c r="A790" s="119"/>
      <c r="B790" s="331" t="s">
        <v>1143</v>
      </c>
      <c r="C790" s="362">
        <v>0</v>
      </c>
      <c r="D790" s="362">
        <v>1627.5709376521891</v>
      </c>
      <c r="E790" s="362">
        <f t="shared" si="28"/>
        <v>0</v>
      </c>
      <c r="K790">
        <f t="shared" si="29"/>
        <v>0</v>
      </c>
    </row>
    <row r="791" spans="1:11" customFormat="1" ht="15.75">
      <c r="A791" s="119"/>
      <c r="B791" s="331" t="s">
        <v>1144</v>
      </c>
      <c r="C791" s="362">
        <v>0</v>
      </c>
      <c r="D791" s="362">
        <v>898.98310719528706</v>
      </c>
      <c r="E791" s="362">
        <f t="shared" si="28"/>
        <v>0</v>
      </c>
      <c r="K791">
        <f t="shared" si="29"/>
        <v>0</v>
      </c>
    </row>
    <row r="792" spans="1:11" customFormat="1" ht="15.75">
      <c r="A792" s="119"/>
      <c r="B792" s="331" t="s">
        <v>1145</v>
      </c>
      <c r="C792" s="362">
        <v>1240</v>
      </c>
      <c r="D792" s="362">
        <v>1111.2869904658389</v>
      </c>
      <c r="E792" s="362">
        <f t="shared" si="28"/>
        <v>128.71300953416107</v>
      </c>
      <c r="K792">
        <f t="shared" si="29"/>
        <v>1111.2869904658389</v>
      </c>
    </row>
    <row r="793" spans="1:11" customFormat="1" ht="15.75">
      <c r="A793" s="119"/>
      <c r="B793" s="331" t="s">
        <v>1146</v>
      </c>
      <c r="C793" s="362">
        <v>0</v>
      </c>
      <c r="D793" s="362">
        <v>393.78601448280455</v>
      </c>
      <c r="E793" s="362">
        <f t="shared" si="28"/>
        <v>0</v>
      </c>
      <c r="K793">
        <f t="shared" si="29"/>
        <v>0</v>
      </c>
    </row>
    <row r="794" spans="1:11" customFormat="1" ht="15.75">
      <c r="A794" s="119"/>
      <c r="B794" s="331" t="s">
        <v>1147</v>
      </c>
      <c r="C794" s="362">
        <v>0</v>
      </c>
      <c r="D794" s="362">
        <v>1175.1689244821712</v>
      </c>
      <c r="E794" s="362">
        <f t="shared" si="28"/>
        <v>0</v>
      </c>
      <c r="K794">
        <f t="shared" si="29"/>
        <v>0</v>
      </c>
    </row>
    <row r="795" spans="1:11" customFormat="1" ht="15.75">
      <c r="A795" s="119"/>
      <c r="B795" s="331" t="s">
        <v>1148</v>
      </c>
      <c r="C795" s="362">
        <v>0</v>
      </c>
      <c r="D795" s="362">
        <v>811.77627204892758</v>
      </c>
      <c r="E795" s="362">
        <f t="shared" si="28"/>
        <v>0</v>
      </c>
      <c r="K795">
        <f t="shared" si="29"/>
        <v>0</v>
      </c>
    </row>
    <row r="796" spans="1:11" customFormat="1" ht="15.75">
      <c r="A796" s="119"/>
      <c r="B796" s="331" t="s">
        <v>1149</v>
      </c>
      <c r="C796" s="362">
        <v>0</v>
      </c>
      <c r="D796" s="362">
        <v>1358.9973411898593</v>
      </c>
      <c r="E796" s="362">
        <f t="shared" si="28"/>
        <v>0</v>
      </c>
      <c r="K796">
        <f t="shared" si="29"/>
        <v>0</v>
      </c>
    </row>
    <row r="797" spans="1:11" customFormat="1" ht="15.75">
      <c r="A797" s="119"/>
      <c r="B797" s="331" t="s">
        <v>1150</v>
      </c>
      <c r="C797" s="362">
        <v>0</v>
      </c>
      <c r="D797" s="362">
        <v>1318.2941863105857</v>
      </c>
      <c r="E797" s="362">
        <f t="shared" si="28"/>
        <v>0</v>
      </c>
      <c r="K797">
        <f t="shared" si="29"/>
        <v>0</v>
      </c>
    </row>
    <row r="798" spans="1:11" customFormat="1" ht="15.75">
      <c r="A798" s="119"/>
      <c r="B798" s="331" t="s">
        <v>1151</v>
      </c>
      <c r="C798" s="362">
        <v>0</v>
      </c>
      <c r="D798" s="362">
        <v>806.65939849437382</v>
      </c>
      <c r="E798" s="362">
        <f t="shared" si="28"/>
        <v>0</v>
      </c>
      <c r="K798">
        <f t="shared" si="29"/>
        <v>0</v>
      </c>
    </row>
    <row r="799" spans="1:11" customFormat="1" ht="15.75">
      <c r="A799" s="119"/>
      <c r="B799" s="331" t="s">
        <v>1152</v>
      </c>
      <c r="C799" s="362">
        <v>0</v>
      </c>
      <c r="D799" s="362">
        <v>786.72153829115359</v>
      </c>
      <c r="E799" s="362">
        <f t="shared" si="28"/>
        <v>0</v>
      </c>
      <c r="K799">
        <f t="shared" si="29"/>
        <v>0</v>
      </c>
    </row>
    <row r="800" spans="1:11" customFormat="1" ht="15.75">
      <c r="A800" s="119"/>
      <c r="B800" s="331" t="s">
        <v>1153</v>
      </c>
      <c r="C800" s="362">
        <v>0</v>
      </c>
      <c r="D800" s="362">
        <v>957.66231395423347</v>
      </c>
      <c r="E800" s="362">
        <f t="shared" si="28"/>
        <v>0</v>
      </c>
      <c r="K800">
        <f t="shared" si="29"/>
        <v>0</v>
      </c>
    </row>
    <row r="801" spans="1:11" customFormat="1" ht="15.75">
      <c r="A801" s="119"/>
      <c r="B801" s="331" t="s">
        <v>1154</v>
      </c>
      <c r="C801" s="362">
        <v>1240</v>
      </c>
      <c r="D801" s="362">
        <v>1157.5962927502296</v>
      </c>
      <c r="E801" s="362">
        <f t="shared" si="28"/>
        <v>82.403707249770378</v>
      </c>
      <c r="K801">
        <f t="shared" si="29"/>
        <v>1157.5962927502296</v>
      </c>
    </row>
    <row r="802" spans="1:11" customFormat="1" ht="15.75">
      <c r="A802" s="119"/>
      <c r="B802" s="331" t="s">
        <v>1155</v>
      </c>
      <c r="C802" s="362">
        <v>1240</v>
      </c>
      <c r="D802" s="362">
        <v>2130.284869460977</v>
      </c>
      <c r="E802" s="362">
        <f t="shared" si="28"/>
        <v>0</v>
      </c>
      <c r="K802">
        <f t="shared" si="29"/>
        <v>1240</v>
      </c>
    </row>
    <row r="803" spans="1:11" customFormat="1" ht="15.75">
      <c r="A803" s="119"/>
      <c r="B803" s="331" t="s">
        <v>1156</v>
      </c>
      <c r="C803" s="362">
        <v>1240</v>
      </c>
      <c r="D803" s="362">
        <v>689.38697705168966</v>
      </c>
      <c r="E803" s="362">
        <f t="shared" si="28"/>
        <v>550.61302294831034</v>
      </c>
      <c r="K803">
        <f t="shared" si="29"/>
        <v>689.38697705168966</v>
      </c>
    </row>
    <row r="804" spans="1:11" customFormat="1" ht="15.75">
      <c r="A804" s="119"/>
      <c r="B804" s="331" t="s">
        <v>1157</v>
      </c>
      <c r="C804" s="362">
        <v>1240</v>
      </c>
      <c r="D804" s="362">
        <v>1855.8080629635258</v>
      </c>
      <c r="E804" s="362">
        <f t="shared" si="28"/>
        <v>0</v>
      </c>
      <c r="K804">
        <f t="shared" si="29"/>
        <v>1240</v>
      </c>
    </row>
    <row r="805" spans="1:11" customFormat="1" ht="15.75">
      <c r="A805" s="119"/>
      <c r="B805" s="331" t="s">
        <v>1158</v>
      </c>
      <c r="C805" s="362">
        <v>0</v>
      </c>
      <c r="D805" s="362">
        <v>538.79063926622769</v>
      </c>
      <c r="E805" s="362">
        <f t="shared" si="28"/>
        <v>0</v>
      </c>
      <c r="K805">
        <f t="shared" si="29"/>
        <v>0</v>
      </c>
    </row>
    <row r="806" spans="1:11" customFormat="1" ht="15.75">
      <c r="A806" s="119"/>
      <c r="B806" s="331" t="s">
        <v>1159</v>
      </c>
      <c r="C806" s="362">
        <v>0</v>
      </c>
      <c r="D806" s="362">
        <v>549.44681738142913</v>
      </c>
      <c r="E806" s="362">
        <f t="shared" si="28"/>
        <v>0</v>
      </c>
      <c r="K806">
        <f t="shared" si="29"/>
        <v>0</v>
      </c>
    </row>
    <row r="807" spans="1:11" customFormat="1" ht="15.75">
      <c r="A807" s="119"/>
      <c r="B807" s="331" t="s">
        <v>1160</v>
      </c>
      <c r="C807" s="362">
        <v>0</v>
      </c>
      <c r="D807" s="362">
        <v>361.14873391493967</v>
      </c>
      <c r="E807" s="362">
        <f t="shared" si="28"/>
        <v>0</v>
      </c>
      <c r="K807">
        <f t="shared" si="29"/>
        <v>0</v>
      </c>
    </row>
    <row r="808" spans="1:11" customFormat="1" ht="15.75">
      <c r="A808" s="119"/>
      <c r="B808" s="331" t="s">
        <v>1161</v>
      </c>
      <c r="C808" s="362">
        <v>0</v>
      </c>
      <c r="D808" s="362">
        <v>477.74692539618889</v>
      </c>
      <c r="E808" s="362">
        <f t="shared" si="28"/>
        <v>0</v>
      </c>
      <c r="K808">
        <f t="shared" si="29"/>
        <v>0</v>
      </c>
    </row>
    <row r="809" spans="1:11" customFormat="1" ht="15.75">
      <c r="A809" s="119"/>
      <c r="B809" s="331" t="s">
        <v>1162</v>
      </c>
      <c r="C809" s="362">
        <v>0</v>
      </c>
      <c r="D809" s="362">
        <v>283.97274008319226</v>
      </c>
      <c r="E809" s="362">
        <f t="shared" si="28"/>
        <v>0</v>
      </c>
      <c r="K809">
        <f t="shared" si="29"/>
        <v>0</v>
      </c>
    </row>
    <row r="810" spans="1:11" customFormat="1" ht="15.75">
      <c r="A810" s="119"/>
      <c r="B810" s="331" t="s">
        <v>1163</v>
      </c>
      <c r="C810" s="362">
        <v>0</v>
      </c>
      <c r="D810" s="362">
        <v>308.63797339858235</v>
      </c>
      <c r="E810" s="362">
        <f t="shared" si="28"/>
        <v>0</v>
      </c>
      <c r="K810">
        <f t="shared" si="29"/>
        <v>0</v>
      </c>
    </row>
    <row r="811" spans="1:11" customFormat="1" ht="15.75">
      <c r="A811" s="119"/>
      <c r="B811" s="331" t="s">
        <v>1164</v>
      </c>
      <c r="C811" s="362">
        <v>0</v>
      </c>
      <c r="D811" s="362">
        <v>385.93286456762405</v>
      </c>
      <c r="E811" s="362">
        <f t="shared" si="28"/>
        <v>0</v>
      </c>
      <c r="K811">
        <f t="shared" si="29"/>
        <v>0</v>
      </c>
    </row>
    <row r="812" spans="1:11" customFormat="1" ht="15.75">
      <c r="A812" s="119"/>
      <c r="B812" s="331" t="s">
        <v>1165</v>
      </c>
      <c r="C812" s="362">
        <v>1004.1430291200001</v>
      </c>
      <c r="D812" s="362">
        <v>410.82797923447868</v>
      </c>
      <c r="E812" s="362">
        <f t="shared" si="28"/>
        <v>593.31504988552138</v>
      </c>
      <c r="K812">
        <f t="shared" si="29"/>
        <v>410.82797923447868</v>
      </c>
    </row>
    <row r="813" spans="1:11" customFormat="1" ht="15.75">
      <c r="A813" s="119"/>
      <c r="B813" s="331" t="s">
        <v>1166</v>
      </c>
      <c r="C813" s="362">
        <v>1240</v>
      </c>
      <c r="D813" s="362">
        <v>2083.2302395150882</v>
      </c>
      <c r="E813" s="362">
        <f t="shared" si="28"/>
        <v>0</v>
      </c>
      <c r="K813">
        <f t="shared" si="29"/>
        <v>1240</v>
      </c>
    </row>
    <row r="814" spans="1:11" customFormat="1" ht="15.75">
      <c r="A814" s="119"/>
      <c r="B814" s="331" t="s">
        <v>1167</v>
      </c>
      <c r="C814" s="362">
        <v>1240</v>
      </c>
      <c r="D814" s="362">
        <v>1058.0990134628021</v>
      </c>
      <c r="E814" s="362">
        <f t="shared" si="28"/>
        <v>181.90098653719792</v>
      </c>
      <c r="K814">
        <f t="shared" si="29"/>
        <v>1058.0990134628021</v>
      </c>
    </row>
    <row r="815" spans="1:11" customFormat="1" ht="15.75">
      <c r="A815" s="119"/>
      <c r="B815" s="331" t="s">
        <v>1168</v>
      </c>
      <c r="C815" s="362">
        <v>1240</v>
      </c>
      <c r="D815" s="362">
        <v>594.22436309642922</v>
      </c>
      <c r="E815" s="362">
        <f t="shared" si="28"/>
        <v>645.77563690357078</v>
      </c>
      <c r="K815">
        <f t="shared" si="29"/>
        <v>594.22436309642922</v>
      </c>
    </row>
    <row r="816" spans="1:11" customFormat="1" ht="15.75">
      <c r="A816" s="119"/>
      <c r="B816" s="331" t="s">
        <v>1169</v>
      </c>
      <c r="C816" s="362">
        <v>1240</v>
      </c>
      <c r="D816" s="362">
        <v>328.54131764969293</v>
      </c>
      <c r="E816" s="362">
        <f t="shared" si="28"/>
        <v>911.45868235030707</v>
      </c>
      <c r="K816">
        <f t="shared" si="29"/>
        <v>328.54131764969293</v>
      </c>
    </row>
    <row r="817" spans="1:11" customFormat="1" ht="15.75">
      <c r="A817" s="119"/>
      <c r="B817" s="331" t="s">
        <v>1170</v>
      </c>
      <c r="C817" s="362">
        <v>0</v>
      </c>
      <c r="D817" s="362">
        <v>155.97521550492934</v>
      </c>
      <c r="E817" s="362">
        <f t="shared" si="28"/>
        <v>0</v>
      </c>
      <c r="K817">
        <f t="shared" si="29"/>
        <v>0</v>
      </c>
    </row>
    <row r="818" spans="1:11" customFormat="1" ht="15.75">
      <c r="A818" s="119"/>
      <c r="B818" s="331" t="s">
        <v>1171</v>
      </c>
      <c r="C818" s="362">
        <v>0</v>
      </c>
      <c r="D818" s="362">
        <v>372.75314932183045</v>
      </c>
      <c r="E818" s="362">
        <f t="shared" si="28"/>
        <v>0</v>
      </c>
      <c r="K818">
        <f t="shared" si="29"/>
        <v>0</v>
      </c>
    </row>
    <row r="819" spans="1:11" customFormat="1" ht="15.75">
      <c r="A819" s="119"/>
      <c r="B819" s="331" t="s">
        <v>1172</v>
      </c>
      <c r="C819" s="362">
        <v>0</v>
      </c>
      <c r="D819" s="362">
        <v>405.87852636990596</v>
      </c>
      <c r="E819" s="362">
        <f t="shared" si="28"/>
        <v>0</v>
      </c>
      <c r="K819">
        <f t="shared" si="29"/>
        <v>0</v>
      </c>
    </row>
    <row r="820" spans="1:11" customFormat="1" ht="15.75">
      <c r="A820" s="119"/>
      <c r="B820" s="331" t="s">
        <v>1173</v>
      </c>
      <c r="C820" s="362">
        <v>0</v>
      </c>
      <c r="D820" s="362">
        <v>360.74200205234024</v>
      </c>
      <c r="E820" s="362">
        <f t="shared" si="28"/>
        <v>0</v>
      </c>
      <c r="K820">
        <f t="shared" si="29"/>
        <v>0</v>
      </c>
    </row>
    <row r="821" spans="1:11" customFormat="1" ht="15.75">
      <c r="A821" s="119"/>
      <c r="B821" s="331" t="s">
        <v>1174</v>
      </c>
      <c r="C821" s="362">
        <v>0</v>
      </c>
      <c r="D821" s="362">
        <v>347.92273839227767</v>
      </c>
      <c r="E821" s="362">
        <f t="shared" si="28"/>
        <v>0</v>
      </c>
      <c r="K821">
        <f t="shared" si="29"/>
        <v>0</v>
      </c>
    </row>
    <row r="822" spans="1:11" customFormat="1" ht="15.75">
      <c r="A822" s="119"/>
      <c r="B822" s="331" t="s">
        <v>1175</v>
      </c>
      <c r="C822" s="362">
        <v>0</v>
      </c>
      <c r="D822" s="362">
        <v>626.73235931914803</v>
      </c>
      <c r="E822" s="362">
        <f t="shared" si="28"/>
        <v>0</v>
      </c>
      <c r="K822">
        <f t="shared" si="29"/>
        <v>0</v>
      </c>
    </row>
    <row r="823" spans="1:11" customFormat="1" ht="15.75">
      <c r="A823" s="119"/>
      <c r="B823" s="331" t="s">
        <v>1176</v>
      </c>
      <c r="C823" s="362">
        <v>0</v>
      </c>
      <c r="D823" s="362">
        <v>849.11517719499705</v>
      </c>
      <c r="E823" s="362">
        <f t="shared" si="28"/>
        <v>0</v>
      </c>
      <c r="K823">
        <f t="shared" si="29"/>
        <v>0</v>
      </c>
    </row>
    <row r="824" spans="1:11" customFormat="1" ht="15.75">
      <c r="A824" s="119"/>
      <c r="B824" s="331" t="s">
        <v>1177</v>
      </c>
      <c r="C824" s="362">
        <v>1112.8165171200001</v>
      </c>
      <c r="D824" s="362">
        <v>366.25673237512046</v>
      </c>
      <c r="E824" s="362">
        <f t="shared" si="28"/>
        <v>746.55978474487961</v>
      </c>
      <c r="K824">
        <f t="shared" si="29"/>
        <v>366.25673237512046</v>
      </c>
    </row>
    <row r="825" spans="1:11" customFormat="1" ht="15.75">
      <c r="A825" s="119"/>
      <c r="B825" s="331" t="s">
        <v>1178</v>
      </c>
      <c r="C825" s="362">
        <v>1240</v>
      </c>
      <c r="D825" s="362">
        <v>647.43290614748105</v>
      </c>
      <c r="E825" s="362">
        <f t="shared" si="28"/>
        <v>592.56709385251895</v>
      </c>
      <c r="K825">
        <f t="shared" si="29"/>
        <v>647.43290614748105</v>
      </c>
    </row>
    <row r="826" spans="1:11" customFormat="1" ht="15.75">
      <c r="A826" s="119"/>
      <c r="B826" s="331" t="s">
        <v>1179</v>
      </c>
      <c r="C826" s="362">
        <v>1240</v>
      </c>
      <c r="D826" s="362">
        <v>248.36516195993198</v>
      </c>
      <c r="E826" s="362">
        <f t="shared" si="28"/>
        <v>991.63483804006796</v>
      </c>
      <c r="K826">
        <f t="shared" si="29"/>
        <v>248.36516195993198</v>
      </c>
    </row>
    <row r="827" spans="1:11" customFormat="1" ht="15.75">
      <c r="A827" s="119"/>
      <c r="B827" s="331" t="s">
        <v>1180</v>
      </c>
      <c r="C827" s="362">
        <v>1240</v>
      </c>
      <c r="D827" s="362">
        <v>1384.1929489820334</v>
      </c>
      <c r="E827" s="362">
        <f t="shared" si="28"/>
        <v>0</v>
      </c>
      <c r="K827">
        <f t="shared" si="29"/>
        <v>1240</v>
      </c>
    </row>
    <row r="828" spans="1:11" customFormat="1" ht="15.75">
      <c r="A828" s="119"/>
      <c r="B828" s="331" t="s">
        <v>1181</v>
      </c>
      <c r="C828" s="362">
        <v>1012.7051827199999</v>
      </c>
      <c r="D828" s="362">
        <v>641.67547889601201</v>
      </c>
      <c r="E828" s="362">
        <f t="shared" si="28"/>
        <v>371.02970382398792</v>
      </c>
      <c r="K828">
        <f t="shared" si="29"/>
        <v>641.67547889601201</v>
      </c>
    </row>
    <row r="829" spans="1:11" customFormat="1" ht="15.75">
      <c r="A829" s="119"/>
      <c r="B829" s="331" t="s">
        <v>1182</v>
      </c>
      <c r="C829" s="362">
        <v>0</v>
      </c>
      <c r="D829" s="362">
        <v>573.62389748705618</v>
      </c>
      <c r="E829" s="362">
        <f t="shared" si="28"/>
        <v>0</v>
      </c>
      <c r="K829">
        <f t="shared" si="29"/>
        <v>0</v>
      </c>
    </row>
    <row r="830" spans="1:11" customFormat="1" ht="15.75">
      <c r="A830" s="119"/>
      <c r="B830" s="331" t="s">
        <v>1183</v>
      </c>
      <c r="C830" s="362">
        <v>0</v>
      </c>
      <c r="D830" s="362">
        <v>833.29821569575267</v>
      </c>
      <c r="E830" s="362">
        <f t="shared" si="28"/>
        <v>0</v>
      </c>
      <c r="K830">
        <f t="shared" si="29"/>
        <v>0</v>
      </c>
    </row>
    <row r="831" spans="1:11" customFormat="1" ht="15.75">
      <c r="A831" s="119"/>
      <c r="B831" s="331" t="s">
        <v>1184</v>
      </c>
      <c r="C831" s="362">
        <v>0</v>
      </c>
      <c r="D831" s="362">
        <v>638.04895318035938</v>
      </c>
      <c r="E831" s="362">
        <f t="shared" si="28"/>
        <v>0</v>
      </c>
      <c r="K831">
        <f t="shared" si="29"/>
        <v>0</v>
      </c>
    </row>
    <row r="832" spans="1:11" customFormat="1" ht="15.75">
      <c r="A832" s="119"/>
      <c r="B832" s="331" t="s">
        <v>1185</v>
      </c>
      <c r="C832" s="362">
        <v>0</v>
      </c>
      <c r="D832" s="362">
        <v>986.38178494452359</v>
      </c>
      <c r="E832" s="362">
        <f t="shared" si="28"/>
        <v>0</v>
      </c>
      <c r="K832">
        <f t="shared" si="29"/>
        <v>0</v>
      </c>
    </row>
    <row r="833" spans="1:11" customFormat="1" ht="15.75">
      <c r="A833" s="119"/>
      <c r="B833" s="331" t="s">
        <v>1186</v>
      </c>
      <c r="C833" s="362">
        <v>0</v>
      </c>
      <c r="D833" s="362">
        <v>453.43914559032845</v>
      </c>
      <c r="E833" s="362">
        <f t="shared" si="28"/>
        <v>0</v>
      </c>
      <c r="K833">
        <f t="shared" si="29"/>
        <v>0</v>
      </c>
    </row>
    <row r="834" spans="1:11" customFormat="1" ht="15.75">
      <c r="A834" s="119"/>
      <c r="B834" s="331" t="s">
        <v>1187</v>
      </c>
      <c r="C834" s="362">
        <v>0</v>
      </c>
      <c r="D834" s="362">
        <v>751.49998173198082</v>
      </c>
      <c r="E834" s="362">
        <f t="shared" si="28"/>
        <v>0</v>
      </c>
      <c r="K834">
        <f t="shared" si="29"/>
        <v>0</v>
      </c>
    </row>
    <row r="835" spans="1:11" customFormat="1" ht="15.75">
      <c r="A835" s="119"/>
      <c r="B835" s="331" t="s">
        <v>1188</v>
      </c>
      <c r="C835" s="362">
        <v>0</v>
      </c>
      <c r="D835" s="362">
        <v>1130.3462398174624</v>
      </c>
      <c r="E835" s="362">
        <f t="shared" si="28"/>
        <v>0</v>
      </c>
      <c r="K835">
        <f t="shared" si="29"/>
        <v>0</v>
      </c>
    </row>
    <row r="836" spans="1:11" customFormat="1" ht="15.75">
      <c r="A836" s="119"/>
      <c r="B836" s="331" t="s">
        <v>1189</v>
      </c>
      <c r="C836" s="362">
        <v>0</v>
      </c>
      <c r="D836" s="362">
        <v>1611.3719331205853</v>
      </c>
      <c r="E836" s="362">
        <f t="shared" si="28"/>
        <v>0</v>
      </c>
      <c r="K836">
        <f t="shared" si="29"/>
        <v>0</v>
      </c>
    </row>
    <row r="837" spans="1:11" customFormat="1" ht="15.75">
      <c r="A837" s="119"/>
      <c r="B837" s="331" t="s">
        <v>1190</v>
      </c>
      <c r="C837" s="362">
        <v>0</v>
      </c>
      <c r="D837" s="362">
        <v>1099.8286480488496</v>
      </c>
      <c r="E837" s="362">
        <f t="shared" si="28"/>
        <v>0</v>
      </c>
      <c r="K837">
        <f t="shared" si="29"/>
        <v>0</v>
      </c>
    </row>
    <row r="838" spans="1:11" customFormat="1" ht="15.75">
      <c r="A838" s="119"/>
      <c r="B838" s="331" t="s">
        <v>1191</v>
      </c>
      <c r="C838" s="362">
        <v>1012.7051827199999</v>
      </c>
      <c r="D838" s="362">
        <v>692.45486806123006</v>
      </c>
      <c r="E838" s="362">
        <f t="shared" si="28"/>
        <v>320.25031465876987</v>
      </c>
      <c r="K838">
        <f t="shared" si="29"/>
        <v>692.45486806123006</v>
      </c>
    </row>
    <row r="839" spans="1:11" customFormat="1" ht="15.75">
      <c r="A839" s="119"/>
      <c r="B839" s="331" t="s">
        <v>1192</v>
      </c>
      <c r="C839" s="362">
        <v>1012.7051827199999</v>
      </c>
      <c r="D839" s="362">
        <v>411.30298031376589</v>
      </c>
      <c r="E839" s="362">
        <f t="shared" si="28"/>
        <v>601.40220240623398</v>
      </c>
      <c r="K839">
        <f t="shared" si="29"/>
        <v>411.30298031376589</v>
      </c>
    </row>
    <row r="840" spans="1:11" customFormat="1" ht="15.75">
      <c r="A840" s="119"/>
      <c r="B840" s="331" t="s">
        <v>1193</v>
      </c>
      <c r="C840" s="362">
        <v>1095.4287590399999</v>
      </c>
      <c r="D840" s="362">
        <v>516.65539007265454</v>
      </c>
      <c r="E840" s="362">
        <f t="shared" ref="E840:E903" si="30">MAX(0,C840-D840)</f>
        <v>578.77336896734539</v>
      </c>
      <c r="K840">
        <f t="shared" ref="K840:K903" si="31">MIN(C840,D840)</f>
        <v>516.65539007265454</v>
      </c>
    </row>
    <row r="841" spans="1:11" customFormat="1" ht="15.75">
      <c r="A841" s="119"/>
      <c r="B841" s="331" t="s">
        <v>1194</v>
      </c>
      <c r="C841" s="362">
        <v>0</v>
      </c>
      <c r="D841" s="362">
        <v>405.20921710191652</v>
      </c>
      <c r="E841" s="362">
        <f t="shared" si="30"/>
        <v>0</v>
      </c>
      <c r="K841">
        <f t="shared" si="31"/>
        <v>0</v>
      </c>
    </row>
    <row r="842" spans="1:11" customFormat="1" ht="15.75">
      <c r="A842" s="119"/>
      <c r="B842" s="331" t="s">
        <v>1195</v>
      </c>
      <c r="C842" s="362">
        <v>0</v>
      </c>
      <c r="D842" s="362">
        <v>548.81477087771407</v>
      </c>
      <c r="E842" s="362">
        <f t="shared" si="30"/>
        <v>0</v>
      </c>
      <c r="K842">
        <f t="shared" si="31"/>
        <v>0</v>
      </c>
    </row>
    <row r="843" spans="1:11" customFormat="1" ht="15.75">
      <c r="A843" s="119"/>
      <c r="B843" s="331" t="s">
        <v>1196</v>
      </c>
      <c r="C843" s="362">
        <v>0</v>
      </c>
      <c r="D843" s="362">
        <v>544.58411585944941</v>
      </c>
      <c r="E843" s="362">
        <f t="shared" si="30"/>
        <v>0</v>
      </c>
      <c r="K843">
        <f t="shared" si="31"/>
        <v>0</v>
      </c>
    </row>
    <row r="844" spans="1:11" customFormat="1" ht="15.75">
      <c r="A844" s="119"/>
      <c r="B844" s="331" t="s">
        <v>1197</v>
      </c>
      <c r="C844" s="362">
        <v>0</v>
      </c>
      <c r="D844" s="362">
        <v>228.93873110515679</v>
      </c>
      <c r="E844" s="362">
        <f t="shared" si="30"/>
        <v>0</v>
      </c>
      <c r="K844">
        <f t="shared" si="31"/>
        <v>0</v>
      </c>
    </row>
    <row r="845" spans="1:11" customFormat="1" ht="15.75">
      <c r="A845" s="119"/>
      <c r="B845" s="331" t="s">
        <v>1198</v>
      </c>
      <c r="C845" s="362">
        <v>0</v>
      </c>
      <c r="D845" s="362">
        <v>243.28408499451018</v>
      </c>
      <c r="E845" s="362">
        <f t="shared" si="30"/>
        <v>0</v>
      </c>
      <c r="K845">
        <f t="shared" si="31"/>
        <v>0</v>
      </c>
    </row>
    <row r="846" spans="1:11" customFormat="1" ht="15.75">
      <c r="A846" s="119"/>
      <c r="B846" s="331" t="s">
        <v>1199</v>
      </c>
      <c r="C846" s="362">
        <v>0</v>
      </c>
      <c r="D846" s="362">
        <v>307.08535964672058</v>
      </c>
      <c r="E846" s="362">
        <f t="shared" si="30"/>
        <v>0</v>
      </c>
      <c r="K846">
        <f t="shared" si="31"/>
        <v>0</v>
      </c>
    </row>
    <row r="847" spans="1:11" customFormat="1" ht="15.75">
      <c r="A847" s="119"/>
      <c r="B847" s="331" t="s">
        <v>1200</v>
      </c>
      <c r="C847" s="362">
        <v>0</v>
      </c>
      <c r="D847" s="362">
        <v>305.01885848908108</v>
      </c>
      <c r="E847" s="362">
        <f t="shared" si="30"/>
        <v>0</v>
      </c>
      <c r="K847">
        <f t="shared" si="31"/>
        <v>0</v>
      </c>
    </row>
    <row r="848" spans="1:11" customFormat="1" ht="15.75">
      <c r="A848" s="119"/>
      <c r="B848" s="331" t="s">
        <v>1201</v>
      </c>
      <c r="C848" s="362">
        <v>0</v>
      </c>
      <c r="D848" s="362">
        <v>359.16602875816602</v>
      </c>
      <c r="E848" s="362">
        <f t="shared" si="30"/>
        <v>0</v>
      </c>
      <c r="K848">
        <f t="shared" si="31"/>
        <v>0</v>
      </c>
    </row>
    <row r="849" spans="1:11" customFormat="1" ht="15.75">
      <c r="A849" s="119"/>
      <c r="B849" s="331" t="s">
        <v>1202</v>
      </c>
      <c r="C849" s="362">
        <v>1004.1430291199999</v>
      </c>
      <c r="D849" s="362">
        <v>336.49855467842002</v>
      </c>
      <c r="E849" s="362">
        <f t="shared" si="30"/>
        <v>667.64447444157986</v>
      </c>
      <c r="K849">
        <f t="shared" si="31"/>
        <v>336.49855467842002</v>
      </c>
    </row>
    <row r="850" spans="1:11" customFormat="1" ht="15.75">
      <c r="A850" s="119"/>
      <c r="B850" s="331" t="s">
        <v>1203</v>
      </c>
      <c r="C850" s="362">
        <v>1095.4287590399999</v>
      </c>
      <c r="D850" s="362">
        <v>446.41898812438251</v>
      </c>
      <c r="E850" s="362">
        <f t="shared" si="30"/>
        <v>649.00977091561742</v>
      </c>
      <c r="K850">
        <f t="shared" si="31"/>
        <v>446.41898812438251</v>
      </c>
    </row>
    <row r="851" spans="1:11" customFormat="1" ht="15.75">
      <c r="A851" s="119"/>
      <c r="B851" s="331" t="s">
        <v>1204</v>
      </c>
      <c r="C851" s="362">
        <v>1095.4287590399999</v>
      </c>
      <c r="D851" s="362">
        <v>999.87273564029647</v>
      </c>
      <c r="E851" s="362">
        <f t="shared" si="30"/>
        <v>95.556023399703463</v>
      </c>
      <c r="K851">
        <f t="shared" si="31"/>
        <v>999.87273564029647</v>
      </c>
    </row>
    <row r="852" spans="1:11" customFormat="1" ht="15.75">
      <c r="A852" s="119"/>
      <c r="B852" s="331" t="s">
        <v>1205</v>
      </c>
      <c r="C852" s="362">
        <v>1213.9816550400001</v>
      </c>
      <c r="D852" s="362">
        <v>1893.8842504334646</v>
      </c>
      <c r="E852" s="362">
        <f t="shared" si="30"/>
        <v>0</v>
      </c>
      <c r="K852">
        <f t="shared" si="31"/>
        <v>1213.9816550400001</v>
      </c>
    </row>
    <row r="853" spans="1:11" customFormat="1" ht="15.75">
      <c r="A853" s="119"/>
      <c r="B853" s="331" t="s">
        <v>1206</v>
      </c>
      <c r="C853" s="362">
        <v>0</v>
      </c>
      <c r="D853" s="362">
        <v>229.10785080210846</v>
      </c>
      <c r="E853" s="362">
        <f t="shared" si="30"/>
        <v>0</v>
      </c>
      <c r="K853">
        <f t="shared" si="31"/>
        <v>0</v>
      </c>
    </row>
    <row r="854" spans="1:11" customFormat="1" ht="15.75">
      <c r="A854" s="119"/>
      <c r="B854" s="331" t="s">
        <v>1207</v>
      </c>
      <c r="C854" s="362">
        <v>0</v>
      </c>
      <c r="D854" s="362">
        <v>346.08038063994803</v>
      </c>
      <c r="E854" s="362">
        <f t="shared" si="30"/>
        <v>0</v>
      </c>
      <c r="K854">
        <f t="shared" si="31"/>
        <v>0</v>
      </c>
    </row>
    <row r="855" spans="1:11" customFormat="1" ht="15.75">
      <c r="A855" s="119"/>
      <c r="B855" s="331" t="s">
        <v>1208</v>
      </c>
      <c r="C855" s="362">
        <v>0</v>
      </c>
      <c r="D855" s="362">
        <v>390.9100182081354</v>
      </c>
      <c r="E855" s="362">
        <f t="shared" si="30"/>
        <v>0</v>
      </c>
      <c r="K855">
        <f t="shared" si="31"/>
        <v>0</v>
      </c>
    </row>
    <row r="856" spans="1:11" customFormat="1" ht="15.75">
      <c r="A856" s="119"/>
      <c r="B856" s="331" t="s">
        <v>1209</v>
      </c>
      <c r="C856" s="362">
        <v>0</v>
      </c>
      <c r="D856" s="362">
        <v>279.29802585211803</v>
      </c>
      <c r="E856" s="362">
        <f t="shared" si="30"/>
        <v>0</v>
      </c>
      <c r="K856">
        <f t="shared" si="31"/>
        <v>0</v>
      </c>
    </row>
    <row r="857" spans="1:11" customFormat="1" ht="15.75">
      <c r="A857" s="119"/>
      <c r="B857" s="331" t="s">
        <v>1210</v>
      </c>
      <c r="C857" s="362">
        <v>0</v>
      </c>
      <c r="D857" s="362">
        <v>206.11091381178954</v>
      </c>
      <c r="E857" s="362">
        <f t="shared" si="30"/>
        <v>0</v>
      </c>
      <c r="K857">
        <f t="shared" si="31"/>
        <v>0</v>
      </c>
    </row>
    <row r="858" spans="1:11" customFormat="1" ht="15.75">
      <c r="A858" s="119"/>
      <c r="B858" s="331" t="s">
        <v>1211</v>
      </c>
      <c r="C858" s="362">
        <v>0</v>
      </c>
      <c r="D858" s="362">
        <v>242.45234371220346</v>
      </c>
      <c r="E858" s="362">
        <f t="shared" si="30"/>
        <v>0</v>
      </c>
      <c r="K858">
        <f t="shared" si="31"/>
        <v>0</v>
      </c>
    </row>
    <row r="859" spans="1:11" customFormat="1" ht="15.75">
      <c r="A859" s="119"/>
      <c r="B859" s="331" t="s">
        <v>1212</v>
      </c>
      <c r="C859" s="362">
        <v>0</v>
      </c>
      <c r="D859" s="362">
        <v>402.42907095405241</v>
      </c>
      <c r="E859" s="362">
        <f t="shared" si="30"/>
        <v>0</v>
      </c>
      <c r="K859">
        <f t="shared" si="31"/>
        <v>0</v>
      </c>
    </row>
    <row r="860" spans="1:11" customFormat="1" ht="15.75">
      <c r="A860" s="119"/>
      <c r="B860" s="331" t="s">
        <v>1213</v>
      </c>
      <c r="C860" s="362">
        <v>0</v>
      </c>
      <c r="D860" s="362">
        <v>596.03933146679117</v>
      </c>
      <c r="E860" s="362">
        <f t="shared" si="30"/>
        <v>0</v>
      </c>
      <c r="K860">
        <f t="shared" si="31"/>
        <v>0</v>
      </c>
    </row>
    <row r="861" spans="1:11" customFormat="1" ht="15.75">
      <c r="A861" s="119"/>
      <c r="B861" s="331" t="s">
        <v>1214</v>
      </c>
      <c r="C861" s="362">
        <v>1112.8165171200001</v>
      </c>
      <c r="D861" s="362">
        <v>1417.0822746645213</v>
      </c>
      <c r="E861" s="362">
        <f t="shared" si="30"/>
        <v>0</v>
      </c>
      <c r="K861">
        <f t="shared" si="31"/>
        <v>1112.8165171200001</v>
      </c>
    </row>
    <row r="862" spans="1:11" customFormat="1" ht="15.75">
      <c r="A862" s="119"/>
      <c r="B862" s="331" t="s">
        <v>1215</v>
      </c>
      <c r="C862" s="362">
        <v>1213.9816550400001</v>
      </c>
      <c r="D862" s="362">
        <v>751.96873738526097</v>
      </c>
      <c r="E862" s="362">
        <f t="shared" si="30"/>
        <v>462.01291765473911</v>
      </c>
      <c r="K862">
        <f t="shared" si="31"/>
        <v>751.96873738526097</v>
      </c>
    </row>
    <row r="863" spans="1:11" customFormat="1" ht="15.75">
      <c r="A863" s="119"/>
      <c r="B863" s="331" t="s">
        <v>1216</v>
      </c>
      <c r="C863" s="362">
        <v>1213.9816550400001</v>
      </c>
      <c r="D863" s="362">
        <v>1562.9691331052447</v>
      </c>
      <c r="E863" s="362">
        <f t="shared" si="30"/>
        <v>0</v>
      </c>
      <c r="K863">
        <f t="shared" si="31"/>
        <v>1213.9816550400001</v>
      </c>
    </row>
    <row r="864" spans="1:11" customFormat="1" ht="15.75">
      <c r="A864" s="119"/>
      <c r="B864" s="331" t="s">
        <v>1217</v>
      </c>
      <c r="C864" s="362">
        <v>2145.7950175555925</v>
      </c>
      <c r="D864" s="362">
        <v>795.03355596920767</v>
      </c>
      <c r="E864" s="362">
        <f t="shared" si="30"/>
        <v>1350.7614615863849</v>
      </c>
      <c r="K864">
        <f t="shared" si="31"/>
        <v>795.03355596920767</v>
      </c>
    </row>
    <row r="865" spans="1:11" customFormat="1" ht="15.75">
      <c r="A865" s="119"/>
      <c r="B865" s="331" t="s">
        <v>1218</v>
      </c>
      <c r="C865" s="362">
        <v>2145.7950175555925</v>
      </c>
      <c r="D865" s="362">
        <v>3199.1659864889825</v>
      </c>
      <c r="E865" s="362">
        <f t="shared" si="30"/>
        <v>0</v>
      </c>
      <c r="K865">
        <f t="shared" si="31"/>
        <v>2145.7950175555925</v>
      </c>
    </row>
    <row r="866" spans="1:11" customFormat="1" ht="15.75">
      <c r="A866" s="119"/>
      <c r="B866" s="331" t="s">
        <v>1219</v>
      </c>
      <c r="C866" s="362">
        <v>3169.8080567999996</v>
      </c>
      <c r="D866" s="362">
        <v>2316.8426688257887</v>
      </c>
      <c r="E866" s="362">
        <f t="shared" si="30"/>
        <v>852.9653879742109</v>
      </c>
      <c r="K866">
        <f t="shared" si="31"/>
        <v>2316.8426688257887</v>
      </c>
    </row>
    <row r="867" spans="1:11" customFormat="1" ht="15.75">
      <c r="A867" s="119"/>
      <c r="B867" s="331" t="s">
        <v>1220</v>
      </c>
      <c r="C867" s="362">
        <v>3347.5841510371383</v>
      </c>
      <c r="D867" s="362">
        <v>4920.9927591334026</v>
      </c>
      <c r="E867" s="362">
        <f t="shared" si="30"/>
        <v>0</v>
      </c>
      <c r="K867">
        <f t="shared" si="31"/>
        <v>3347.5841510371383</v>
      </c>
    </row>
    <row r="868" spans="1:11" customFormat="1" ht="15.75">
      <c r="A868" s="119"/>
      <c r="B868" s="331" t="s">
        <v>1221</v>
      </c>
      <c r="C868" s="362">
        <v>4226.4107423999994</v>
      </c>
      <c r="D868" s="362">
        <v>2263.5276122938558</v>
      </c>
      <c r="E868" s="362">
        <f t="shared" si="30"/>
        <v>1962.8831301061437</v>
      </c>
      <c r="K868">
        <f t="shared" si="31"/>
        <v>2263.5276122938558</v>
      </c>
    </row>
    <row r="869" spans="1:11" customFormat="1" ht="15.75">
      <c r="A869" s="119"/>
      <c r="B869" s="331" t="s">
        <v>1222</v>
      </c>
      <c r="C869" s="362">
        <v>5487.742303306728</v>
      </c>
      <c r="D869" s="362">
        <v>6569.8318962344092</v>
      </c>
      <c r="E869" s="362">
        <f t="shared" si="30"/>
        <v>0</v>
      </c>
      <c r="K869">
        <f t="shared" si="31"/>
        <v>5487.742303306728</v>
      </c>
    </row>
    <row r="870" spans="1:11" customFormat="1" ht="15.75">
      <c r="A870" s="119"/>
      <c r="B870" s="331" t="s">
        <v>1223</v>
      </c>
      <c r="C870" s="362">
        <v>5487.742303306728</v>
      </c>
      <c r="D870" s="362">
        <v>3455.8379634222056</v>
      </c>
      <c r="E870" s="362">
        <f t="shared" si="30"/>
        <v>2031.9043398845224</v>
      </c>
      <c r="K870">
        <f t="shared" si="31"/>
        <v>3455.8379634222056</v>
      </c>
    </row>
    <row r="871" spans="1:11" customFormat="1" ht="15.75">
      <c r="A871" s="119"/>
      <c r="B871" s="331" t="s">
        <v>1224</v>
      </c>
      <c r="C871" s="362">
        <v>5487.742303306728</v>
      </c>
      <c r="D871" s="362">
        <v>2952.7314750203755</v>
      </c>
      <c r="E871" s="362">
        <f t="shared" si="30"/>
        <v>2535.0108282863525</v>
      </c>
      <c r="K871">
        <f t="shared" si="31"/>
        <v>2952.7314750203755</v>
      </c>
    </row>
    <row r="872" spans="1:11" customFormat="1" ht="15.75">
      <c r="A872" s="119"/>
      <c r="B872" s="331" t="s">
        <v>1225</v>
      </c>
      <c r="C872" s="362">
        <v>5283.0134279999993</v>
      </c>
      <c r="D872" s="362">
        <v>7080.4265961003557</v>
      </c>
      <c r="E872" s="362">
        <f t="shared" si="30"/>
        <v>0</v>
      </c>
      <c r="K872">
        <f t="shared" si="31"/>
        <v>5283.0134279999993</v>
      </c>
    </row>
    <row r="873" spans="1:11" customFormat="1" ht="15.75">
      <c r="A873" s="119"/>
      <c r="B873" s="331" t="s">
        <v>1226</v>
      </c>
      <c r="C873" s="362">
        <v>4334.8616106333075</v>
      </c>
      <c r="D873" s="362">
        <v>4488.6147489995519</v>
      </c>
      <c r="E873" s="362">
        <f t="shared" si="30"/>
        <v>0</v>
      </c>
      <c r="K873">
        <f t="shared" si="31"/>
        <v>4334.8616106333075</v>
      </c>
    </row>
    <row r="874" spans="1:11" customFormat="1" ht="15.75">
      <c r="A874" s="119"/>
      <c r="B874" s="331" t="s">
        <v>1227</v>
      </c>
      <c r="C874" s="362">
        <v>3347.5841510371383</v>
      </c>
      <c r="D874" s="362">
        <v>2771.0863001760381</v>
      </c>
      <c r="E874" s="362">
        <f t="shared" si="30"/>
        <v>576.49785086110023</v>
      </c>
      <c r="K874">
        <f t="shared" si="31"/>
        <v>2771.0863001760381</v>
      </c>
    </row>
    <row r="875" spans="1:11" customFormat="1" ht="15.75">
      <c r="A875" s="119"/>
      <c r="B875" s="331" t="s">
        <v>1228</v>
      </c>
      <c r="C875" s="362">
        <v>3347.5841510371383</v>
      </c>
      <c r="D875" s="362">
        <v>2064.8296920300827</v>
      </c>
      <c r="E875" s="362">
        <f t="shared" si="30"/>
        <v>1282.7544590070556</v>
      </c>
      <c r="K875">
        <f t="shared" si="31"/>
        <v>2064.8296920300827</v>
      </c>
    </row>
    <row r="876" spans="1:11" customFormat="1" ht="15.75">
      <c r="A876" s="119"/>
      <c r="B876" s="331" t="s">
        <v>1229</v>
      </c>
      <c r="C876" s="362">
        <v>2157.5488172725832</v>
      </c>
      <c r="D876" s="362">
        <v>2970.4905855461216</v>
      </c>
      <c r="E876" s="362">
        <f t="shared" si="30"/>
        <v>0</v>
      </c>
      <c r="K876">
        <f t="shared" si="31"/>
        <v>2157.5488172725832</v>
      </c>
    </row>
    <row r="877" spans="1:11" customFormat="1" ht="15.75">
      <c r="A877" s="119"/>
      <c r="B877" s="331" t="s">
        <v>1230</v>
      </c>
      <c r="C877" s="362">
        <v>2157.5488172725832</v>
      </c>
      <c r="D877" s="362">
        <v>6559.4838636196346</v>
      </c>
      <c r="E877" s="362">
        <f t="shared" si="30"/>
        <v>0</v>
      </c>
      <c r="K877">
        <f t="shared" si="31"/>
        <v>2157.5488172725832</v>
      </c>
    </row>
    <row r="878" spans="1:11" customFormat="1" ht="15.75">
      <c r="A878" s="119"/>
      <c r="B878" s="331" t="s">
        <v>1231</v>
      </c>
      <c r="C878" s="362">
        <v>3308.0081135902637</v>
      </c>
      <c r="D878" s="362">
        <v>8451.9425515554231</v>
      </c>
      <c r="E878" s="362">
        <f t="shared" si="30"/>
        <v>0</v>
      </c>
      <c r="K878">
        <f t="shared" si="31"/>
        <v>3308.0081135902637</v>
      </c>
    </row>
    <row r="879" spans="1:11" customFormat="1" ht="15.75">
      <c r="A879" s="119"/>
      <c r="B879" s="331" t="s">
        <v>1232</v>
      </c>
      <c r="C879" s="362">
        <v>3361.1871393239903</v>
      </c>
      <c r="D879" s="362">
        <v>7165.8554032013772</v>
      </c>
      <c r="E879" s="362">
        <f t="shared" si="30"/>
        <v>0</v>
      </c>
      <c r="K879">
        <f t="shared" si="31"/>
        <v>3361.1871393239903</v>
      </c>
    </row>
    <row r="880" spans="1:11" customFormat="1" ht="15.75">
      <c r="A880" s="119"/>
      <c r="B880" s="331" t="s">
        <v>1233</v>
      </c>
      <c r="C880" s="362">
        <v>4410.6774847870183</v>
      </c>
      <c r="D880" s="362">
        <v>5068.0358171106664</v>
      </c>
      <c r="E880" s="362">
        <f t="shared" si="30"/>
        <v>0</v>
      </c>
      <c r="K880">
        <f t="shared" si="31"/>
        <v>4410.6774847870183</v>
      </c>
    </row>
    <row r="881" spans="1:11" customFormat="1" ht="15.75">
      <c r="A881" s="119"/>
      <c r="B881" s="331" t="s">
        <v>1234</v>
      </c>
      <c r="C881" s="362">
        <v>6616.0162271805275</v>
      </c>
      <c r="D881" s="362">
        <v>9515.2781186539523</v>
      </c>
      <c r="E881" s="362">
        <f t="shared" si="30"/>
        <v>0</v>
      </c>
      <c r="K881">
        <f t="shared" si="31"/>
        <v>6616.0162271805275</v>
      </c>
    </row>
    <row r="882" spans="1:11" customFormat="1" ht="15.75">
      <c r="A882" s="119"/>
      <c r="B882" s="331" t="s">
        <v>1235</v>
      </c>
      <c r="C882" s="362">
        <v>6616.0162271805275</v>
      </c>
      <c r="D882" s="362">
        <v>4768.7809724616127</v>
      </c>
      <c r="E882" s="362">
        <f t="shared" si="30"/>
        <v>1847.2352547189148</v>
      </c>
      <c r="K882">
        <f t="shared" si="31"/>
        <v>4768.7809724616127</v>
      </c>
    </row>
    <row r="883" spans="1:11" customFormat="1" ht="15.75">
      <c r="A883" s="119"/>
      <c r="B883" s="331" t="s">
        <v>1236</v>
      </c>
      <c r="C883" s="362">
        <v>6616.0162271805275</v>
      </c>
      <c r="D883" s="362">
        <v>7660.9539018168716</v>
      </c>
      <c r="E883" s="362">
        <f t="shared" si="30"/>
        <v>0</v>
      </c>
      <c r="K883">
        <f t="shared" si="31"/>
        <v>6616.0162271805275</v>
      </c>
    </row>
    <row r="884" spans="1:11" customFormat="1" ht="15.75">
      <c r="A884" s="119"/>
      <c r="B884" s="331" t="s">
        <v>1237</v>
      </c>
      <c r="C884" s="362">
        <v>5513.3468559837729</v>
      </c>
      <c r="D884" s="362">
        <v>5049.2780221011235</v>
      </c>
      <c r="E884" s="362">
        <f t="shared" si="30"/>
        <v>464.06883388264941</v>
      </c>
      <c r="K884">
        <f t="shared" si="31"/>
        <v>5049.2780221011235</v>
      </c>
    </row>
    <row r="885" spans="1:11" customFormat="1" ht="15.75">
      <c r="A885" s="119"/>
      <c r="B885" s="331" t="s">
        <v>1238</v>
      </c>
      <c r="C885" s="362">
        <v>5359.7764281600003</v>
      </c>
      <c r="D885" s="362">
        <v>13439.507766811004</v>
      </c>
      <c r="E885" s="362">
        <f t="shared" si="30"/>
        <v>0</v>
      </c>
      <c r="K885">
        <f t="shared" si="31"/>
        <v>5359.7764281600003</v>
      </c>
    </row>
    <row r="886" spans="1:11" customFormat="1" ht="15.75">
      <c r="A886" s="119"/>
      <c r="B886" s="331" t="s">
        <v>1239</v>
      </c>
      <c r="C886" s="362">
        <v>3361.1871393239903</v>
      </c>
      <c r="D886" s="362">
        <v>8314.5503910475963</v>
      </c>
      <c r="E886" s="362">
        <f t="shared" si="30"/>
        <v>0</v>
      </c>
      <c r="K886">
        <f t="shared" si="31"/>
        <v>3361.1871393239903</v>
      </c>
    </row>
    <row r="887" spans="1:11" customFormat="1" ht="15.75">
      <c r="A887" s="119"/>
      <c r="B887" s="331" t="s">
        <v>1240</v>
      </c>
      <c r="C887" s="362">
        <v>3361.1871393239903</v>
      </c>
      <c r="D887" s="362">
        <v>3690.4197426132123</v>
      </c>
      <c r="E887" s="362">
        <f t="shared" si="30"/>
        <v>0</v>
      </c>
      <c r="K887">
        <f t="shared" si="31"/>
        <v>3361.1871393239903</v>
      </c>
    </row>
    <row r="888" spans="1:11" customFormat="1" ht="15.75">
      <c r="A888" s="119"/>
      <c r="B888" s="331" t="s">
        <v>1241</v>
      </c>
      <c r="C888" s="362">
        <v>3243.7423061140748</v>
      </c>
      <c r="D888" s="362">
        <v>3298.3582617707284</v>
      </c>
      <c r="E888" s="362">
        <f t="shared" si="30"/>
        <v>0</v>
      </c>
      <c r="K888">
        <f t="shared" si="31"/>
        <v>3243.7423061140748</v>
      </c>
    </row>
    <row r="889" spans="1:11" customFormat="1" ht="15.75">
      <c r="A889" s="119"/>
      <c r="B889" s="331" t="s">
        <v>1242</v>
      </c>
      <c r="C889" s="362">
        <v>3243.7423061140748</v>
      </c>
      <c r="D889" s="362">
        <v>1532.5127369799618</v>
      </c>
      <c r="E889" s="362">
        <f t="shared" si="30"/>
        <v>1711.229569134113</v>
      </c>
      <c r="K889">
        <f t="shared" si="31"/>
        <v>1532.5127369799618</v>
      </c>
    </row>
    <row r="890" spans="1:11" customFormat="1" ht="15.75">
      <c r="A890" s="119"/>
      <c r="B890" s="331" t="s">
        <v>1243</v>
      </c>
      <c r="C890" s="362">
        <v>3314.4654088050315</v>
      </c>
      <c r="D890" s="362">
        <v>1803.0254761164822</v>
      </c>
      <c r="E890" s="362">
        <f t="shared" si="30"/>
        <v>1511.4399326885493</v>
      </c>
      <c r="K890">
        <f t="shared" si="31"/>
        <v>1803.0254761164822</v>
      </c>
    </row>
    <row r="891" spans="1:11" customFormat="1" ht="15.75">
      <c r="A891" s="119"/>
      <c r="B891" s="331" t="s">
        <v>1244</v>
      </c>
      <c r="C891" s="362">
        <v>4489.1998783084882</v>
      </c>
      <c r="D891" s="362">
        <v>3613.3400720478098</v>
      </c>
      <c r="E891" s="362">
        <f t="shared" si="30"/>
        <v>875.8598062606784</v>
      </c>
      <c r="K891">
        <f t="shared" si="31"/>
        <v>3613.3400720478098</v>
      </c>
    </row>
    <row r="892" spans="1:11" customFormat="1" ht="15.75">
      <c r="A892" s="119"/>
      <c r="B892" s="331" t="s">
        <v>1245</v>
      </c>
      <c r="C892" s="362">
        <v>5374.3979519999993</v>
      </c>
      <c r="D892" s="362">
        <v>1300.805702883102</v>
      </c>
      <c r="E892" s="362">
        <f t="shared" si="30"/>
        <v>4073.5922491168976</v>
      </c>
      <c r="K892">
        <f t="shared" si="31"/>
        <v>1300.805702883102</v>
      </c>
    </row>
    <row r="893" spans="1:11" customFormat="1" ht="15.75">
      <c r="A893" s="119"/>
      <c r="B893" s="331" t="s">
        <v>1246</v>
      </c>
      <c r="C893" s="362">
        <v>7733.752620545074</v>
      </c>
      <c r="D893" s="362">
        <v>4709.6550572640635</v>
      </c>
      <c r="E893" s="362">
        <f t="shared" si="30"/>
        <v>3024.0975632810105</v>
      </c>
      <c r="K893">
        <f t="shared" si="31"/>
        <v>4709.6550572640635</v>
      </c>
    </row>
    <row r="894" spans="1:11" customFormat="1" ht="15.75">
      <c r="A894" s="119"/>
      <c r="B894" s="331" t="s">
        <v>1247</v>
      </c>
      <c r="C894" s="362">
        <v>7733.752620545074</v>
      </c>
      <c r="D894" s="362">
        <v>3054.7860352207126</v>
      </c>
      <c r="E894" s="362">
        <f t="shared" si="30"/>
        <v>4678.9665853243614</v>
      </c>
      <c r="K894">
        <f t="shared" si="31"/>
        <v>3054.7860352207126</v>
      </c>
    </row>
    <row r="895" spans="1:11" customFormat="1" ht="15.75">
      <c r="A895" s="119"/>
      <c r="B895" s="331" t="s">
        <v>1248</v>
      </c>
      <c r="C895" s="362">
        <v>7733.752620545074</v>
      </c>
      <c r="D895" s="362">
        <v>7805.2317676025523</v>
      </c>
      <c r="E895" s="362">
        <f t="shared" si="30"/>
        <v>0</v>
      </c>
      <c r="K895">
        <f t="shared" si="31"/>
        <v>7733.752620545074</v>
      </c>
    </row>
    <row r="896" spans="1:11" customFormat="1" ht="15.75">
      <c r="A896" s="119"/>
      <c r="B896" s="331" t="s">
        <v>1249</v>
      </c>
      <c r="C896" s="362">
        <v>6628.9308176100621</v>
      </c>
      <c r="D896" s="362">
        <v>4115.1927729459476</v>
      </c>
      <c r="E896" s="362">
        <f t="shared" si="30"/>
        <v>2513.7380446641146</v>
      </c>
      <c r="K896">
        <f t="shared" si="31"/>
        <v>4115.1927729459476</v>
      </c>
    </row>
    <row r="897" spans="1:11" customFormat="1" ht="15.75">
      <c r="A897" s="119"/>
      <c r="B897" s="331" t="s">
        <v>1250</v>
      </c>
      <c r="C897" s="362">
        <v>5457.9976985040275</v>
      </c>
      <c r="D897" s="362">
        <v>2372.9895698617188</v>
      </c>
      <c r="E897" s="362">
        <f t="shared" si="30"/>
        <v>3085.0081286423087</v>
      </c>
      <c r="K897">
        <f t="shared" si="31"/>
        <v>2372.9895698617188</v>
      </c>
    </row>
    <row r="898" spans="1:11" customFormat="1" ht="15.75">
      <c r="A898" s="119"/>
      <c r="B898" s="331" t="s">
        <v>1251</v>
      </c>
      <c r="C898" s="362">
        <v>4489.1998783084882</v>
      </c>
      <c r="D898" s="362">
        <v>1766.1098083447268</v>
      </c>
      <c r="E898" s="362">
        <f t="shared" si="30"/>
        <v>2723.0900699637614</v>
      </c>
      <c r="K898">
        <f t="shared" si="31"/>
        <v>1766.1098083447268</v>
      </c>
    </row>
    <row r="899" spans="1:11" customFormat="1" ht="15.75">
      <c r="A899" s="119"/>
      <c r="B899" s="331" t="s">
        <v>1252</v>
      </c>
      <c r="C899" s="362">
        <v>4489.1998783084882</v>
      </c>
      <c r="D899" s="362">
        <v>1133.6121627183186</v>
      </c>
      <c r="E899" s="362">
        <f t="shared" si="30"/>
        <v>3355.5877155901699</v>
      </c>
      <c r="K899">
        <f t="shared" si="31"/>
        <v>1133.6121627183186</v>
      </c>
    </row>
    <row r="900" spans="1:11" customFormat="1" ht="15.75">
      <c r="A900" s="119"/>
      <c r="B900" s="331" t="s">
        <v>1253</v>
      </c>
      <c r="C900" s="362">
        <v>3228.508206</v>
      </c>
      <c r="D900" s="362">
        <v>1919.7309730935262</v>
      </c>
      <c r="E900" s="362">
        <f t="shared" si="30"/>
        <v>1308.7772329064737</v>
      </c>
      <c r="K900">
        <f t="shared" si="31"/>
        <v>1919.7309730935262</v>
      </c>
    </row>
    <row r="901" spans="1:11" customFormat="1" ht="15.75">
      <c r="A901" s="119"/>
      <c r="B901" s="331" t="s">
        <v>1254</v>
      </c>
      <c r="C901" s="362">
        <v>3228.508206</v>
      </c>
      <c r="D901" s="362">
        <v>4755.9489888273129</v>
      </c>
      <c r="E901" s="362">
        <f t="shared" si="30"/>
        <v>0</v>
      </c>
      <c r="K901">
        <f t="shared" si="31"/>
        <v>3228.508206</v>
      </c>
    </row>
    <row r="902" spans="1:11" customFormat="1" ht="15.75">
      <c r="A902" s="119"/>
      <c r="B902" s="331" t="s">
        <v>1255</v>
      </c>
      <c r="C902" s="362">
        <v>3362.887089090043</v>
      </c>
      <c r="D902" s="362">
        <v>4465.9009273177226</v>
      </c>
      <c r="E902" s="362">
        <f t="shared" si="30"/>
        <v>0</v>
      </c>
      <c r="K902">
        <f t="shared" si="31"/>
        <v>3362.887089090043</v>
      </c>
    </row>
    <row r="903" spans="1:11" customFormat="1" ht="15.75">
      <c r="A903" s="119"/>
      <c r="B903" s="331" t="s">
        <v>1256</v>
      </c>
      <c r="C903" s="362">
        <v>4483.8494521200573</v>
      </c>
      <c r="D903" s="362">
        <v>6917.4120343688619</v>
      </c>
      <c r="E903" s="362">
        <f t="shared" si="30"/>
        <v>0</v>
      </c>
      <c r="K903">
        <f t="shared" si="31"/>
        <v>4483.8494521200573</v>
      </c>
    </row>
    <row r="904" spans="1:11" customFormat="1" ht="15.75">
      <c r="A904" s="119"/>
      <c r="B904" s="331" t="s">
        <v>1257</v>
      </c>
      <c r="C904" s="362">
        <v>4483.8494521200573</v>
      </c>
      <c r="D904" s="362">
        <v>8803.3658563062836</v>
      </c>
      <c r="E904" s="362">
        <f t="shared" ref="E904:E967" si="32">MAX(0,C904-D904)</f>
        <v>0</v>
      </c>
      <c r="K904">
        <f t="shared" ref="K904:K971" si="33">MIN(C904,D904)</f>
        <v>4483.8494521200573</v>
      </c>
    </row>
    <row r="905" spans="1:11" customFormat="1" ht="15.75">
      <c r="A905" s="119"/>
      <c r="B905" s="331" t="s">
        <v>1258</v>
      </c>
      <c r="C905" s="362">
        <v>6457.0164119999999</v>
      </c>
      <c r="D905" s="362">
        <v>20147.633493519406</v>
      </c>
      <c r="E905" s="362">
        <f t="shared" si="32"/>
        <v>0</v>
      </c>
      <c r="K905">
        <f t="shared" si="33"/>
        <v>6457.0164119999999</v>
      </c>
    </row>
    <row r="906" spans="1:11" customFormat="1" ht="15.75">
      <c r="A906" s="119"/>
      <c r="B906" s="331" t="s">
        <v>1259</v>
      </c>
      <c r="C906" s="362">
        <v>6667.5854962323692</v>
      </c>
      <c r="D906" s="362">
        <v>8460.9979313480653</v>
      </c>
      <c r="E906" s="362">
        <f t="shared" si="32"/>
        <v>0</v>
      </c>
      <c r="K906">
        <f t="shared" si="33"/>
        <v>6667.5854962323692</v>
      </c>
    </row>
    <row r="907" spans="1:11" customFormat="1" ht="15.75">
      <c r="A907" s="119"/>
      <c r="B907" s="331" t="s">
        <v>1260</v>
      </c>
      <c r="C907" s="362">
        <v>7748.4196943999987</v>
      </c>
      <c r="D907" s="362">
        <v>11653.766061599859</v>
      </c>
      <c r="E907" s="362">
        <f t="shared" si="32"/>
        <v>0</v>
      </c>
      <c r="K907">
        <f t="shared" si="33"/>
        <v>7748.4196943999987</v>
      </c>
    </row>
    <row r="908" spans="1:11" customFormat="1" ht="15.75">
      <c r="A908" s="119"/>
      <c r="B908" s="331" t="s">
        <v>1261</v>
      </c>
      <c r="C908" s="362">
        <v>7748.4196943999987</v>
      </c>
      <c r="D908" s="362">
        <v>15346.579053980326</v>
      </c>
      <c r="E908" s="362">
        <f t="shared" si="32"/>
        <v>0</v>
      </c>
      <c r="K908">
        <f t="shared" si="33"/>
        <v>7748.4196943999987</v>
      </c>
    </row>
    <row r="909" spans="1:11" customFormat="1" ht="15.75">
      <c r="A909" s="119"/>
      <c r="B909" s="331" t="s">
        <v>1262</v>
      </c>
      <c r="C909" s="362">
        <v>6784.9874385581652</v>
      </c>
      <c r="D909" s="362">
        <v>12598.417973425525</v>
      </c>
      <c r="E909" s="362">
        <f t="shared" si="32"/>
        <v>0</v>
      </c>
      <c r="K909">
        <f t="shared" si="33"/>
        <v>6784.9874385581652</v>
      </c>
    </row>
    <row r="910" spans="1:11" customFormat="1" ht="15.75">
      <c r="A910" s="119"/>
      <c r="B910" s="331" t="s">
        <v>1263</v>
      </c>
      <c r="C910" s="362">
        <v>4519.9114884000001</v>
      </c>
      <c r="D910" s="362">
        <v>5732.48979138509</v>
      </c>
      <c r="E910" s="362">
        <f t="shared" si="32"/>
        <v>0</v>
      </c>
      <c r="K910">
        <f t="shared" si="33"/>
        <v>4519.9114884000001</v>
      </c>
    </row>
    <row r="911" spans="1:11" customFormat="1" ht="15.75">
      <c r="A911" s="119"/>
      <c r="B911" s="331" t="s">
        <v>1264</v>
      </c>
      <c r="C911" s="362">
        <v>3309.929272009691</v>
      </c>
      <c r="D911" s="362">
        <v>3935.8864962625389</v>
      </c>
      <c r="E911" s="362">
        <f t="shared" si="32"/>
        <v>0</v>
      </c>
      <c r="K911">
        <f t="shared" si="33"/>
        <v>3309.929272009691</v>
      </c>
    </row>
    <row r="912" spans="1:11" customFormat="1" ht="15.75">
      <c r="A912" s="119"/>
      <c r="B912" s="331" t="s">
        <v>1265</v>
      </c>
      <c r="C912" s="362">
        <v>3336.4320785597379</v>
      </c>
      <c r="D912" s="362">
        <v>1468.8047727211324</v>
      </c>
      <c r="E912" s="362">
        <f t="shared" si="32"/>
        <v>1867.6273058386055</v>
      </c>
      <c r="K912">
        <f t="shared" si="33"/>
        <v>1468.8047727211324</v>
      </c>
    </row>
    <row r="913" spans="1:11" customFormat="1" ht="15.75">
      <c r="A913" s="119"/>
      <c r="B913" s="331" t="s">
        <v>1266</v>
      </c>
      <c r="C913" s="362">
        <v>3336.4320785597379</v>
      </c>
      <c r="D913" s="362">
        <v>2572.8920165051663</v>
      </c>
      <c r="E913" s="362">
        <f t="shared" si="32"/>
        <v>763.54006205457154</v>
      </c>
      <c r="K913">
        <f t="shared" si="33"/>
        <v>2572.8920165051663</v>
      </c>
    </row>
    <row r="914" spans="1:11" customFormat="1" ht="15.75">
      <c r="A914" s="119"/>
      <c r="B914" s="331" t="s">
        <v>1267</v>
      </c>
      <c r="C914" s="362">
        <v>3336.4320785597379</v>
      </c>
      <c r="D914" s="362">
        <v>1574.7224426728878</v>
      </c>
      <c r="E914" s="362">
        <f t="shared" si="32"/>
        <v>1761.70963588685</v>
      </c>
      <c r="K914">
        <f t="shared" si="33"/>
        <v>1574.7224426728878</v>
      </c>
    </row>
    <row r="915" spans="1:11" customFormat="1" ht="15.75">
      <c r="A915" s="119"/>
      <c r="B915" s="331" t="s">
        <v>1268</v>
      </c>
      <c r="C915" s="362">
        <v>4448.5761047463175</v>
      </c>
      <c r="D915" s="362">
        <v>2805.2497308001543</v>
      </c>
      <c r="E915" s="362">
        <f t="shared" si="32"/>
        <v>1643.3263739461631</v>
      </c>
      <c r="K915">
        <f t="shared" si="33"/>
        <v>2805.2497308001543</v>
      </c>
    </row>
    <row r="916" spans="1:11" customFormat="1" ht="15.75">
      <c r="A916" s="119"/>
      <c r="B916" s="331" t="s">
        <v>1269</v>
      </c>
      <c r="C916" s="362">
        <v>4448.5761047463175</v>
      </c>
      <c r="D916" s="362">
        <v>1582.0079758559834</v>
      </c>
      <c r="E916" s="362">
        <f t="shared" si="32"/>
        <v>2866.5681288903343</v>
      </c>
      <c r="K916">
        <f t="shared" si="33"/>
        <v>1582.0079758559834</v>
      </c>
    </row>
    <row r="917" spans="1:11" customFormat="1" ht="15.75">
      <c r="A917" s="119"/>
      <c r="B917" s="331" t="s">
        <v>1270</v>
      </c>
      <c r="C917" s="362">
        <v>6672.8641571194767</v>
      </c>
      <c r="D917" s="362">
        <v>1265.3224267834139</v>
      </c>
      <c r="E917" s="362">
        <f t="shared" si="32"/>
        <v>5407.5417303360628</v>
      </c>
      <c r="K917">
        <f t="shared" si="33"/>
        <v>1265.3224267834139</v>
      </c>
    </row>
    <row r="918" spans="1:11" customFormat="1" ht="15.75">
      <c r="A918" s="119"/>
      <c r="B918" s="331" t="s">
        <v>1271</v>
      </c>
      <c r="C918" s="362">
        <v>6672.8641571194767</v>
      </c>
      <c r="D918" s="362">
        <v>2547.6760464150325</v>
      </c>
      <c r="E918" s="362">
        <f t="shared" si="32"/>
        <v>4125.1881107044446</v>
      </c>
      <c r="K918">
        <f t="shared" si="33"/>
        <v>2547.6760464150325</v>
      </c>
    </row>
    <row r="919" spans="1:11" customFormat="1" ht="15.75">
      <c r="A919" s="119"/>
      <c r="B919" s="331" t="s">
        <v>1272</v>
      </c>
      <c r="C919" s="362">
        <v>6672.8641571194767</v>
      </c>
      <c r="D919" s="362">
        <v>1921.1962726294603</v>
      </c>
      <c r="E919" s="362">
        <f t="shared" si="32"/>
        <v>4751.6678844900161</v>
      </c>
      <c r="K919">
        <f t="shared" si="33"/>
        <v>1921.1962726294603</v>
      </c>
    </row>
    <row r="920" spans="1:11" customFormat="1" ht="15.75">
      <c r="A920" s="119"/>
      <c r="B920" s="331" t="s">
        <v>1273</v>
      </c>
      <c r="C920" s="362">
        <v>6672.8641571194767</v>
      </c>
      <c r="D920" s="362">
        <v>4473.5827791388565</v>
      </c>
      <c r="E920" s="362">
        <f t="shared" si="32"/>
        <v>2199.2813779806202</v>
      </c>
      <c r="K920">
        <f t="shared" si="33"/>
        <v>4473.5827791388565</v>
      </c>
    </row>
    <row r="921" spans="1:11" customFormat="1" ht="15.75">
      <c r="A921" s="119"/>
      <c r="B921" s="331" t="s">
        <v>1274</v>
      </c>
      <c r="C921" s="362">
        <v>6451.5827376000016</v>
      </c>
      <c r="D921" s="362">
        <v>2325.9440035195712</v>
      </c>
      <c r="E921" s="362">
        <f t="shared" si="32"/>
        <v>4125.6387340804304</v>
      </c>
      <c r="K921">
        <f t="shared" si="33"/>
        <v>2325.9440035195712</v>
      </c>
    </row>
    <row r="922" spans="1:11" customFormat="1" ht="15.75">
      <c r="A922" s="119"/>
      <c r="B922" s="331" t="s">
        <v>1275</v>
      </c>
      <c r="C922" s="362">
        <v>3336.4320785597379</v>
      </c>
      <c r="D922" s="362">
        <v>1546.7626045269724</v>
      </c>
      <c r="E922" s="362">
        <f t="shared" si="32"/>
        <v>1789.6694740327655</v>
      </c>
      <c r="K922">
        <f t="shared" si="33"/>
        <v>1546.7626045269724</v>
      </c>
    </row>
    <row r="923" spans="1:11" customFormat="1" ht="15.75">
      <c r="A923" s="119"/>
      <c r="B923" s="331" t="s">
        <v>1276</v>
      </c>
      <c r="C923" s="362">
        <v>4448.5761047463175</v>
      </c>
      <c r="D923" s="362">
        <v>1533.4895832947536</v>
      </c>
      <c r="E923" s="362">
        <f t="shared" si="32"/>
        <v>2915.0865214515638</v>
      </c>
      <c r="K923">
        <f t="shared" si="33"/>
        <v>1533.4895832947536</v>
      </c>
    </row>
    <row r="924" spans="1:11" customFormat="1" ht="15.75">
      <c r="A924" s="119"/>
      <c r="B924" s="331" t="s">
        <v>1277</v>
      </c>
      <c r="C924" s="362">
        <v>3243.7423061140748</v>
      </c>
      <c r="D924" s="362">
        <v>1098.3758610279813</v>
      </c>
      <c r="E924" s="362">
        <f t="shared" si="32"/>
        <v>2145.3664450860933</v>
      </c>
      <c r="K924">
        <f t="shared" si="33"/>
        <v>1098.3758610279813</v>
      </c>
    </row>
    <row r="925" spans="1:11" customFormat="1" ht="15.75">
      <c r="A925" s="119"/>
      <c r="B925" s="331" t="s">
        <v>1278</v>
      </c>
      <c r="C925" s="362">
        <v>3243.7423061140748</v>
      </c>
      <c r="D925" s="362">
        <v>1383.7202564511947</v>
      </c>
      <c r="E925" s="362">
        <f t="shared" si="32"/>
        <v>1860.0220496628801</v>
      </c>
      <c r="K925">
        <f t="shared" si="33"/>
        <v>1383.7202564511947</v>
      </c>
    </row>
    <row r="926" spans="1:11" customFormat="1" ht="15.75">
      <c r="A926" s="119"/>
      <c r="B926" s="331" t="s">
        <v>1279</v>
      </c>
      <c r="C926" s="362">
        <v>3314.4654088050315</v>
      </c>
      <c r="D926" s="362">
        <v>3985.0129193448533</v>
      </c>
      <c r="E926" s="362">
        <f t="shared" si="32"/>
        <v>0</v>
      </c>
      <c r="K926">
        <f t="shared" si="33"/>
        <v>3314.4654088050315</v>
      </c>
    </row>
    <row r="927" spans="1:11" customFormat="1" ht="15.75">
      <c r="A927" s="119"/>
      <c r="B927" s="331" t="s">
        <v>1280</v>
      </c>
      <c r="C927" s="362">
        <v>4419.287211740042</v>
      </c>
      <c r="D927" s="362">
        <v>2113.5192718935514</v>
      </c>
      <c r="E927" s="362">
        <f t="shared" si="32"/>
        <v>2305.7679398464907</v>
      </c>
      <c r="K927">
        <f t="shared" si="33"/>
        <v>2113.5192718935514</v>
      </c>
    </row>
    <row r="928" spans="1:11" customFormat="1" ht="15.75">
      <c r="A928" s="119"/>
      <c r="B928" s="331" t="s">
        <v>1281</v>
      </c>
      <c r="C928" s="362">
        <v>5374.3979519999993</v>
      </c>
      <c r="D928" s="362">
        <v>3952.3179195837433</v>
      </c>
      <c r="E928" s="362">
        <f t="shared" si="32"/>
        <v>1422.080032416256</v>
      </c>
      <c r="K928">
        <f t="shared" si="33"/>
        <v>3952.3179195837433</v>
      </c>
    </row>
    <row r="929" spans="1:11" customFormat="1" ht="15.75">
      <c r="A929" s="119"/>
      <c r="B929" s="331" t="s">
        <v>1282</v>
      </c>
      <c r="C929" s="362">
        <v>6557.4450435503941</v>
      </c>
      <c r="D929" s="362">
        <v>3580.4320883299461</v>
      </c>
      <c r="E929" s="362">
        <f t="shared" si="32"/>
        <v>2977.012955220448</v>
      </c>
      <c r="K929">
        <f t="shared" si="33"/>
        <v>3580.4320883299461</v>
      </c>
    </row>
    <row r="930" spans="1:11" customFormat="1" ht="15.75">
      <c r="A930" s="119"/>
      <c r="B930" s="331" t="s">
        <v>1283</v>
      </c>
      <c r="C930" s="362">
        <v>6563.8799773542187</v>
      </c>
      <c r="D930" s="362">
        <v>4885.2598349968257</v>
      </c>
      <c r="E930" s="362">
        <f t="shared" si="32"/>
        <v>1678.620142357393</v>
      </c>
      <c r="K930">
        <f t="shared" si="33"/>
        <v>4885.2598349968257</v>
      </c>
    </row>
    <row r="931" spans="1:11" customFormat="1" ht="15.75">
      <c r="A931" s="119"/>
      <c r="B931" s="331" t="s">
        <v>1284</v>
      </c>
      <c r="C931" s="362">
        <v>7804.6544428772904</v>
      </c>
      <c r="D931" s="362">
        <v>3772.0125542299911</v>
      </c>
      <c r="E931" s="362">
        <f t="shared" si="32"/>
        <v>4032.6418886472993</v>
      </c>
      <c r="K931">
        <f t="shared" si="33"/>
        <v>3772.0125542299911</v>
      </c>
    </row>
    <row r="932" spans="1:11" customFormat="1" ht="15.75">
      <c r="A932" s="119"/>
      <c r="B932" s="331" t="s">
        <v>1285</v>
      </c>
      <c r="C932" s="362">
        <v>7876.868327402135</v>
      </c>
      <c r="D932" s="362">
        <v>2676.2524972909091</v>
      </c>
      <c r="E932" s="362">
        <f t="shared" si="32"/>
        <v>5200.6158301112264</v>
      </c>
      <c r="K932">
        <f t="shared" si="33"/>
        <v>2676.2524972909091</v>
      </c>
    </row>
    <row r="933" spans="1:11" customFormat="1" ht="15.75">
      <c r="A933" s="119"/>
      <c r="B933" s="331" t="s">
        <v>1286</v>
      </c>
      <c r="C933" s="362">
        <v>6695.2839268527423</v>
      </c>
      <c r="D933" s="362">
        <v>8017.8595393496589</v>
      </c>
      <c r="E933" s="362">
        <f t="shared" si="32"/>
        <v>0</v>
      </c>
      <c r="K933">
        <f t="shared" si="33"/>
        <v>6695.2839268527423</v>
      </c>
    </row>
    <row r="934" spans="1:11" customFormat="1" ht="15.75">
      <c r="A934" s="119"/>
      <c r="B934" s="331" t="s">
        <v>1287</v>
      </c>
      <c r="C934" s="362">
        <v>4489.1998783084882</v>
      </c>
      <c r="D934" s="362">
        <v>1978.9289822359883</v>
      </c>
      <c r="E934" s="362">
        <f t="shared" si="32"/>
        <v>2510.2708960724999</v>
      </c>
      <c r="K934">
        <f t="shared" si="33"/>
        <v>1978.9289822359883</v>
      </c>
    </row>
    <row r="935" spans="1:11" customFormat="1" ht="15.75">
      <c r="A935" s="119"/>
      <c r="B935" s="331" t="s">
        <v>1288</v>
      </c>
      <c r="C935" s="362">
        <v>3255.3191489361702</v>
      </c>
      <c r="D935" s="362">
        <v>2188.1984862126801</v>
      </c>
      <c r="E935" s="362">
        <f t="shared" si="32"/>
        <v>1067.1206627234901</v>
      </c>
      <c r="K935">
        <f t="shared" si="33"/>
        <v>2188.1984862126801</v>
      </c>
    </row>
    <row r="936" spans="1:11" customFormat="1" ht="15.75">
      <c r="A936" s="119"/>
      <c r="B936" s="331" t="s">
        <v>1289</v>
      </c>
      <c r="C936" s="362">
        <v>307.37513080000099</v>
      </c>
      <c r="D936" s="362">
        <v>307.37513080000099</v>
      </c>
      <c r="E936" s="362">
        <f t="shared" si="32"/>
        <v>0</v>
      </c>
      <c r="K936">
        <f t="shared" si="33"/>
        <v>307.37513080000099</v>
      </c>
    </row>
    <row r="937" spans="1:11" customFormat="1" ht="15.75">
      <c r="A937" s="119"/>
      <c r="B937" s="331" t="s">
        <v>1290</v>
      </c>
      <c r="C937" s="362">
        <v>401.84457295999891</v>
      </c>
      <c r="D937" s="362">
        <v>401.84457295999891</v>
      </c>
      <c r="E937" s="362">
        <f t="shared" si="32"/>
        <v>0</v>
      </c>
      <c r="K937">
        <f t="shared" si="33"/>
        <v>401.84457295999891</v>
      </c>
    </row>
    <row r="938" spans="1:11" customFormat="1" ht="15.75">
      <c r="A938" s="119"/>
      <c r="B938" s="331" t="s">
        <v>1291</v>
      </c>
      <c r="C938" s="362">
        <v>138.78046272000029</v>
      </c>
      <c r="D938" s="362">
        <v>138.78046272000029</v>
      </c>
      <c r="E938" s="362">
        <f t="shared" si="32"/>
        <v>0</v>
      </c>
      <c r="K938">
        <f t="shared" si="33"/>
        <v>138.78046272000029</v>
      </c>
    </row>
    <row r="939" spans="1:11" customFormat="1" ht="15.75">
      <c r="A939" s="119"/>
      <c r="B939" s="331" t="s">
        <v>1292</v>
      </c>
      <c r="C939" s="362">
        <v>0</v>
      </c>
      <c r="D939" s="362">
        <v>0</v>
      </c>
      <c r="E939" s="362">
        <f t="shared" si="32"/>
        <v>0</v>
      </c>
      <c r="K939">
        <f t="shared" si="33"/>
        <v>0</v>
      </c>
    </row>
    <row r="940" spans="1:11" customFormat="1" ht="15.75">
      <c r="A940" s="119"/>
      <c r="B940" s="331" t="s">
        <v>1293</v>
      </c>
      <c r="C940" s="362">
        <v>185.04061696000099</v>
      </c>
      <c r="D940" s="362">
        <v>185.04061696000099</v>
      </c>
      <c r="E940" s="362">
        <f t="shared" si="32"/>
        <v>0</v>
      </c>
      <c r="K940">
        <f t="shared" si="33"/>
        <v>185.04061696000099</v>
      </c>
    </row>
    <row r="941" spans="1:11" customFormat="1" ht="15.75">
      <c r="A941" s="119"/>
      <c r="B941" s="331" t="s">
        <v>1294</v>
      </c>
      <c r="C941" s="362">
        <v>466.57303671999944</v>
      </c>
      <c r="D941" s="362">
        <v>466.57303671999944</v>
      </c>
      <c r="E941" s="362">
        <f t="shared" si="32"/>
        <v>0</v>
      </c>
      <c r="K941">
        <f t="shared" si="33"/>
        <v>466.57303671999944</v>
      </c>
    </row>
    <row r="942" spans="1:11" customFormat="1" ht="15.75">
      <c r="A942" s="119"/>
      <c r="B942" s="331" t="s">
        <v>1295</v>
      </c>
      <c r="C942" s="362">
        <v>401.84457295999891</v>
      </c>
      <c r="D942" s="362">
        <v>401.84457295999891</v>
      </c>
      <c r="E942" s="362">
        <f t="shared" si="32"/>
        <v>0</v>
      </c>
      <c r="K942">
        <f t="shared" si="33"/>
        <v>401.84457295999891</v>
      </c>
    </row>
    <row r="943" spans="1:11" customFormat="1" ht="15.75">
      <c r="A943" s="119"/>
      <c r="B943" s="331" t="s">
        <v>1296</v>
      </c>
      <c r="C943" s="362">
        <v>378.73926360000041</v>
      </c>
      <c r="D943" s="362">
        <v>378.73926360000041</v>
      </c>
      <c r="E943" s="362">
        <f t="shared" si="32"/>
        <v>0</v>
      </c>
      <c r="K943">
        <f t="shared" si="33"/>
        <v>378.73926360000041</v>
      </c>
    </row>
    <row r="944" spans="1:11" customFormat="1" ht="15.75">
      <c r="A944" s="119"/>
      <c r="B944" s="331" t="s">
        <v>1297</v>
      </c>
      <c r="C944" s="362">
        <v>678.60861488000228</v>
      </c>
      <c r="D944" s="362">
        <v>678.60861488000228</v>
      </c>
      <c r="E944" s="362">
        <f t="shared" si="32"/>
        <v>0</v>
      </c>
      <c r="K944">
        <f t="shared" si="33"/>
        <v>678.60861488000228</v>
      </c>
    </row>
    <row r="945" spans="1:11" customFormat="1" ht="15.75">
      <c r="A945" s="119"/>
      <c r="B945" s="331" t="s">
        <v>1298</v>
      </c>
      <c r="C945" s="362">
        <v>137.62821256000097</v>
      </c>
      <c r="D945" s="362">
        <v>137.62821256000097</v>
      </c>
      <c r="E945" s="362">
        <f t="shared" si="32"/>
        <v>0</v>
      </c>
      <c r="K945">
        <f t="shared" si="33"/>
        <v>137.62821256000097</v>
      </c>
    </row>
    <row r="946" spans="1:11" customFormat="1" ht="15.75">
      <c r="A946" s="119"/>
      <c r="B946" s="331" t="s">
        <v>1299</v>
      </c>
      <c r="C946" s="362">
        <v>255.97184840000045</v>
      </c>
      <c r="D946" s="362">
        <v>255.97184840000045</v>
      </c>
      <c r="E946" s="362">
        <f t="shared" si="32"/>
        <v>0</v>
      </c>
      <c r="K946">
        <f t="shared" si="33"/>
        <v>255.97184840000045</v>
      </c>
    </row>
    <row r="947" spans="1:11" customFormat="1" ht="15.75">
      <c r="A947" s="119"/>
      <c r="B947" s="331" t="s">
        <v>1300</v>
      </c>
      <c r="C947" s="362">
        <v>227.29481727999882</v>
      </c>
      <c r="D947" s="362">
        <v>227.29481727999882</v>
      </c>
      <c r="E947" s="362">
        <f t="shared" si="32"/>
        <v>0</v>
      </c>
      <c r="K947">
        <f t="shared" si="33"/>
        <v>227.29481727999882</v>
      </c>
    </row>
    <row r="948" spans="1:11" customFormat="1" ht="15.75">
      <c r="A948" s="119"/>
      <c r="B948" s="331" t="s">
        <v>1301</v>
      </c>
      <c r="C948" s="362">
        <v>144.57124096000007</v>
      </c>
      <c r="D948" s="362">
        <v>144.57124096000007</v>
      </c>
      <c r="E948" s="362">
        <f t="shared" si="32"/>
        <v>0</v>
      </c>
      <c r="K948">
        <f t="shared" si="33"/>
        <v>144.57124096000007</v>
      </c>
    </row>
    <row r="949" spans="1:11" customFormat="1" ht="15.75">
      <c r="A949" s="119"/>
      <c r="B949" s="331" t="s">
        <v>1302</v>
      </c>
      <c r="C949" s="362">
        <v>0</v>
      </c>
      <c r="D949" s="362">
        <v>0</v>
      </c>
      <c r="E949" s="362">
        <f t="shared" si="32"/>
        <v>0</v>
      </c>
      <c r="K949">
        <f t="shared" si="33"/>
        <v>0</v>
      </c>
    </row>
    <row r="950" spans="1:11" customFormat="1" ht="15.75">
      <c r="A950" s="119"/>
      <c r="B950" s="331" t="s">
        <v>1303</v>
      </c>
      <c r="C950" s="362">
        <v>0</v>
      </c>
      <c r="D950" s="362">
        <v>0</v>
      </c>
      <c r="E950" s="362">
        <f t="shared" si="32"/>
        <v>0</v>
      </c>
      <c r="K950">
        <f t="shared" si="33"/>
        <v>0</v>
      </c>
    </row>
    <row r="951" spans="1:11" customFormat="1" ht="15.75">
      <c r="A951" s="119"/>
      <c r="B951" s="331" t="s">
        <v>1304</v>
      </c>
      <c r="C951" s="362">
        <v>0</v>
      </c>
      <c r="D951" s="362">
        <v>0</v>
      </c>
      <c r="E951" s="362">
        <f t="shared" si="32"/>
        <v>0</v>
      </c>
      <c r="K951">
        <f t="shared" si="33"/>
        <v>0</v>
      </c>
    </row>
    <row r="952" spans="1:11" customFormat="1" ht="15.75">
      <c r="A952" s="119"/>
      <c r="B952" s="331" t="s">
        <v>1305</v>
      </c>
      <c r="C952" s="362">
        <v>0</v>
      </c>
      <c r="D952" s="362">
        <v>0</v>
      </c>
      <c r="E952" s="362">
        <f t="shared" si="32"/>
        <v>0</v>
      </c>
      <c r="K952">
        <f t="shared" si="33"/>
        <v>0</v>
      </c>
    </row>
    <row r="953" spans="1:11" customFormat="1" ht="15.75">
      <c r="A953" s="119"/>
      <c r="B953" s="331" t="s">
        <v>1306</v>
      </c>
      <c r="C953" s="362">
        <v>0</v>
      </c>
      <c r="D953" s="362">
        <v>0</v>
      </c>
      <c r="E953" s="362">
        <f t="shared" si="32"/>
        <v>0</v>
      </c>
      <c r="K953">
        <f t="shared" si="33"/>
        <v>0</v>
      </c>
    </row>
    <row r="954" spans="1:11" customFormat="1" ht="15.75">
      <c r="A954" s="119"/>
      <c r="B954" s="331" t="s">
        <v>1307</v>
      </c>
      <c r="C954" s="362">
        <v>232.08890072000213</v>
      </c>
      <c r="D954" s="362">
        <v>232.08890072000213</v>
      </c>
      <c r="E954" s="362">
        <f t="shared" si="32"/>
        <v>0</v>
      </c>
      <c r="K954">
        <f t="shared" si="33"/>
        <v>232.08890072000213</v>
      </c>
    </row>
    <row r="955" spans="1:11" customFormat="1" ht="15.75">
      <c r="A955" s="119"/>
      <c r="B955" s="331" t="s">
        <v>1308</v>
      </c>
      <c r="C955" s="362">
        <v>76.106943519997003</v>
      </c>
      <c r="D955" s="362">
        <v>76.106943519997003</v>
      </c>
      <c r="E955" s="362">
        <f t="shared" si="32"/>
        <v>0</v>
      </c>
      <c r="K955">
        <f t="shared" si="33"/>
        <v>76.106943519997003</v>
      </c>
    </row>
    <row r="956" spans="1:11" customFormat="1" ht="15.75">
      <c r="A956" s="119"/>
      <c r="B956" s="331" t="s">
        <v>1309</v>
      </c>
      <c r="C956" s="362">
        <v>311.96391439999934</v>
      </c>
      <c r="D956" s="362">
        <v>311.96391439999934</v>
      </c>
      <c r="E956" s="362">
        <f t="shared" si="32"/>
        <v>0</v>
      </c>
      <c r="K956">
        <f t="shared" si="33"/>
        <v>311.96391439999934</v>
      </c>
    </row>
    <row r="957" spans="1:11" customFormat="1" ht="15.75">
      <c r="A957" s="119"/>
      <c r="B957" s="331" t="s">
        <v>1310</v>
      </c>
      <c r="C957" s="362">
        <v>754.20272547999775</v>
      </c>
      <c r="D957" s="362">
        <v>754.20272547999775</v>
      </c>
      <c r="E957" s="362">
        <f t="shared" si="32"/>
        <v>0</v>
      </c>
      <c r="K957">
        <f t="shared" si="33"/>
        <v>754.20272547999775</v>
      </c>
    </row>
    <row r="958" spans="1:11" customFormat="1" ht="15.75">
      <c r="A958" s="119"/>
      <c r="B958" s="331" t="s">
        <v>1311</v>
      </c>
      <c r="C958" s="362">
        <v>144.57124096000007</v>
      </c>
      <c r="D958" s="362">
        <v>144.57124096000007</v>
      </c>
      <c r="E958" s="362">
        <f t="shared" si="32"/>
        <v>0</v>
      </c>
      <c r="K958">
        <f t="shared" si="33"/>
        <v>144.57124096000007</v>
      </c>
    </row>
    <row r="959" spans="1:11" customFormat="1" ht="15.75">
      <c r="A959" s="119"/>
      <c r="B959" s="331" t="s">
        <v>1312</v>
      </c>
      <c r="C959" s="362">
        <v>144.57124096000007</v>
      </c>
      <c r="D959" s="362">
        <v>144.57124096000007</v>
      </c>
      <c r="E959" s="362">
        <f t="shared" si="32"/>
        <v>0</v>
      </c>
      <c r="K959">
        <f t="shared" si="33"/>
        <v>144.57124096000007</v>
      </c>
    </row>
    <row r="960" spans="1:11" customFormat="1" ht="15.75">
      <c r="A960" s="119"/>
      <c r="B960" s="331" t="s">
        <v>1313</v>
      </c>
      <c r="C960" s="362">
        <v>26.018344959999013</v>
      </c>
      <c r="D960" s="362">
        <v>26.018344959999013</v>
      </c>
      <c r="E960" s="362">
        <f t="shared" si="32"/>
        <v>0</v>
      </c>
      <c r="K960">
        <f t="shared" si="33"/>
        <v>26.018344959999013</v>
      </c>
    </row>
    <row r="961" spans="1:18" ht="15.75">
      <c r="A961" s="119"/>
      <c r="B961" s="331" t="s">
        <v>1314</v>
      </c>
      <c r="C961" s="362">
        <v>0</v>
      </c>
      <c r="D961" s="362">
        <v>0</v>
      </c>
      <c r="E961" s="362">
        <f t="shared" si="32"/>
        <v>0</v>
      </c>
      <c r="G961"/>
      <c r="I961"/>
      <c r="K961">
        <f t="shared" si="33"/>
        <v>0</v>
      </c>
      <c r="O961"/>
      <c r="R961"/>
    </row>
    <row r="962" spans="1:18" ht="15.75">
      <c r="A962" s="119"/>
      <c r="B962" s="331" t="s">
        <v>1315</v>
      </c>
      <c r="C962" s="362">
        <v>0</v>
      </c>
      <c r="D962" s="362">
        <v>0</v>
      </c>
      <c r="E962" s="362">
        <f t="shared" si="32"/>
        <v>0</v>
      </c>
      <c r="G962"/>
      <c r="I962"/>
      <c r="K962">
        <f t="shared" si="33"/>
        <v>0</v>
      </c>
      <c r="O962"/>
      <c r="R962"/>
    </row>
    <row r="963" spans="1:18" ht="15.75">
      <c r="A963" s="119"/>
      <c r="B963" s="331" t="s">
        <v>1316</v>
      </c>
      <c r="C963" s="362">
        <v>0</v>
      </c>
      <c r="D963" s="362">
        <v>0</v>
      </c>
      <c r="E963" s="362">
        <f t="shared" si="32"/>
        <v>0</v>
      </c>
      <c r="G963"/>
      <c r="I963"/>
      <c r="K963">
        <f t="shared" si="33"/>
        <v>0</v>
      </c>
      <c r="O963"/>
      <c r="R963"/>
    </row>
    <row r="964" spans="1:18" ht="15.75">
      <c r="A964" s="119"/>
      <c r="B964" s="331" t="s">
        <v>1317</v>
      </c>
      <c r="C964" s="362">
        <v>336.05730304000099</v>
      </c>
      <c r="D964" s="362">
        <v>336.05730304000099</v>
      </c>
      <c r="E964" s="362">
        <f t="shared" si="32"/>
        <v>0</v>
      </c>
      <c r="G964"/>
      <c r="I964"/>
      <c r="K964">
        <f t="shared" si="33"/>
        <v>336.05730304000099</v>
      </c>
      <c r="O964"/>
      <c r="R964"/>
    </row>
    <row r="965" spans="1:18" ht="15.75">
      <c r="A965" s="119"/>
      <c r="B965" s="331" t="s">
        <v>1318</v>
      </c>
      <c r="C965" s="362">
        <v>38.663987199997791</v>
      </c>
      <c r="D965" s="362">
        <v>38.663987199997791</v>
      </c>
      <c r="E965" s="362">
        <f t="shared" si="32"/>
        <v>0</v>
      </c>
      <c r="G965"/>
      <c r="I965"/>
      <c r="K965">
        <f t="shared" si="33"/>
        <v>38.663987199997791</v>
      </c>
      <c r="O965"/>
      <c r="R965"/>
    </row>
    <row r="966" spans="1:18" ht="15.75">
      <c r="A966" s="119"/>
      <c r="B966" s="331" t="s">
        <v>1319</v>
      </c>
      <c r="C966" s="362">
        <v>38.663987200001429</v>
      </c>
      <c r="D966" s="362">
        <v>38.663987200001429</v>
      </c>
      <c r="E966" s="362">
        <f t="shared" si="32"/>
        <v>0</v>
      </c>
      <c r="G966"/>
      <c r="I966"/>
      <c r="K966">
        <f t="shared" si="33"/>
        <v>38.663987200001429</v>
      </c>
      <c r="O966"/>
      <c r="R966"/>
    </row>
    <row r="967" spans="1:18" ht="15.75">
      <c r="A967" s="119"/>
      <c r="B967" s="331" t="s">
        <v>1320</v>
      </c>
      <c r="C967" s="362">
        <v>0</v>
      </c>
      <c r="D967" s="362">
        <v>0</v>
      </c>
      <c r="E967" s="362">
        <f t="shared" si="32"/>
        <v>0</v>
      </c>
      <c r="G967"/>
      <c r="I967"/>
      <c r="K967">
        <f t="shared" si="33"/>
        <v>0</v>
      </c>
      <c r="O967"/>
      <c r="R967"/>
    </row>
    <row r="968" spans="1:18" ht="15.75">
      <c r="A968" s="119"/>
      <c r="B968" s="331" t="s">
        <v>1321</v>
      </c>
      <c r="C968" s="362">
        <v>127.18348287999834</v>
      </c>
      <c r="D968" s="362">
        <v>127.18348287999834</v>
      </c>
      <c r="E968" s="362">
        <f t="shared" ref="E968:E971" si="34">MAX(0,C968-D968)</f>
        <v>0</v>
      </c>
      <c r="G968"/>
      <c r="I968"/>
      <c r="K968">
        <f t="shared" si="33"/>
        <v>127.18348287999834</v>
      </c>
      <c r="O968"/>
      <c r="R968"/>
    </row>
    <row r="969" spans="1:18" ht="15.75">
      <c r="A969" s="119"/>
      <c r="B969" s="331" t="s">
        <v>1322</v>
      </c>
      <c r="C969" s="362">
        <v>184.81593344000066</v>
      </c>
      <c r="D969" s="362">
        <v>184.81593344000066</v>
      </c>
      <c r="E969" s="362">
        <f t="shared" si="34"/>
        <v>0</v>
      </c>
      <c r="G969"/>
      <c r="I969"/>
      <c r="K969">
        <f t="shared" si="33"/>
        <v>184.81593344000066</v>
      </c>
      <c r="O969"/>
      <c r="R969"/>
    </row>
    <row r="970" spans="1:18" ht="15.75">
      <c r="A970" s="119"/>
      <c r="B970" s="331" t="s">
        <v>1323</v>
      </c>
      <c r="C970" s="362">
        <v>26.018344959999013</v>
      </c>
      <c r="D970" s="362">
        <v>26.018344959999013</v>
      </c>
      <c r="E970" s="362">
        <f t="shared" si="34"/>
        <v>0</v>
      </c>
      <c r="G970"/>
      <c r="I970"/>
      <c r="K970">
        <f t="shared" si="33"/>
        <v>26.018344959999013</v>
      </c>
      <c r="O970"/>
      <c r="R970"/>
    </row>
    <row r="971" spans="1:18" ht="15.75">
      <c r="A971" s="119"/>
      <c r="B971" s="331" t="s">
        <v>1324</v>
      </c>
      <c r="C971" s="362">
        <v>26.018344959999013</v>
      </c>
      <c r="D971" s="362">
        <v>26.018344959999013</v>
      </c>
      <c r="E971" s="362">
        <f t="shared" si="34"/>
        <v>0</v>
      </c>
      <c r="G971"/>
      <c r="I971"/>
      <c r="K971">
        <f t="shared" si="33"/>
        <v>26.018344959999013</v>
      </c>
      <c r="O971"/>
      <c r="R971"/>
    </row>
    <row r="972" spans="1:18">
      <c r="B972" s="332"/>
      <c r="C972" s="39"/>
      <c r="D972" s="39"/>
      <c r="E972" s="39">
        <v>0</v>
      </c>
      <c r="F972" s="39"/>
      <c r="G972" s="39"/>
      <c r="H972" s="39"/>
      <c r="I972" s="39"/>
      <c r="J972" s="39"/>
      <c r="K972" s="39"/>
      <c r="O972"/>
      <c r="R972"/>
    </row>
    <row r="973" spans="1:18">
      <c r="C973" s="39"/>
      <c r="D973" s="39"/>
      <c r="E973" s="39"/>
      <c r="F973" s="39"/>
      <c r="G973" s="39"/>
      <c r="H973" s="39"/>
      <c r="I973" s="39"/>
      <c r="J973" s="39"/>
      <c r="K973" s="39"/>
      <c r="O973"/>
      <c r="R973"/>
    </row>
    <row r="974" spans="1:18" ht="16.5" thickBot="1">
      <c r="A974" s="393">
        <v>2</v>
      </c>
      <c r="B974" s="364" t="s">
        <v>566</v>
      </c>
      <c r="C974" s="366"/>
      <c r="D974" s="366"/>
      <c r="E974" s="366"/>
      <c r="F974" s="366"/>
      <c r="G974"/>
      <c r="I974"/>
      <c r="O974"/>
      <c r="R974"/>
    </row>
    <row r="975" spans="1:18" ht="16.5" thickBot="1">
      <c r="A975" s="404"/>
      <c r="B975" s="149"/>
      <c r="C975" s="149"/>
      <c r="G975" s="12"/>
      <c r="H975" s="12"/>
      <c r="I975" s="12"/>
      <c r="J975" s="12"/>
      <c r="K975" s="12"/>
      <c r="L975" s="12"/>
      <c r="M975" s="12"/>
      <c r="N975" s="12"/>
      <c r="O975" s="12"/>
      <c r="P975" s="12"/>
      <c r="Q975" s="12"/>
      <c r="R975"/>
    </row>
    <row r="976" spans="1:18" ht="15.75" thickBot="1">
      <c r="A976" s="7"/>
      <c r="B976" s="13" t="s">
        <v>116</v>
      </c>
      <c r="C976" s="17"/>
      <c r="D976" s="143" t="s">
        <v>128</v>
      </c>
      <c r="E976" s="143" t="s">
        <v>125</v>
      </c>
      <c r="F976" s="143" t="s">
        <v>33</v>
      </c>
      <c r="G976" s="47"/>
      <c r="H976" s="47"/>
      <c r="I976" s="47"/>
      <c r="J976" s="47"/>
      <c r="K976" s="47"/>
      <c r="L976" s="47"/>
      <c r="M976" s="47"/>
      <c r="N976" s="47"/>
      <c r="O976" s="47"/>
      <c r="Q976" s="12"/>
      <c r="R976"/>
    </row>
    <row r="977" spans="1:18">
      <c r="A977" s="7"/>
      <c r="B977" s="71" t="s">
        <v>583</v>
      </c>
      <c r="C977" s="39" t="s">
        <v>368</v>
      </c>
      <c r="D977" s="405">
        <f>$K$159</f>
        <v>8</v>
      </c>
      <c r="E977" s="406">
        <f>$K$159</f>
        <v>8</v>
      </c>
      <c r="F977" s="406">
        <f>$K$159</f>
        <v>8</v>
      </c>
      <c r="G977" s="12"/>
      <c r="H977" s="401"/>
      <c r="I977" s="12"/>
      <c r="J977" s="12"/>
      <c r="K977" s="12"/>
      <c r="L977" s="12"/>
      <c r="M977" s="12"/>
      <c r="N977" s="12"/>
      <c r="O977" s="12"/>
      <c r="Q977" s="12"/>
      <c r="R977"/>
    </row>
    <row r="978" spans="1:18">
      <c r="A978" s="7"/>
      <c r="B978" s="71"/>
      <c r="C978" s="39" t="s">
        <v>563</v>
      </c>
      <c r="D978" s="406">
        <f>IF(D977&gt;=SpO_BR01_01, SpO_BR01_01, 0)</f>
        <v>6</v>
      </c>
      <c r="E978" s="406">
        <f>IF(E977&gt;=SpO_BR01_01, SpO_BR01_01, 0)</f>
        <v>6</v>
      </c>
      <c r="F978" s="406">
        <f>IF(F977&gt;=SpO_BR01_01, SpO_BR01_01, 0)</f>
        <v>6</v>
      </c>
      <c r="G978" s="12"/>
      <c r="H978" s="401"/>
      <c r="I978" s="12"/>
      <c r="J978" s="12"/>
      <c r="K978" s="12"/>
      <c r="L978" s="12"/>
      <c r="M978" s="12"/>
      <c r="N978" s="12"/>
      <c r="O978" s="12"/>
      <c r="Q978" s="12"/>
      <c r="R978"/>
    </row>
    <row r="979" spans="1:18">
      <c r="A979" s="7"/>
      <c r="B979" s="71"/>
      <c r="C979" s="39" t="s">
        <v>564</v>
      </c>
      <c r="D979" s="406">
        <f>$K$156</f>
        <v>0.56993940112381969</v>
      </c>
      <c r="E979" s="406">
        <f>$K$264</f>
        <v>0.66611712088095454</v>
      </c>
      <c r="F979" s="406">
        <f>$K$293</f>
        <v>0.70252092402147037</v>
      </c>
      <c r="G979" s="12"/>
      <c r="H979" s="401"/>
      <c r="I979" s="12"/>
      <c r="J979" s="12"/>
      <c r="K979" s="12"/>
      <c r="L979" s="12"/>
      <c r="M979" s="12"/>
      <c r="N979" s="12"/>
      <c r="O979" s="12"/>
      <c r="Q979" s="12"/>
      <c r="R979"/>
    </row>
    <row r="980" spans="1:18">
      <c r="A980" s="7"/>
      <c r="B980" s="71"/>
      <c r="C980" s="39" t="s">
        <v>64</v>
      </c>
      <c r="D980" s="406">
        <f>$K$157</f>
        <v>0.31009972185359425</v>
      </c>
      <c r="E980" s="406">
        <f>$K$265</f>
        <v>0.31747878421235498</v>
      </c>
      <c r="F980" s="406">
        <f>$K$294</f>
        <v>0.31278448911518902</v>
      </c>
      <c r="G980" s="12"/>
      <c r="H980" s="401"/>
      <c r="I980" s="12"/>
      <c r="J980" s="12"/>
      <c r="K980" s="12"/>
      <c r="L980" s="12"/>
      <c r="M980" s="12"/>
      <c r="N980" s="12"/>
      <c r="O980" s="12"/>
      <c r="Q980" s="12"/>
      <c r="R980"/>
    </row>
    <row r="981" spans="1:18">
      <c r="A981" s="7"/>
      <c r="B981" s="71"/>
      <c r="C981" s="39" t="s">
        <v>1596</v>
      </c>
      <c r="D981" s="406">
        <f>$K$158</f>
        <v>0.29271394571258763</v>
      </c>
      <c r="E981" s="406">
        <f>$K$266</f>
        <v>0.33705542065455896</v>
      </c>
      <c r="F981" s="406">
        <f>$K$295</f>
        <v>0.33277857709180109</v>
      </c>
      <c r="G981" s="12"/>
      <c r="H981" s="401"/>
      <c r="I981" s="12"/>
      <c r="J981" s="12"/>
      <c r="K981" s="12"/>
      <c r="L981" s="12"/>
      <c r="M981" s="12"/>
      <c r="N981" s="12"/>
      <c r="O981" s="12"/>
      <c r="Q981" s="12"/>
      <c r="R981"/>
    </row>
    <row r="982" spans="1:18">
      <c r="A982" s="7"/>
      <c r="B982" s="71"/>
      <c r="C982" s="39" t="s">
        <v>1597</v>
      </c>
      <c r="D982" s="406">
        <f>SUM(D979:D981)</f>
        <v>1.1727530686900016</v>
      </c>
      <c r="E982" s="406">
        <f>SUM(E979:E981)</f>
        <v>1.3206513257478685</v>
      </c>
      <c r="F982" s="406">
        <f>SUM(F979:F981)</f>
        <v>1.3480839902284605</v>
      </c>
      <c r="G982" s="12"/>
      <c r="H982" s="401"/>
      <c r="I982" s="12"/>
      <c r="J982" s="12"/>
      <c r="K982" s="12"/>
      <c r="L982" s="12"/>
      <c r="M982" s="12"/>
      <c r="N982" s="12"/>
      <c r="O982" s="12"/>
      <c r="Q982" s="12"/>
      <c r="R982"/>
    </row>
    <row r="983" spans="1:18">
      <c r="A983" s="7"/>
      <c r="B983" s="71"/>
      <c r="C983" s="39" t="s">
        <v>548</v>
      </c>
      <c r="D983" s="406">
        <f>SUM($C$648:$C$659)</f>
        <v>6193.2149131439101</v>
      </c>
      <c r="E983" s="406">
        <f>SUM($C$660:$C$671)</f>
        <v>6582.956367180228</v>
      </c>
      <c r="F983" s="406">
        <f>SUM($C$672:$C$683)</f>
        <v>7819.8373627720457</v>
      </c>
      <c r="G983" s="12"/>
      <c r="H983" s="401"/>
      <c r="I983" s="12"/>
      <c r="J983" s="12"/>
      <c r="K983" s="12"/>
      <c r="L983" s="12"/>
      <c r="M983" s="12"/>
      <c r="N983" s="12"/>
      <c r="O983" s="12"/>
      <c r="Q983" s="12"/>
      <c r="R983"/>
    </row>
    <row r="984" spans="1:18">
      <c r="A984" s="7"/>
      <c r="B984" s="71"/>
      <c r="C984" s="39" t="s">
        <v>565</v>
      </c>
      <c r="D984" s="406">
        <f>SUM($K$648:$K$659)</f>
        <v>4529.3995701731465</v>
      </c>
      <c r="E984" s="406">
        <f>SUM($K$660:$K$671)</f>
        <v>6053.7748326151759</v>
      </c>
      <c r="F984" s="406">
        <f>SUM($K$672:$K$683)</f>
        <v>6994.6688726309221</v>
      </c>
      <c r="G984" s="12"/>
      <c r="H984" s="401"/>
      <c r="I984" s="12"/>
      <c r="J984" s="12"/>
      <c r="K984" s="12"/>
      <c r="L984" s="12"/>
      <c r="M984" s="12"/>
      <c r="N984" s="12"/>
      <c r="O984" s="12"/>
      <c r="Q984" s="12"/>
      <c r="R984"/>
    </row>
    <row r="985" spans="1:18">
      <c r="A985" s="7"/>
      <c r="B985" s="71"/>
      <c r="C985" s="39" t="s">
        <v>550</v>
      </c>
      <c r="D985" s="406">
        <f>SUM($E$648:$E$659)</f>
        <v>1663.8153429707634</v>
      </c>
      <c r="E985" s="406">
        <f>SUM($E$660:$E$671)</f>
        <v>529.18153456505161</v>
      </c>
      <c r="F985" s="406">
        <f>SUM($E$672:$E$683)</f>
        <v>825.16849014112506</v>
      </c>
      <c r="G985" s="12"/>
      <c r="H985" s="401"/>
      <c r="I985" s="12"/>
      <c r="J985" s="12"/>
      <c r="K985" s="12"/>
      <c r="L985" s="12"/>
      <c r="M985" s="12"/>
      <c r="N985" s="12"/>
      <c r="O985" s="12"/>
      <c r="Q985" s="12"/>
      <c r="R985"/>
    </row>
    <row r="986" spans="1:18">
      <c r="A986" s="7"/>
      <c r="B986" s="71"/>
      <c r="C986" s="39" t="s">
        <v>113</v>
      </c>
      <c r="D986" s="406">
        <f>D984*D977+D978*D985</f>
        <v>46218.088619209753</v>
      </c>
      <c r="E986" s="406">
        <f>E984*E977+E978*E985</f>
        <v>51605.287868311716</v>
      </c>
      <c r="F986" s="406">
        <f>F984*F977+F978*F985</f>
        <v>60908.361921894131</v>
      </c>
      <c r="G986" s="12"/>
      <c r="H986" s="401"/>
      <c r="I986" s="12"/>
      <c r="J986" s="12"/>
      <c r="K986" s="12"/>
      <c r="L986" s="12"/>
      <c r="M986" s="12"/>
      <c r="N986" s="12"/>
      <c r="O986" s="12"/>
      <c r="Q986" s="12"/>
      <c r="R986"/>
    </row>
    <row r="987" spans="1:18">
      <c r="A987" s="7"/>
      <c r="B987" s="71"/>
      <c r="C987" s="39" t="s">
        <v>112</v>
      </c>
      <c r="D987" s="406">
        <f>D983*D982</f>
        <v>7263.1117944462021</v>
      </c>
      <c r="E987" s="406">
        <f>E983*E982</f>
        <v>8693.7900536569396</v>
      </c>
      <c r="F987" s="406">
        <f>F983*F982</f>
        <v>10541.797554943341</v>
      </c>
      <c r="G987" s="12"/>
      <c r="H987" s="401"/>
      <c r="I987" s="12"/>
      <c r="J987" s="12"/>
      <c r="K987" s="12"/>
      <c r="L987" s="12"/>
      <c r="M987" s="12"/>
      <c r="N987" s="12"/>
      <c r="O987" s="12"/>
      <c r="Q987" s="12"/>
      <c r="R987"/>
    </row>
    <row r="988" spans="1:18">
      <c r="A988" s="7"/>
      <c r="B988" s="71"/>
      <c r="C988" s="39" t="s">
        <v>111</v>
      </c>
      <c r="D988" s="406">
        <f>D986-D987</f>
        <v>38954.976824763551</v>
      </c>
      <c r="E988" s="406">
        <f>E986-E987</f>
        <v>42911.49781465478</v>
      </c>
      <c r="F988" s="406">
        <f>F986-F987</f>
        <v>50366.564366950792</v>
      </c>
      <c r="G988" s="12"/>
      <c r="H988" s="401"/>
      <c r="I988" s="12"/>
      <c r="J988" s="12"/>
      <c r="K988" s="12"/>
      <c r="L988" s="12"/>
      <c r="M988" s="12"/>
      <c r="N988" s="12"/>
      <c r="O988" s="12"/>
      <c r="Q988" s="12"/>
      <c r="R988"/>
    </row>
    <row r="989" spans="1:18">
      <c r="A989" s="7"/>
      <c r="B989" s="71" t="s">
        <v>584</v>
      </c>
      <c r="C989" s="39" t="s">
        <v>368</v>
      </c>
      <c r="D989" s="406">
        <f>$K$171</f>
        <v>8</v>
      </c>
      <c r="E989" s="406">
        <f>$K$171</f>
        <v>8</v>
      </c>
      <c r="F989" s="406">
        <f>$K$171</f>
        <v>8</v>
      </c>
      <c r="G989" s="12"/>
      <c r="H989" s="401"/>
      <c r="I989" s="12"/>
      <c r="J989" s="12"/>
      <c r="K989" s="12"/>
      <c r="L989" s="12"/>
      <c r="M989" s="12"/>
      <c r="N989" s="12"/>
      <c r="O989" s="12"/>
      <c r="Q989" s="12"/>
      <c r="R989"/>
    </row>
    <row r="990" spans="1:18">
      <c r="A990" s="7"/>
      <c r="B990" s="71"/>
      <c r="C990" s="39" t="s">
        <v>563</v>
      </c>
      <c r="D990" s="406">
        <f>IF(D989&gt;=SpO_BR01_02, SpO_BR01_02, 0)</f>
        <v>6</v>
      </c>
      <c r="E990" s="406">
        <f>IF(E989&gt;=SpO_BR01_02, SpO_BR01_02, 0)</f>
        <v>6</v>
      </c>
      <c r="F990" s="406">
        <f>IF(F989&gt;=SpO_BR01_02, SpO_BR01_02, 0)</f>
        <v>6</v>
      </c>
      <c r="G990" s="12"/>
      <c r="H990" s="401"/>
      <c r="I990" s="12"/>
      <c r="J990" s="12"/>
      <c r="K990" s="12"/>
      <c r="L990" s="12"/>
      <c r="M990" s="12"/>
      <c r="N990" s="12"/>
      <c r="O990" s="12"/>
      <c r="Q990" s="12"/>
      <c r="R990"/>
    </row>
    <row r="991" spans="1:18">
      <c r="A991" s="7"/>
      <c r="B991" s="71"/>
      <c r="C991" s="39" t="s">
        <v>564</v>
      </c>
      <c r="D991" s="406">
        <f>$K$168</f>
        <v>0.54011852648856484</v>
      </c>
      <c r="E991" s="406">
        <f>$K$267</f>
        <v>0.5422142746478521</v>
      </c>
      <c r="F991" s="406">
        <f>$K$296</f>
        <v>0.52379989122612947</v>
      </c>
      <c r="G991" s="12"/>
      <c r="H991" s="401"/>
      <c r="I991" s="12"/>
      <c r="J991" s="12"/>
      <c r="K991" s="12"/>
      <c r="L991" s="12"/>
      <c r="M991" s="12"/>
      <c r="N991" s="12"/>
      <c r="O991" s="12"/>
      <c r="Q991" s="12"/>
      <c r="R991"/>
    </row>
    <row r="992" spans="1:18">
      <c r="A992" s="7"/>
      <c r="B992" s="71"/>
      <c r="C992" s="39" t="s">
        <v>64</v>
      </c>
      <c r="D992" s="406">
        <f>$K$169</f>
        <v>0.35429885194212346</v>
      </c>
      <c r="E992" s="406">
        <f>$K$268</f>
        <v>0.40997580785317744</v>
      </c>
      <c r="F992" s="406">
        <f>$K$297</f>
        <v>0.47873803573352691</v>
      </c>
      <c r="G992" s="12"/>
      <c r="H992" s="401"/>
      <c r="I992" s="12"/>
      <c r="J992" s="12"/>
      <c r="K992" s="12"/>
      <c r="L992" s="12"/>
      <c r="M992" s="12"/>
      <c r="N992" s="12"/>
      <c r="O992" s="12"/>
      <c r="Q992" s="12"/>
      <c r="R992"/>
    </row>
    <row r="993" spans="1:18">
      <c r="A993" s="7"/>
      <c r="B993" s="71"/>
      <c r="C993" s="39" t="s">
        <v>1596</v>
      </c>
      <c r="D993" s="406">
        <f>$K$170</f>
        <v>0.27386901885922355</v>
      </c>
      <c r="E993" s="406">
        <f>$K$269</f>
        <v>0.29458982133884876</v>
      </c>
      <c r="F993" s="406">
        <f>$K$298</f>
        <v>0.31031039068377775</v>
      </c>
      <c r="G993" s="12"/>
      <c r="H993" s="401"/>
      <c r="I993" s="12"/>
      <c r="J993" s="12"/>
      <c r="K993" s="12"/>
      <c r="L993" s="12"/>
      <c r="M993" s="12"/>
      <c r="N993" s="12"/>
      <c r="O993" s="12"/>
      <c r="Q993" s="12"/>
      <c r="R993"/>
    </row>
    <row r="994" spans="1:18">
      <c r="A994" s="7"/>
      <c r="B994" s="71"/>
      <c r="C994" s="39" t="s">
        <v>1597</v>
      </c>
      <c r="D994" s="406">
        <f>SUM(D991:D993)</f>
        <v>1.1682863972899118</v>
      </c>
      <c r="E994" s="406">
        <f>SUM(E991:E993)</f>
        <v>1.2467799038398784</v>
      </c>
      <c r="F994" s="406">
        <f>SUM(F991:F993)</f>
        <v>1.312848317643434</v>
      </c>
      <c r="G994" s="12"/>
      <c r="H994" s="401"/>
      <c r="I994" s="12"/>
      <c r="J994" s="12"/>
      <c r="K994" s="12"/>
      <c r="L994" s="12"/>
      <c r="M994" s="12"/>
      <c r="N994" s="12"/>
      <c r="O994" s="12"/>
      <c r="Q994" s="12"/>
      <c r="R994"/>
    </row>
    <row r="995" spans="1:18">
      <c r="A995" s="7"/>
      <c r="B995" s="71"/>
      <c r="C995" s="39" t="s">
        <v>548</v>
      </c>
      <c r="D995" s="406">
        <f>SUM($C$684:$C$695)</f>
        <v>6575.340803869617</v>
      </c>
      <c r="E995" s="406">
        <f>SUM($C$696:$C$707)</f>
        <v>6878.7832986441899</v>
      </c>
      <c r="F995" s="406">
        <f>SUM($C$708:$C$719)</f>
        <v>7673.685418425338</v>
      </c>
      <c r="G995" s="12"/>
      <c r="H995" s="401"/>
      <c r="I995" s="12"/>
      <c r="J995" s="12"/>
      <c r="K995" s="12"/>
      <c r="L995" s="12"/>
      <c r="M995" s="12"/>
      <c r="N995" s="12"/>
      <c r="O995" s="12"/>
      <c r="Q995" s="12"/>
      <c r="R995"/>
    </row>
    <row r="996" spans="1:18">
      <c r="A996" s="7"/>
      <c r="B996" s="71"/>
      <c r="C996" s="39" t="s">
        <v>565</v>
      </c>
      <c r="D996" s="406">
        <f>SUM($K$684:$K$695)</f>
        <v>6370.2745830741587</v>
      </c>
      <c r="E996" s="406">
        <f>SUM($K$696:$K$707)</f>
        <v>6878.7832986441899</v>
      </c>
      <c r="F996" s="406">
        <f>SUM($K$708:$K$719)</f>
        <v>2932.9637920720097</v>
      </c>
      <c r="G996" s="12"/>
      <c r="H996" s="401"/>
      <c r="I996" s="12"/>
      <c r="J996" s="12"/>
      <c r="K996" s="12"/>
      <c r="L996" s="12"/>
      <c r="M996" s="12"/>
      <c r="N996" s="12"/>
      <c r="O996" s="12"/>
      <c r="Q996" s="12"/>
      <c r="R996"/>
    </row>
    <row r="997" spans="1:18">
      <c r="A997" s="7"/>
      <c r="B997" s="71"/>
      <c r="C997" s="39" t="s">
        <v>550</v>
      </c>
      <c r="D997" s="406">
        <f>SUM($E$684:$E$695)</f>
        <v>205.06622079545821</v>
      </c>
      <c r="E997" s="406">
        <f>SUM($E$696:$E$707)</f>
        <v>0</v>
      </c>
      <c r="F997" s="406">
        <f>SUM($E$708:$E$719)</f>
        <v>4740.7216263533301</v>
      </c>
      <c r="G997" s="12"/>
      <c r="H997" s="401"/>
      <c r="I997" s="12"/>
      <c r="J997" s="12"/>
      <c r="K997" s="12"/>
      <c r="L997" s="12"/>
      <c r="M997" s="12"/>
      <c r="N997" s="12"/>
      <c r="O997" s="12"/>
      <c r="Q997" s="12"/>
      <c r="R997"/>
    </row>
    <row r="998" spans="1:18">
      <c r="A998" s="7"/>
      <c r="B998" s="71"/>
      <c r="C998" s="39" t="s">
        <v>113</v>
      </c>
      <c r="D998" s="406">
        <f>D996*D989+D990*D997</f>
        <v>52192.593989366018</v>
      </c>
      <c r="E998" s="406">
        <f>E996*E989+E990*E997</f>
        <v>55030.266389153519</v>
      </c>
      <c r="F998" s="406">
        <f>F996*F989+F990*F997</f>
        <v>51908.040094696058</v>
      </c>
      <c r="G998" s="12"/>
      <c r="H998" s="401"/>
      <c r="I998" s="12"/>
      <c r="J998" s="12"/>
      <c r="K998" s="12"/>
      <c r="L998" s="12"/>
      <c r="M998" s="12"/>
      <c r="N998" s="12"/>
      <c r="O998" s="12"/>
      <c r="Q998" s="12"/>
      <c r="R998"/>
    </row>
    <row r="999" spans="1:18">
      <c r="A999" s="7"/>
      <c r="B999" s="71"/>
      <c r="C999" s="39" t="s">
        <v>112</v>
      </c>
      <c r="D999" s="406">
        <f>D995*D994</f>
        <v>7681.8812187061876</v>
      </c>
      <c r="E999" s="406">
        <f>E995*E994</f>
        <v>8576.3287796189652</v>
      </c>
      <c r="F999" s="406">
        <f>F995*F994</f>
        <v>10074.384991704655</v>
      </c>
      <c r="G999" s="12"/>
      <c r="H999" s="401"/>
      <c r="I999" s="12"/>
      <c r="J999" s="12"/>
      <c r="K999" s="12"/>
      <c r="L999" s="12"/>
      <c r="M999" s="12"/>
      <c r="N999" s="12"/>
      <c r="O999" s="12"/>
      <c r="Q999" s="12"/>
      <c r="R999"/>
    </row>
    <row r="1000" spans="1:18">
      <c r="A1000" s="7"/>
      <c r="B1000" s="71"/>
      <c r="C1000" s="39" t="s">
        <v>111</v>
      </c>
      <c r="D1000" s="406">
        <f>D998-D999</f>
        <v>44510.712770659833</v>
      </c>
      <c r="E1000" s="406">
        <f>E998-E999</f>
        <v>46453.937609534551</v>
      </c>
      <c r="F1000" s="406">
        <f>F998-F999</f>
        <v>41833.655102991404</v>
      </c>
      <c r="G1000" s="12"/>
      <c r="H1000" s="401"/>
      <c r="I1000" s="12"/>
      <c r="J1000" s="12"/>
      <c r="K1000" s="12"/>
      <c r="L1000" s="12"/>
      <c r="M1000" s="12"/>
      <c r="N1000" s="12"/>
      <c r="O1000" s="12"/>
      <c r="Q1000" s="12"/>
      <c r="R1000"/>
    </row>
    <row r="1001" spans="1:18">
      <c r="A1001" s="7"/>
      <c r="B1001" s="71" t="s">
        <v>585</v>
      </c>
      <c r="C1001" s="39" t="s">
        <v>368</v>
      </c>
      <c r="D1001" s="406">
        <f>$K$183</f>
        <v>7.5</v>
      </c>
      <c r="E1001" s="406">
        <f>$K$183</f>
        <v>7.5</v>
      </c>
      <c r="F1001" s="406">
        <f>$K$183</f>
        <v>7.5</v>
      </c>
      <c r="G1001" s="12"/>
      <c r="H1001" s="401"/>
      <c r="I1001" s="12"/>
      <c r="J1001" s="12"/>
      <c r="K1001" s="12"/>
      <c r="L1001" s="12"/>
      <c r="M1001" s="12"/>
      <c r="N1001" s="12"/>
      <c r="O1001" s="12"/>
      <c r="Q1001" s="12"/>
      <c r="R1001"/>
    </row>
    <row r="1002" spans="1:18">
      <c r="A1002" s="7"/>
      <c r="B1002" s="71"/>
      <c r="C1002" s="39" t="s">
        <v>563</v>
      </c>
      <c r="D1002" s="406">
        <f>IF(D1001&gt;=SpO_BR01_03, SpO_BR01_03, 0)</f>
        <v>6</v>
      </c>
      <c r="E1002" s="406">
        <f>IF(E1001&gt;=SpO_BR01_03, SpO_BR01_03, 0)</f>
        <v>6</v>
      </c>
      <c r="F1002" s="406">
        <f>IF(F1001&gt;=SpO_BR01_03, SpO_BR01_03, 0)</f>
        <v>6</v>
      </c>
      <c r="G1002" s="12"/>
      <c r="H1002" s="401"/>
      <c r="I1002" s="12"/>
      <c r="J1002" s="12"/>
      <c r="K1002" s="12"/>
      <c r="L1002" s="12"/>
      <c r="M1002" s="12"/>
      <c r="N1002" s="12"/>
      <c r="O1002" s="12"/>
      <c r="Q1002" s="12"/>
      <c r="R1002"/>
    </row>
    <row r="1003" spans="1:18">
      <c r="A1003" s="7"/>
      <c r="B1003" s="71"/>
      <c r="C1003" s="39" t="s">
        <v>564</v>
      </c>
      <c r="D1003" s="406">
        <f>$K$180</f>
        <v>0.4755655627410183</v>
      </c>
      <c r="E1003" s="406">
        <f>$K$270</f>
        <v>0.54599847411721014</v>
      </c>
      <c r="F1003" s="406">
        <f>$K$299</f>
        <v>0.62463446692262647</v>
      </c>
      <c r="G1003" s="12"/>
      <c r="H1003" s="401"/>
      <c r="I1003" s="12"/>
      <c r="J1003" s="12"/>
      <c r="K1003" s="12"/>
      <c r="L1003" s="12"/>
      <c r="M1003" s="12"/>
      <c r="N1003" s="12"/>
      <c r="O1003" s="12"/>
      <c r="Q1003" s="12"/>
      <c r="R1003"/>
    </row>
    <row r="1004" spans="1:18">
      <c r="A1004" s="7"/>
      <c r="B1004" s="71"/>
      <c r="C1004" s="39" t="s">
        <v>64</v>
      </c>
      <c r="D1004" s="406">
        <f>$K$181</f>
        <v>0.32758423597543845</v>
      </c>
      <c r="E1004" s="406">
        <f>$K$271</f>
        <v>0.33384004609660595</v>
      </c>
      <c r="F1004" s="406">
        <f>$K$300</f>
        <v>0.3641385232420643</v>
      </c>
      <c r="G1004" s="12"/>
      <c r="H1004" s="401"/>
      <c r="I1004" s="12"/>
      <c r="J1004" s="12"/>
      <c r="K1004" s="12"/>
      <c r="L1004" s="12"/>
      <c r="M1004" s="12"/>
      <c r="N1004" s="12"/>
      <c r="O1004" s="12"/>
      <c r="Q1004" s="12"/>
      <c r="R1004"/>
    </row>
    <row r="1005" spans="1:18">
      <c r="A1005" s="7"/>
      <c r="B1005" s="71"/>
      <c r="C1005" s="39" t="s">
        <v>1596</v>
      </c>
      <c r="D1005" s="406">
        <f>$K$182</f>
        <v>0.31671873045276405</v>
      </c>
      <c r="E1005" s="406">
        <f>$K$272</f>
        <v>0.3583881800323207</v>
      </c>
      <c r="F1005" s="406">
        <f>$K$301</f>
        <v>0.4262322217677848</v>
      </c>
      <c r="G1005" s="12"/>
      <c r="H1005" s="401"/>
      <c r="I1005" s="12"/>
      <c r="J1005" s="12"/>
      <c r="K1005" s="12"/>
      <c r="L1005" s="12"/>
      <c r="M1005" s="12"/>
      <c r="N1005" s="12"/>
      <c r="O1005" s="12"/>
      <c r="Q1005" s="12"/>
      <c r="R1005"/>
    </row>
    <row r="1006" spans="1:18">
      <c r="A1006" s="7"/>
      <c r="B1006" s="71"/>
      <c r="C1006" s="39" t="s">
        <v>1597</v>
      </c>
      <c r="D1006" s="406">
        <f>SUM(D1003:D1005)</f>
        <v>1.1198685291692207</v>
      </c>
      <c r="E1006" s="406">
        <f>SUM(E1003:E1005)</f>
        <v>1.2382267002461369</v>
      </c>
      <c r="F1006" s="406">
        <f>SUM(F1003:F1005)</f>
        <v>1.4150052119324756</v>
      </c>
      <c r="G1006" s="12"/>
      <c r="H1006" s="401"/>
      <c r="I1006" s="12"/>
      <c r="J1006" s="12"/>
      <c r="K1006" s="12"/>
      <c r="L1006" s="12"/>
      <c r="M1006" s="12"/>
      <c r="N1006" s="12"/>
      <c r="O1006" s="12"/>
      <c r="Q1006" s="12"/>
      <c r="R1006"/>
    </row>
    <row r="1007" spans="1:18">
      <c r="A1007" s="7"/>
      <c r="B1007" s="71"/>
      <c r="C1007" s="39" t="s">
        <v>548</v>
      </c>
      <c r="D1007" s="406">
        <f>SUM($C$720:$C$731)</f>
        <v>3227.9977699199999</v>
      </c>
      <c r="E1007" s="406">
        <f>SUM($C$732:$C$743)</f>
        <v>4558.5811378799999</v>
      </c>
      <c r="F1007" s="406">
        <f>SUM($C$744:$C$755)</f>
        <v>4902.3675494400004</v>
      </c>
      <c r="G1007" s="12"/>
      <c r="H1007" s="401"/>
      <c r="I1007" s="12"/>
      <c r="J1007" s="12"/>
      <c r="K1007" s="12"/>
      <c r="L1007" s="12"/>
      <c r="M1007" s="12"/>
      <c r="N1007" s="12"/>
      <c r="O1007" s="12"/>
      <c r="Q1007" s="12"/>
      <c r="R1007"/>
    </row>
    <row r="1008" spans="1:18">
      <c r="A1008" s="7"/>
      <c r="B1008" s="71"/>
      <c r="C1008" s="39" t="s">
        <v>565</v>
      </c>
      <c r="D1008" s="406">
        <f>SUM($K$720:$K$731)</f>
        <v>1352.979775532473</v>
      </c>
      <c r="E1008" s="406">
        <f>SUM($K$732:$K$743)</f>
        <v>3480.7905396746182</v>
      </c>
      <c r="F1008" s="406">
        <f>SUM($K$744:$K$755)</f>
        <v>1161.9287368524788</v>
      </c>
      <c r="G1008" s="12"/>
      <c r="H1008" s="401"/>
      <c r="I1008" s="12"/>
      <c r="J1008" s="12"/>
      <c r="K1008" s="12"/>
      <c r="L1008" s="12"/>
      <c r="M1008" s="12"/>
      <c r="N1008" s="12"/>
      <c r="O1008" s="12"/>
      <c r="Q1008" s="12"/>
      <c r="R1008"/>
    </row>
    <row r="1009" spans="1:18">
      <c r="A1009" s="7"/>
      <c r="B1009" s="71"/>
      <c r="C1009" s="39" t="s">
        <v>550</v>
      </c>
      <c r="D1009" s="406">
        <f>SUM($E$720:$E$731)</f>
        <v>1875.0179943875269</v>
      </c>
      <c r="E1009" s="406">
        <f>SUM($E$732:$E$743)</f>
        <v>1077.7905982053819</v>
      </c>
      <c r="F1009" s="406">
        <f>SUM($E$744:$E$755)</f>
        <v>3740.4388125875216</v>
      </c>
      <c r="G1009" s="12"/>
      <c r="H1009" s="401"/>
      <c r="I1009" s="12"/>
      <c r="J1009" s="12"/>
      <c r="K1009" s="12"/>
      <c r="L1009" s="12"/>
      <c r="M1009" s="12"/>
      <c r="N1009" s="12"/>
      <c r="O1009" s="12"/>
      <c r="Q1009" s="12"/>
      <c r="R1009"/>
    </row>
    <row r="1010" spans="1:18">
      <c r="A1010" s="7"/>
      <c r="B1010" s="71"/>
      <c r="C1010" s="39" t="s">
        <v>113</v>
      </c>
      <c r="D1010" s="406">
        <f>D1008*D1001+D1002*D1009</f>
        <v>21397.456282818712</v>
      </c>
      <c r="E1010" s="406">
        <f>E1008*E1001+E1002*E1009</f>
        <v>32572.672636791925</v>
      </c>
      <c r="F1010" s="406">
        <f>F1008*F1001+F1002*F1009</f>
        <v>31157.098401918724</v>
      </c>
      <c r="G1010" s="12"/>
      <c r="H1010" s="401"/>
      <c r="I1010" s="12"/>
      <c r="J1010" s="12"/>
      <c r="K1010" s="12"/>
      <c r="L1010" s="12"/>
      <c r="M1010" s="12"/>
      <c r="N1010" s="12"/>
      <c r="O1010" s="12"/>
      <c r="Q1010" s="12"/>
      <c r="R1010"/>
    </row>
    <row r="1011" spans="1:18">
      <c r="A1011" s="7"/>
      <c r="B1011" s="71"/>
      <c r="C1011" s="39" t="s">
        <v>112</v>
      </c>
      <c r="D1011" s="406">
        <f>D1007*D1006</f>
        <v>3614.933114761835</v>
      </c>
      <c r="E1011" s="406">
        <f>E1007*E1006</f>
        <v>5644.5568801614327</v>
      </c>
      <c r="F1011" s="406">
        <f>F1007*F1006</f>
        <v>6936.8756332662388</v>
      </c>
      <c r="G1011" s="12"/>
      <c r="H1011" s="401"/>
      <c r="I1011" s="12"/>
      <c r="J1011" s="12"/>
      <c r="K1011" s="12"/>
      <c r="L1011" s="12"/>
      <c r="M1011" s="12"/>
      <c r="N1011" s="12"/>
      <c r="O1011" s="12"/>
      <c r="Q1011" s="12"/>
      <c r="R1011"/>
    </row>
    <row r="1012" spans="1:18">
      <c r="A1012" s="7"/>
      <c r="B1012" s="71"/>
      <c r="C1012" s="39" t="s">
        <v>111</v>
      </c>
      <c r="D1012" s="406">
        <f>D1010-D1011</f>
        <v>17782.523168056876</v>
      </c>
      <c r="E1012" s="406">
        <f>E1010-E1011</f>
        <v>26928.115756630494</v>
      </c>
      <c r="F1012" s="406">
        <f>F1010-F1011</f>
        <v>24220.222768652486</v>
      </c>
      <c r="G1012" s="12"/>
      <c r="H1012" s="401"/>
      <c r="I1012" s="12"/>
      <c r="J1012" s="12"/>
      <c r="K1012" s="12"/>
      <c r="L1012" s="12"/>
      <c r="M1012" s="12"/>
      <c r="N1012" s="12"/>
      <c r="O1012" s="12"/>
      <c r="Q1012" s="12"/>
      <c r="R1012"/>
    </row>
    <row r="1013" spans="1:18">
      <c r="A1013" s="7"/>
      <c r="B1013" s="71" t="s">
        <v>586</v>
      </c>
      <c r="C1013" s="39" t="s">
        <v>368</v>
      </c>
      <c r="D1013" s="406">
        <f>$K$195</f>
        <v>7.5</v>
      </c>
      <c r="E1013" s="406">
        <f>$K$195</f>
        <v>7.5</v>
      </c>
      <c r="F1013" s="406">
        <f>$K$195</f>
        <v>7.5</v>
      </c>
      <c r="G1013" s="12"/>
      <c r="H1013" s="401"/>
      <c r="I1013" s="12"/>
      <c r="J1013" s="12"/>
      <c r="K1013" s="12"/>
      <c r="L1013" s="12"/>
      <c r="M1013" s="12"/>
      <c r="N1013" s="12"/>
      <c r="O1013" s="12"/>
      <c r="Q1013" s="12"/>
      <c r="R1013"/>
    </row>
    <row r="1014" spans="1:18">
      <c r="A1014" s="7"/>
      <c r="B1014" s="71"/>
      <c r="C1014" s="39" t="s">
        <v>563</v>
      </c>
      <c r="D1014" s="406">
        <f>IF(D1013&gt;=SpO_BR01_04, SpO_BR01_04, 0)</f>
        <v>6</v>
      </c>
      <c r="E1014" s="406">
        <f>IF(E1013&gt;=SpO_BR01_04, SpO_BR01_04, 0)</f>
        <v>6</v>
      </c>
      <c r="F1014" s="406">
        <f>IF(F1013&gt;=SpO_BR01_04, SpO_BR01_04, 0)</f>
        <v>6</v>
      </c>
      <c r="G1014" s="12"/>
      <c r="H1014" s="401"/>
      <c r="I1014" s="12"/>
      <c r="J1014" s="12"/>
      <c r="K1014" s="12"/>
      <c r="L1014" s="12"/>
      <c r="M1014" s="12"/>
      <c r="N1014" s="12"/>
      <c r="O1014" s="12"/>
      <c r="Q1014" s="12"/>
      <c r="R1014"/>
    </row>
    <row r="1015" spans="1:18">
      <c r="A1015" s="7"/>
      <c r="B1015" s="71"/>
      <c r="C1015" s="39" t="s">
        <v>564</v>
      </c>
      <c r="D1015" s="406">
        <f>$K$192</f>
        <v>0.52047291009038898</v>
      </c>
      <c r="E1015" s="406">
        <f>$K$273</f>
        <v>0.56871602992583947</v>
      </c>
      <c r="F1015" s="406">
        <f>$K$302</f>
        <v>0.61713310506104668</v>
      </c>
      <c r="G1015" s="12"/>
      <c r="H1015" s="401"/>
      <c r="I1015" s="12"/>
      <c r="J1015" s="12"/>
      <c r="K1015" s="12"/>
      <c r="L1015" s="12"/>
      <c r="M1015" s="12"/>
      <c r="N1015" s="12"/>
      <c r="O1015" s="12"/>
      <c r="Q1015" s="12"/>
      <c r="R1015"/>
    </row>
    <row r="1016" spans="1:18">
      <c r="A1016" s="7"/>
      <c r="B1016" s="71"/>
      <c r="C1016" s="39" t="s">
        <v>64</v>
      </c>
      <c r="D1016" s="406">
        <f>$K$193</f>
        <v>0.33882057318500752</v>
      </c>
      <c r="E1016" s="406">
        <f>$K$274</f>
        <v>0.34338728054366963</v>
      </c>
      <c r="F1016" s="406">
        <f>$K$303</f>
        <v>0.3932158174653686</v>
      </c>
      <c r="G1016" s="12"/>
      <c r="H1016" s="401"/>
      <c r="I1016" s="12"/>
      <c r="J1016" s="12"/>
      <c r="K1016" s="12"/>
      <c r="L1016" s="12"/>
      <c r="M1016" s="12"/>
      <c r="N1016" s="12"/>
      <c r="O1016" s="12"/>
      <c r="Q1016" s="12"/>
      <c r="R1016"/>
    </row>
    <row r="1017" spans="1:18">
      <c r="A1017" s="7"/>
      <c r="B1017" s="71"/>
      <c r="C1017" s="39" t="s">
        <v>1596</v>
      </c>
      <c r="D1017" s="406">
        <f>$K$194</f>
        <v>0.34226165645864642</v>
      </c>
      <c r="E1017" s="406">
        <f>$K$275</f>
        <v>0.34604968100905759</v>
      </c>
      <c r="F1017" s="406">
        <f>$K$304</f>
        <v>0.36870161637666882</v>
      </c>
      <c r="G1017" s="12"/>
      <c r="H1017" s="401"/>
      <c r="I1017" s="12"/>
      <c r="J1017" s="12"/>
      <c r="K1017" s="12"/>
      <c r="L1017" s="12"/>
      <c r="M1017" s="12"/>
      <c r="N1017" s="12"/>
      <c r="O1017" s="12"/>
      <c r="Q1017" s="12"/>
      <c r="R1017"/>
    </row>
    <row r="1018" spans="1:18">
      <c r="A1018" s="7"/>
      <c r="B1018" s="71"/>
      <c r="C1018" s="39" t="s">
        <v>1597</v>
      </c>
      <c r="D1018" s="406">
        <f>SUM(D1015:D1017)</f>
        <v>1.2015551397340429</v>
      </c>
      <c r="E1018" s="406">
        <f>SUM(E1015:E1017)</f>
        <v>1.2581529914785667</v>
      </c>
      <c r="F1018" s="406">
        <f>SUM(F1015:F1017)</f>
        <v>1.379050538903084</v>
      </c>
      <c r="G1018" s="12"/>
      <c r="H1018" s="401"/>
      <c r="I1018" s="12"/>
      <c r="J1018" s="12"/>
      <c r="K1018" s="12"/>
      <c r="L1018" s="12"/>
      <c r="M1018" s="12"/>
      <c r="N1018" s="12"/>
      <c r="O1018" s="12"/>
      <c r="Q1018" s="12"/>
      <c r="R1018"/>
    </row>
    <row r="1019" spans="1:18">
      <c r="A1019" s="7"/>
      <c r="B1019" s="71"/>
      <c r="C1019" s="39" t="s">
        <v>548</v>
      </c>
      <c r="D1019" s="406">
        <f>SUM($C$756:$C$767)</f>
        <v>5511.8589372000006</v>
      </c>
      <c r="E1019" s="406">
        <f>SUM($C$768:$C$779)</f>
        <v>4804.0180428000003</v>
      </c>
      <c r="F1019" s="406">
        <f>SUM($C$780:$C$791)</f>
        <v>6122.6720256000008</v>
      </c>
      <c r="G1019" s="12"/>
      <c r="H1019" s="401"/>
      <c r="I1019" s="12"/>
      <c r="J1019" s="12"/>
      <c r="K1019" s="12"/>
      <c r="L1019" s="12"/>
      <c r="M1019" s="12"/>
      <c r="N1019" s="12"/>
      <c r="O1019" s="12"/>
      <c r="Q1019" s="12"/>
      <c r="R1019"/>
    </row>
    <row r="1020" spans="1:18">
      <c r="A1020" s="7"/>
      <c r="B1020" s="71"/>
      <c r="C1020" s="39" t="s">
        <v>565</v>
      </c>
      <c r="D1020" s="406">
        <f>SUM($K$756:$K$767)</f>
        <v>5511.8589372000006</v>
      </c>
      <c r="E1020" s="406">
        <f>SUM($K$768:$K$779)</f>
        <v>3576.139764384513</v>
      </c>
      <c r="F1020" s="406">
        <f>SUM($K$780:$K$791)</f>
        <v>5632.2607501637367</v>
      </c>
      <c r="G1020" s="12"/>
      <c r="H1020" s="401"/>
      <c r="I1020" s="12"/>
      <c r="J1020" s="12"/>
      <c r="K1020" s="12"/>
      <c r="L1020" s="12"/>
      <c r="M1020" s="12"/>
      <c r="N1020" s="12"/>
      <c r="O1020" s="12"/>
      <c r="Q1020" s="12"/>
      <c r="R1020"/>
    </row>
    <row r="1021" spans="1:18">
      <c r="A1021" s="7"/>
      <c r="B1021" s="71"/>
      <c r="C1021" s="39" t="s">
        <v>550</v>
      </c>
      <c r="D1021" s="406">
        <f>SUM($E$756:$E$767)</f>
        <v>0</v>
      </c>
      <c r="E1021" s="406">
        <f>SUM($E$768:$E$779)</f>
        <v>1227.8782784154871</v>
      </c>
      <c r="F1021" s="406">
        <f>SUM($E$780:$E$791)</f>
        <v>490.41127543626408</v>
      </c>
      <c r="G1021" s="12"/>
      <c r="H1021" s="401"/>
      <c r="I1021" s="12"/>
      <c r="J1021" s="12"/>
      <c r="K1021" s="12"/>
      <c r="L1021" s="12"/>
      <c r="M1021" s="12"/>
      <c r="N1021" s="12"/>
      <c r="O1021" s="12"/>
      <c r="Q1021" s="12"/>
      <c r="R1021"/>
    </row>
    <row r="1022" spans="1:18">
      <c r="A1022" s="7"/>
      <c r="B1022" s="71"/>
      <c r="C1022" s="39" t="s">
        <v>113</v>
      </c>
      <c r="D1022" s="406">
        <f>D1020*D1013+D1014*D1021</f>
        <v>41338.942029000005</v>
      </c>
      <c r="E1022" s="406">
        <f>E1020*E1013+E1014*E1021</f>
        <v>34188.317903376766</v>
      </c>
      <c r="F1022" s="406">
        <f>F1020*F1013+F1014*F1021</f>
        <v>45184.423278845607</v>
      </c>
      <c r="G1022" s="12"/>
      <c r="H1022" s="401"/>
      <c r="I1022" s="12"/>
      <c r="J1022" s="12"/>
      <c r="K1022" s="12"/>
      <c r="L1022" s="12"/>
      <c r="M1022" s="12"/>
      <c r="N1022" s="12"/>
      <c r="O1022" s="12"/>
      <c r="Q1022" s="12"/>
      <c r="R1022"/>
    </row>
    <row r="1023" spans="1:18">
      <c r="A1023" s="7"/>
      <c r="B1023" s="71"/>
      <c r="C1023" s="39" t="s">
        <v>112</v>
      </c>
      <c r="D1023" s="406">
        <f>D1019*D1018</f>
        <v>6622.8024354816798</v>
      </c>
      <c r="E1023" s="406">
        <f>E1019*E1018</f>
        <v>6044.1896716658293</v>
      </c>
      <c r="F1023" s="406">
        <f>F1019*F1018</f>
        <v>8443.4741564305186</v>
      </c>
      <c r="G1023" s="12"/>
      <c r="H1023" s="401"/>
      <c r="I1023" s="12"/>
      <c r="J1023" s="12"/>
      <c r="K1023" s="12"/>
      <c r="L1023" s="12"/>
      <c r="M1023" s="12"/>
      <c r="N1023" s="12"/>
      <c r="O1023" s="12"/>
      <c r="Q1023" s="12"/>
      <c r="R1023"/>
    </row>
    <row r="1024" spans="1:18">
      <c r="A1024" s="7"/>
      <c r="B1024" s="71"/>
      <c r="C1024" s="39" t="s">
        <v>111</v>
      </c>
      <c r="D1024" s="406">
        <f>D1022-D1023</f>
        <v>34716.139593518325</v>
      </c>
      <c r="E1024" s="406">
        <f>E1022-E1023</f>
        <v>28144.128231710936</v>
      </c>
      <c r="F1024" s="406">
        <f>F1022-F1023</f>
        <v>36740.949122415084</v>
      </c>
      <c r="G1024" s="12"/>
      <c r="H1024" s="401"/>
      <c r="I1024" s="12"/>
      <c r="J1024" s="12"/>
      <c r="K1024" s="12"/>
      <c r="L1024" s="12"/>
      <c r="M1024" s="12"/>
      <c r="N1024" s="12"/>
      <c r="O1024" s="12"/>
      <c r="Q1024" s="12"/>
      <c r="R1024"/>
    </row>
    <row r="1025" spans="1:18">
      <c r="A1025" s="7"/>
      <c r="B1025" s="71" t="s">
        <v>587</v>
      </c>
      <c r="C1025" s="39" t="s">
        <v>368</v>
      </c>
      <c r="D1025" s="406">
        <f>$K$207</f>
        <v>7.5</v>
      </c>
      <c r="E1025" s="406">
        <f>$K$207</f>
        <v>7.5</v>
      </c>
      <c r="F1025" s="406">
        <f>$K$207</f>
        <v>7.5</v>
      </c>
      <c r="G1025" s="12"/>
      <c r="H1025" s="401"/>
      <c r="I1025" s="12"/>
      <c r="J1025" s="12"/>
      <c r="K1025" s="12"/>
      <c r="L1025" s="12"/>
      <c r="M1025" s="12"/>
      <c r="N1025" s="12"/>
      <c r="O1025" s="12"/>
      <c r="Q1025" s="12"/>
      <c r="R1025"/>
    </row>
    <row r="1026" spans="1:18">
      <c r="A1026" s="7"/>
      <c r="B1026" s="71"/>
      <c r="C1026" s="39" t="s">
        <v>563</v>
      </c>
      <c r="D1026" s="406">
        <f>IF(D1025&gt;=SpO_BR01_05, SpO_BR01_05, 0)</f>
        <v>6</v>
      </c>
      <c r="E1026" s="406">
        <f>IF(E1025&gt;=SpO_BR01_05, SpO_BR01_05, 0)</f>
        <v>6</v>
      </c>
      <c r="F1026" s="406">
        <f>IF(F1025&gt;=SpO_BR01_05, SpO_BR01_05, 0)</f>
        <v>6</v>
      </c>
      <c r="G1026" s="12"/>
      <c r="H1026" s="401"/>
      <c r="I1026" s="12"/>
      <c r="J1026" s="12"/>
      <c r="K1026" s="12"/>
      <c r="L1026" s="12"/>
      <c r="M1026" s="12"/>
      <c r="N1026" s="12"/>
      <c r="O1026" s="12"/>
      <c r="Q1026" s="12"/>
      <c r="R1026"/>
    </row>
    <row r="1027" spans="1:18">
      <c r="A1027" s="7"/>
      <c r="B1027" s="71"/>
      <c r="C1027" s="39" t="s">
        <v>564</v>
      </c>
      <c r="D1027" s="406">
        <f>$K$204</f>
        <v>0.48343140172457899</v>
      </c>
      <c r="E1027" s="406">
        <f>$K$276</f>
        <v>0.4991099898414757</v>
      </c>
      <c r="F1027" s="406">
        <f>$K$305</f>
        <v>0.57406394207686018</v>
      </c>
      <c r="G1027" s="12"/>
      <c r="H1027" s="401"/>
      <c r="I1027" s="12"/>
      <c r="J1027" s="12"/>
      <c r="K1027" s="12"/>
      <c r="L1027" s="12"/>
      <c r="M1027" s="12"/>
      <c r="N1027" s="12"/>
      <c r="O1027" s="12"/>
      <c r="Q1027" s="12"/>
      <c r="R1027"/>
    </row>
    <row r="1028" spans="1:18">
      <c r="A1028" s="7"/>
      <c r="B1028" s="71"/>
      <c r="C1028" s="39" t="s">
        <v>64</v>
      </c>
      <c r="D1028" s="406">
        <f>$K$205</f>
        <v>0.30579388245682504</v>
      </c>
      <c r="E1028" s="406">
        <f>$K$277</f>
        <v>0.34726551174113707</v>
      </c>
      <c r="F1028" s="406">
        <f>$K$306</f>
        <v>0.36039064495593609</v>
      </c>
      <c r="G1028" s="12"/>
      <c r="H1028" s="401"/>
      <c r="I1028" s="12"/>
      <c r="J1028" s="12"/>
      <c r="K1028" s="12"/>
      <c r="L1028" s="12"/>
      <c r="M1028" s="12"/>
      <c r="N1028" s="12"/>
      <c r="O1028" s="12"/>
      <c r="Q1028" s="12"/>
      <c r="R1028"/>
    </row>
    <row r="1029" spans="1:18">
      <c r="A1029" s="7"/>
      <c r="B1029" s="71"/>
      <c r="C1029" s="39" t="s">
        <v>1596</v>
      </c>
      <c r="D1029" s="406">
        <f>$K$206</f>
        <v>0.28109277967072932</v>
      </c>
      <c r="E1029" s="406">
        <f>$K$278</f>
        <v>0.29514217666140657</v>
      </c>
      <c r="F1029" s="406">
        <f>$K$307</f>
        <v>0.29022936673852084</v>
      </c>
      <c r="G1029" s="12"/>
      <c r="H1029" s="401"/>
      <c r="I1029" s="12"/>
      <c r="J1029" s="12"/>
      <c r="K1029" s="12"/>
      <c r="L1029" s="12"/>
      <c r="M1029" s="12"/>
      <c r="N1029" s="12"/>
      <c r="O1029" s="12"/>
      <c r="Q1029" s="12"/>
      <c r="R1029"/>
    </row>
    <row r="1030" spans="1:18">
      <c r="A1030" s="7"/>
      <c r="B1030" s="71"/>
      <c r="C1030" s="39" t="s">
        <v>1597</v>
      </c>
      <c r="D1030" s="406">
        <f>SUM(D1027:D1029)</f>
        <v>1.0703180638521332</v>
      </c>
      <c r="E1030" s="406">
        <f>SUM(E1027:E1029)</f>
        <v>1.1415176782440193</v>
      </c>
      <c r="F1030" s="406">
        <f>SUM(F1027:F1029)</f>
        <v>1.2246839537713172</v>
      </c>
      <c r="G1030" s="12"/>
      <c r="H1030" s="401"/>
      <c r="I1030" s="12"/>
      <c r="J1030" s="12"/>
      <c r="K1030" s="12"/>
      <c r="L1030" s="12"/>
      <c r="M1030" s="12"/>
      <c r="N1030" s="12"/>
      <c r="O1030" s="12"/>
      <c r="Q1030" s="12"/>
      <c r="R1030"/>
    </row>
    <row r="1031" spans="1:18">
      <c r="A1031" s="7"/>
      <c r="B1031" s="71"/>
      <c r="C1031" s="39" t="s">
        <v>548</v>
      </c>
      <c r="D1031" s="406">
        <f>SUM($C$792:$C$803)</f>
        <v>4960</v>
      </c>
      <c r="E1031" s="406">
        <f>SUM($C$804:$C$815)</f>
        <v>5964.1430291199995</v>
      </c>
      <c r="F1031" s="406">
        <f>SUM($C$816:$C$827)</f>
        <v>6072.8165171199998</v>
      </c>
      <c r="G1031" s="12"/>
      <c r="H1031" s="401"/>
      <c r="I1031" s="12"/>
      <c r="J1031" s="12"/>
      <c r="K1031" s="12"/>
      <c r="L1031" s="12"/>
      <c r="M1031" s="12"/>
      <c r="N1031" s="12"/>
      <c r="O1031" s="12"/>
      <c r="Q1031" s="12"/>
      <c r="R1031"/>
    </row>
    <row r="1032" spans="1:18">
      <c r="A1032" s="7"/>
      <c r="B1032" s="71"/>
      <c r="C1032" s="39" t="s">
        <v>565</v>
      </c>
      <c r="D1032" s="406">
        <f>SUM($K$792:$K$803)</f>
        <v>4198.2702602677582</v>
      </c>
      <c r="E1032" s="406">
        <f>SUM($K$804:$K$815)</f>
        <v>4543.1513557937105</v>
      </c>
      <c r="F1032" s="406">
        <f>SUM($K$816:$K$827)</f>
        <v>2830.5961181322264</v>
      </c>
      <c r="G1032" s="12"/>
      <c r="H1032" s="401"/>
      <c r="I1032" s="12"/>
      <c r="J1032" s="12"/>
      <c r="K1032" s="12"/>
      <c r="L1032" s="12"/>
      <c r="M1032" s="12"/>
      <c r="N1032" s="12"/>
      <c r="O1032" s="12"/>
      <c r="Q1032" s="12"/>
      <c r="R1032"/>
    </row>
    <row r="1033" spans="1:18">
      <c r="A1033" s="7"/>
      <c r="B1033" s="71"/>
      <c r="C1033" s="39" t="s">
        <v>550</v>
      </c>
      <c r="D1033" s="406">
        <f>SUM($E$792:$E$803)</f>
        <v>761.7297397322418</v>
      </c>
      <c r="E1033" s="406">
        <f>SUM($E$804:$E$815)</f>
        <v>1420.9916733262901</v>
      </c>
      <c r="F1033" s="406">
        <f>SUM($E$816:$E$827)</f>
        <v>3242.2203989877735</v>
      </c>
      <c r="G1033" s="12"/>
      <c r="H1033" s="401"/>
      <c r="I1033" s="12"/>
      <c r="J1033" s="12"/>
      <c r="K1033" s="12"/>
      <c r="L1033" s="12"/>
      <c r="M1033" s="12"/>
      <c r="N1033" s="12"/>
      <c r="O1033" s="12"/>
      <c r="Q1033" s="12"/>
      <c r="R1033"/>
    </row>
    <row r="1034" spans="1:18">
      <c r="A1034" s="7"/>
      <c r="B1034" s="71"/>
      <c r="C1034" s="39" t="s">
        <v>113</v>
      </c>
      <c r="D1034" s="406">
        <f>D1032*D1025+D1026*D1033</f>
        <v>36057.405390401633</v>
      </c>
      <c r="E1034" s="406">
        <f>E1032*E1025+E1026*E1033</f>
        <v>42599.585208410572</v>
      </c>
      <c r="F1034" s="406">
        <f>F1032*F1025+F1026*F1033</f>
        <v>40682.793279918333</v>
      </c>
      <c r="G1034" s="12"/>
      <c r="H1034" s="401"/>
      <c r="I1034" s="12"/>
      <c r="J1034" s="12"/>
      <c r="K1034" s="12"/>
      <c r="L1034" s="12"/>
      <c r="M1034" s="12"/>
      <c r="N1034" s="12"/>
      <c r="O1034" s="12"/>
      <c r="Q1034" s="12"/>
      <c r="R1034"/>
    </row>
    <row r="1035" spans="1:18">
      <c r="A1035" s="7"/>
      <c r="B1035" s="71"/>
      <c r="C1035" s="39" t="s">
        <v>112</v>
      </c>
      <c r="D1035" s="406">
        <f>D1031*D1030</f>
        <v>5308.7775967065809</v>
      </c>
      <c r="E1035" s="406">
        <f>E1031*E1030</f>
        <v>6808.1747033163138</v>
      </c>
      <c r="F1035" s="406">
        <f>F1031*F1030</f>
        <v>7437.280942714282</v>
      </c>
      <c r="G1035" s="12"/>
      <c r="H1035" s="401"/>
      <c r="I1035" s="12"/>
      <c r="J1035" s="12"/>
      <c r="K1035" s="12"/>
      <c r="L1035" s="12"/>
      <c r="M1035" s="12"/>
      <c r="N1035" s="12"/>
      <c r="O1035" s="12"/>
      <c r="Q1035" s="12"/>
      <c r="R1035"/>
    </row>
    <row r="1036" spans="1:18">
      <c r="A1036" s="7"/>
      <c r="B1036" s="71"/>
      <c r="C1036" s="39" t="s">
        <v>111</v>
      </c>
      <c r="D1036" s="406">
        <f>D1034-D1035</f>
        <v>30748.62779369505</v>
      </c>
      <c r="E1036" s="406">
        <f>E1034-E1035</f>
        <v>35791.41050509426</v>
      </c>
      <c r="F1036" s="406">
        <f>F1034-F1035</f>
        <v>33245.512337204054</v>
      </c>
      <c r="G1036" s="12"/>
      <c r="H1036" s="401"/>
      <c r="I1036" s="12"/>
      <c r="J1036" s="12"/>
      <c r="K1036" s="12"/>
      <c r="L1036" s="12"/>
      <c r="M1036" s="12"/>
      <c r="N1036" s="12"/>
      <c r="O1036" s="12"/>
      <c r="Q1036" s="12"/>
      <c r="R1036"/>
    </row>
    <row r="1037" spans="1:18">
      <c r="A1037" s="7"/>
      <c r="B1037" s="71" t="s">
        <v>588</v>
      </c>
      <c r="C1037" s="39" t="s">
        <v>368</v>
      </c>
      <c r="D1037" s="406">
        <f>$K$219</f>
        <v>7.5</v>
      </c>
      <c r="E1037" s="406">
        <f>$K$219</f>
        <v>7.5</v>
      </c>
      <c r="F1037" s="406">
        <f>$K$219</f>
        <v>7.5</v>
      </c>
      <c r="G1037" s="12"/>
      <c r="H1037" s="401"/>
      <c r="I1037" s="12"/>
      <c r="J1037" s="12"/>
      <c r="K1037" s="12"/>
      <c r="L1037" s="12"/>
      <c r="M1037" s="12"/>
      <c r="N1037" s="12"/>
      <c r="O1037" s="12"/>
      <c r="Q1037" s="12"/>
      <c r="R1037"/>
    </row>
    <row r="1038" spans="1:18">
      <c r="A1038" s="7"/>
      <c r="B1038" s="71"/>
      <c r="C1038" s="39" t="s">
        <v>563</v>
      </c>
      <c r="D1038" s="406">
        <f>IF(D1037&gt;=SpO_BR01_06, SpO_BR01_06, 0)</f>
        <v>6</v>
      </c>
      <c r="E1038" s="406">
        <f>IF(E1037&gt;=SpO_BR01_06, SpO_BR01_06, 0)</f>
        <v>6</v>
      </c>
      <c r="F1038" s="406">
        <f>IF(F1037&gt;=SpO_BR01_06, SpO_BR01_06, 0)</f>
        <v>6</v>
      </c>
      <c r="G1038" s="12"/>
      <c r="H1038" s="401"/>
      <c r="I1038" s="12"/>
      <c r="J1038" s="12"/>
      <c r="K1038" s="12"/>
      <c r="L1038" s="12"/>
      <c r="M1038" s="12"/>
      <c r="N1038" s="12"/>
      <c r="O1038" s="12"/>
      <c r="Q1038" s="12"/>
      <c r="R1038"/>
    </row>
    <row r="1039" spans="1:18">
      <c r="A1039" s="7"/>
      <c r="B1039" s="71"/>
      <c r="C1039" s="39" t="s">
        <v>564</v>
      </c>
      <c r="D1039" s="406">
        <f>$K$216</f>
        <v>0.5348655823059747</v>
      </c>
      <c r="E1039" s="406">
        <f>$K$279</f>
        <v>0.50563972253892131</v>
      </c>
      <c r="F1039" s="406">
        <f>$K$308</f>
        <v>0.58877728087958647</v>
      </c>
      <c r="G1039" s="12"/>
      <c r="H1039" s="401"/>
      <c r="I1039" s="12"/>
      <c r="J1039" s="12"/>
      <c r="K1039" s="12"/>
      <c r="L1039" s="12"/>
      <c r="M1039" s="12"/>
      <c r="N1039" s="12"/>
      <c r="O1039" s="12"/>
      <c r="Q1039" s="12"/>
      <c r="R1039"/>
    </row>
    <row r="1040" spans="1:18">
      <c r="A1040" s="7"/>
      <c r="B1040" s="71"/>
      <c r="C1040" s="39" t="s">
        <v>64</v>
      </c>
      <c r="D1040" s="406">
        <f>$K$217</f>
        <v>0.34549791833698812</v>
      </c>
      <c r="E1040" s="406">
        <f>$K$280</f>
        <v>0.35766810235637853</v>
      </c>
      <c r="F1040" s="406">
        <f>$K$309</f>
        <v>0.34103403392769799</v>
      </c>
      <c r="G1040" s="12"/>
      <c r="H1040" s="401"/>
      <c r="I1040" s="12"/>
      <c r="J1040" s="12"/>
      <c r="K1040" s="12"/>
      <c r="L1040" s="12"/>
      <c r="M1040" s="12"/>
      <c r="N1040" s="12"/>
      <c r="O1040" s="12"/>
      <c r="Q1040" s="12"/>
      <c r="R1040"/>
    </row>
    <row r="1041" spans="1:18">
      <c r="A1041" s="7"/>
      <c r="B1041" s="71"/>
      <c r="C1041" s="39" t="s">
        <v>1596</v>
      </c>
      <c r="D1041" s="406">
        <f>$K$218</f>
        <v>0.32186110997762873</v>
      </c>
      <c r="E1041" s="406">
        <f>$K$281</f>
        <v>0.3880455568894246</v>
      </c>
      <c r="F1041" s="406">
        <f>$K$310</f>
        <v>0.37603459345899426</v>
      </c>
      <c r="G1041" s="12"/>
      <c r="H1041" s="401"/>
      <c r="I1041" s="12"/>
      <c r="J1041" s="12"/>
      <c r="K1041" s="12"/>
      <c r="L1041" s="12"/>
      <c r="M1041" s="12"/>
      <c r="N1041" s="12"/>
      <c r="O1041" s="12"/>
      <c r="Q1041" s="12"/>
      <c r="R1041"/>
    </row>
    <row r="1042" spans="1:18">
      <c r="A1042" s="7"/>
      <c r="B1042" s="71"/>
      <c r="C1042" s="39" t="s">
        <v>1597</v>
      </c>
      <c r="D1042" s="406">
        <f>SUM(D1039:D1041)</f>
        <v>1.2022246106205916</v>
      </c>
      <c r="E1042" s="406">
        <f>SUM(E1039:E1041)</f>
        <v>1.2513533817847244</v>
      </c>
      <c r="F1042" s="406">
        <f>SUM(F1039:F1041)</f>
        <v>1.3058459082662788</v>
      </c>
      <c r="G1042" s="12"/>
      <c r="H1042" s="401"/>
      <c r="I1042" s="12"/>
      <c r="J1042" s="12"/>
      <c r="K1042" s="12"/>
      <c r="L1042" s="12"/>
      <c r="M1042" s="12"/>
      <c r="N1042" s="12"/>
      <c r="O1042" s="12"/>
      <c r="Q1042" s="12"/>
      <c r="R1042"/>
    </row>
    <row r="1043" spans="1:18">
      <c r="A1043" s="7"/>
      <c r="B1043" s="71"/>
      <c r="C1043" s="39" t="s">
        <v>548</v>
      </c>
      <c r="D1043" s="406">
        <f>SUM($C$828:$C$839)</f>
        <v>3038.1155481599999</v>
      </c>
      <c r="E1043" s="406">
        <f>SUM($C$840:$C$851)</f>
        <v>4290.4293062399993</v>
      </c>
      <c r="F1043" s="406">
        <f>SUM($C$852:$C$863)</f>
        <v>4754.7614822400001</v>
      </c>
      <c r="G1043" s="12"/>
      <c r="H1043" s="401"/>
      <c r="I1043" s="12"/>
      <c r="J1043" s="12"/>
      <c r="K1043" s="12"/>
      <c r="L1043" s="12"/>
      <c r="M1043" s="12"/>
      <c r="N1043" s="12"/>
      <c r="O1043" s="12"/>
      <c r="Q1043" s="12"/>
      <c r="R1043"/>
    </row>
    <row r="1044" spans="1:18">
      <c r="A1044" s="7"/>
      <c r="B1044" s="71"/>
      <c r="C1044" s="39" t="s">
        <v>565</v>
      </c>
      <c r="D1044" s="406">
        <f>SUM($K$828:$K$839)</f>
        <v>1745.433327271008</v>
      </c>
      <c r="E1044" s="406">
        <f>SUM($K$840:$K$851)</f>
        <v>2299.4456685157534</v>
      </c>
      <c r="F1044" s="406">
        <f>SUM($K$852:$K$863)</f>
        <v>4292.7485645852612</v>
      </c>
      <c r="G1044" s="12"/>
      <c r="H1044" s="401"/>
      <c r="I1044" s="12"/>
      <c r="J1044" s="12"/>
      <c r="K1044" s="12"/>
      <c r="L1044" s="12"/>
      <c r="M1044" s="12"/>
      <c r="N1044" s="12"/>
      <c r="O1044" s="12"/>
      <c r="Q1044" s="12"/>
      <c r="R1044"/>
    </row>
    <row r="1045" spans="1:18">
      <c r="A1045" s="7"/>
      <c r="B1045" s="71"/>
      <c r="C1045" s="39" t="s">
        <v>550</v>
      </c>
      <c r="D1045" s="406">
        <f>SUM($E$828:$E$839)</f>
        <v>1292.6822208889917</v>
      </c>
      <c r="E1045" s="406">
        <f>SUM($E$840:$E$851)</f>
        <v>1990.9836377242464</v>
      </c>
      <c r="F1045" s="406">
        <f>SUM($E$852:$E$863)</f>
        <v>462.01291765473911</v>
      </c>
      <c r="G1045" s="12"/>
      <c r="H1045" s="401"/>
      <c r="I1045" s="12"/>
      <c r="J1045" s="12"/>
      <c r="K1045" s="12"/>
      <c r="L1045" s="12"/>
      <c r="M1045" s="12"/>
      <c r="N1045" s="12"/>
      <c r="O1045" s="12"/>
      <c r="Q1045" s="12"/>
      <c r="R1045"/>
    </row>
    <row r="1046" spans="1:18">
      <c r="A1046" s="7"/>
      <c r="B1046" s="71"/>
      <c r="C1046" s="39" t="s">
        <v>113</v>
      </c>
      <c r="D1046" s="406">
        <f>D1044*D1037+D1038*D1045</f>
        <v>20846.843279866509</v>
      </c>
      <c r="E1046" s="406">
        <f>E1044*E1037+E1038*E1045</f>
        <v>29191.744340213627</v>
      </c>
      <c r="F1046" s="406">
        <f>F1044*F1037+F1038*F1045</f>
        <v>34967.691740317896</v>
      </c>
      <c r="G1046" s="12"/>
      <c r="H1046" s="401"/>
      <c r="I1046" s="12"/>
      <c r="J1046" s="12"/>
      <c r="K1046" s="12"/>
      <c r="L1046" s="12"/>
      <c r="M1046" s="12"/>
      <c r="N1046" s="12"/>
      <c r="O1046" s="12"/>
      <c r="Q1046" s="12"/>
      <c r="R1046"/>
    </row>
    <row r="1047" spans="1:18">
      <c r="A1047" s="7"/>
      <c r="B1047" s="71"/>
      <c r="C1047" s="39" t="s">
        <v>112</v>
      </c>
      <c r="D1047" s="406">
        <f>D1043*D1042</f>
        <v>3652.4972819070213</v>
      </c>
      <c r="E1047" s="406">
        <f>E1043*E1042</f>
        <v>5368.8432216717119</v>
      </c>
      <c r="F1047" s="406">
        <f>F1043*F1042</f>
        <v>6208.9858263652104</v>
      </c>
      <c r="G1047" s="12"/>
      <c r="H1047" s="401"/>
      <c r="I1047" s="12"/>
      <c r="J1047" s="12"/>
      <c r="K1047" s="12"/>
      <c r="L1047" s="12"/>
      <c r="M1047" s="12"/>
      <c r="N1047" s="12"/>
      <c r="O1047" s="12"/>
      <c r="Q1047" s="12"/>
      <c r="R1047"/>
    </row>
    <row r="1048" spans="1:18">
      <c r="A1048" s="7"/>
      <c r="B1048" s="71"/>
      <c r="C1048" s="39" t="s">
        <v>111</v>
      </c>
      <c r="D1048" s="406">
        <f>D1046-D1047</f>
        <v>17194.345997959488</v>
      </c>
      <c r="E1048" s="406">
        <f>E1046-E1047</f>
        <v>23822.901118541915</v>
      </c>
      <c r="F1048" s="406">
        <f>F1046-F1047</f>
        <v>28758.705913952686</v>
      </c>
      <c r="G1048" s="12"/>
      <c r="H1048" s="401"/>
      <c r="I1048" s="12"/>
      <c r="J1048" s="12"/>
      <c r="K1048" s="12"/>
      <c r="L1048" s="12"/>
      <c r="M1048" s="12"/>
      <c r="N1048" s="12"/>
      <c r="O1048" s="12"/>
      <c r="Q1048" s="12"/>
      <c r="R1048"/>
    </row>
    <row r="1049" spans="1:18">
      <c r="A1049" s="7"/>
      <c r="B1049" s="71" t="s">
        <v>589</v>
      </c>
      <c r="C1049" s="39" t="s">
        <v>368</v>
      </c>
      <c r="D1049" s="406">
        <f>$K$231</f>
        <v>3.3</v>
      </c>
      <c r="E1049" s="406">
        <f>$K$231</f>
        <v>3.3</v>
      </c>
      <c r="F1049" s="406">
        <f>$K$231</f>
        <v>3.3</v>
      </c>
      <c r="G1049" s="12"/>
      <c r="H1049" s="401"/>
      <c r="I1049" s="12"/>
      <c r="J1049" s="12"/>
      <c r="K1049" s="12"/>
      <c r="L1049" s="12"/>
      <c r="M1049" s="12"/>
      <c r="N1049" s="12"/>
      <c r="O1049" s="12"/>
      <c r="Q1049" s="12"/>
      <c r="R1049"/>
    </row>
    <row r="1050" spans="1:18">
      <c r="A1050" s="7"/>
      <c r="B1050" s="71"/>
      <c r="C1050" s="39" t="s">
        <v>563</v>
      </c>
      <c r="D1050" s="406">
        <f>IF(D1049&gt;=SpO_BR01_07, SpO_BR01_07, 0)</f>
        <v>0</v>
      </c>
      <c r="E1050" s="406">
        <f>IF(E1049&gt;=SpO_BR01_07, SpO_BR01_07, 0)</f>
        <v>0</v>
      </c>
      <c r="F1050" s="406">
        <f>IF(F1049&gt;=SpO_BR01_07, SpO_BR01_07, 0)</f>
        <v>0</v>
      </c>
      <c r="G1050" s="12"/>
      <c r="H1050" s="401"/>
      <c r="I1050" s="12"/>
      <c r="J1050" s="12"/>
      <c r="K1050" s="12"/>
      <c r="L1050" s="12"/>
      <c r="M1050" s="12"/>
      <c r="N1050" s="12"/>
      <c r="O1050" s="12"/>
      <c r="Q1050" s="12"/>
      <c r="R1050"/>
    </row>
    <row r="1051" spans="1:18">
      <c r="A1051" s="7"/>
      <c r="B1051" s="71"/>
      <c r="C1051" s="39" t="s">
        <v>564</v>
      </c>
      <c r="D1051" s="406">
        <f>$K$228</f>
        <v>0.50423964534022481</v>
      </c>
      <c r="E1051" s="406">
        <f>$K$282</f>
        <v>0.56008470218860074</v>
      </c>
      <c r="F1051" s="406">
        <f>$K$311</f>
        <v>0.54965416138218703</v>
      </c>
      <c r="G1051" s="12"/>
      <c r="H1051" s="401"/>
      <c r="I1051" s="12"/>
      <c r="J1051" s="12"/>
      <c r="K1051" s="12"/>
      <c r="L1051" s="12"/>
      <c r="M1051" s="12"/>
      <c r="N1051" s="12"/>
      <c r="O1051" s="12"/>
      <c r="Q1051" s="12"/>
      <c r="R1051"/>
    </row>
    <row r="1052" spans="1:18">
      <c r="A1052" s="7"/>
      <c r="B1052" s="71"/>
      <c r="C1052" s="39" t="s">
        <v>64</v>
      </c>
      <c r="D1052" s="406">
        <f>$K$229</f>
        <v>0.27040542545429885</v>
      </c>
      <c r="E1052" s="406">
        <f>$K$283</f>
        <v>0.27968982793394859</v>
      </c>
      <c r="F1052" s="406">
        <f>$K$312</f>
        <v>0.30985457019323509</v>
      </c>
      <c r="G1052" s="12"/>
      <c r="H1052" s="401"/>
      <c r="I1052" s="12"/>
      <c r="J1052" s="12"/>
      <c r="K1052" s="12"/>
      <c r="L1052" s="12"/>
      <c r="M1052" s="12"/>
      <c r="N1052" s="12"/>
      <c r="O1052" s="12"/>
      <c r="Q1052" s="12"/>
      <c r="R1052"/>
    </row>
    <row r="1053" spans="1:18">
      <c r="A1053" s="7"/>
      <c r="B1053" s="71"/>
      <c r="C1053" s="39" t="s">
        <v>1596</v>
      </c>
      <c r="D1053" s="406">
        <f>$K$230</f>
        <v>0.25354400596015697</v>
      </c>
      <c r="E1053" s="406">
        <f>$K$284</f>
        <v>0.25301873698771882</v>
      </c>
      <c r="F1053" s="406">
        <f>$K$313</f>
        <v>0.26371666810613381</v>
      </c>
      <c r="G1053" s="12"/>
      <c r="H1053" s="401"/>
      <c r="I1053" s="12"/>
      <c r="J1053" s="12"/>
      <c r="K1053" s="12"/>
      <c r="L1053" s="12"/>
      <c r="M1053" s="12"/>
      <c r="N1053" s="12"/>
      <c r="O1053" s="12"/>
      <c r="Q1053" s="12"/>
      <c r="R1053"/>
    </row>
    <row r="1054" spans="1:18">
      <c r="A1054" s="7"/>
      <c r="B1054" s="71"/>
      <c r="C1054" s="39" t="s">
        <v>1597</v>
      </c>
      <c r="D1054" s="406">
        <f>SUM(D1051:D1053)</f>
        <v>1.0281890767546806</v>
      </c>
      <c r="E1054" s="406">
        <f>SUM(E1051:E1053)</f>
        <v>1.092793267110268</v>
      </c>
      <c r="F1054" s="406">
        <f>SUM(F1051:F1053)</f>
        <v>1.123225399681556</v>
      </c>
      <c r="G1054" s="12"/>
      <c r="H1054" s="401"/>
      <c r="I1054" s="12"/>
      <c r="J1054" s="12"/>
      <c r="K1054" s="12"/>
      <c r="L1054" s="12"/>
      <c r="M1054" s="12"/>
      <c r="N1054" s="12"/>
      <c r="O1054" s="12"/>
      <c r="Q1054" s="12"/>
      <c r="R1054"/>
    </row>
    <row r="1055" spans="1:18">
      <c r="A1055" s="7"/>
      <c r="B1055" s="71"/>
      <c r="C1055" s="39" t="s">
        <v>548</v>
      </c>
      <c r="D1055" s="406">
        <f>SUM($C$864:$C$875)</f>
        <v>47811.663235976092</v>
      </c>
      <c r="E1055" s="406">
        <f>SUM($C$876:$C$887)</f>
        <v>52838.516616579778</v>
      </c>
      <c r="F1055" s="406">
        <f>SUM($C$888:$C$899)</f>
        <v>63932.133985707944</v>
      </c>
      <c r="G1055" s="12"/>
      <c r="H1055" s="401"/>
      <c r="I1055" s="12"/>
      <c r="J1055" s="12"/>
      <c r="K1055" s="12"/>
      <c r="L1055" s="12"/>
      <c r="M1055" s="12"/>
      <c r="N1055" s="12"/>
      <c r="O1055" s="12"/>
      <c r="Q1055" s="12"/>
      <c r="R1055"/>
    </row>
    <row r="1056" spans="1:18">
      <c r="A1056" s="7"/>
      <c r="B1056" s="71"/>
      <c r="C1056" s="39" t="s">
        <v>565</v>
      </c>
      <c r="D1056" s="406">
        <f>SUM($K$864:$K$875)</f>
        <v>37218.885778270327</v>
      </c>
      <c r="E1056" s="406">
        <f>SUM($K$876:$K$887)</f>
        <v>50527.212527978212</v>
      </c>
      <c r="F1056" s="406">
        <f>SUM($K$888:$K$899)</f>
        <v>36379.524321041994</v>
      </c>
      <c r="G1056" s="12"/>
      <c r="H1056" s="401"/>
      <c r="I1056" s="12"/>
      <c r="J1056" s="12"/>
      <c r="K1056" s="12"/>
      <c r="L1056" s="12"/>
      <c r="M1056" s="12"/>
      <c r="N1056" s="12"/>
      <c r="O1056" s="12"/>
      <c r="Q1056" s="12"/>
      <c r="R1056"/>
    </row>
    <row r="1057" spans="1:18">
      <c r="A1057" s="7"/>
      <c r="B1057" s="71"/>
      <c r="C1057" s="39" t="s">
        <v>550</v>
      </c>
      <c r="D1057" s="406">
        <f>SUM($E$864:$E$875)</f>
        <v>10592.77745770577</v>
      </c>
      <c r="E1057" s="406">
        <f>SUM($E$876:$E$887)</f>
        <v>2311.3040886015642</v>
      </c>
      <c r="F1057" s="406">
        <f>SUM($E$888:$E$899)</f>
        <v>27552.609664665961</v>
      </c>
      <c r="G1057" s="12"/>
      <c r="H1057" s="401"/>
      <c r="I1057" s="12"/>
      <c r="J1057" s="12"/>
      <c r="K1057" s="12"/>
      <c r="L1057" s="12"/>
      <c r="M1057" s="12"/>
      <c r="N1057" s="12"/>
      <c r="O1057" s="12"/>
      <c r="Q1057" s="12"/>
      <c r="R1057"/>
    </row>
    <row r="1058" spans="1:18">
      <c r="A1058" s="7"/>
      <c r="B1058" s="71"/>
      <c r="C1058" s="39" t="s">
        <v>113</v>
      </c>
      <c r="D1058" s="406">
        <f>D1056*D1049+D1050*D1057</f>
        <v>122822.32306829207</v>
      </c>
      <c r="E1058" s="406">
        <f>E1056*E1049+E1050*E1057</f>
        <v>166739.80134232808</v>
      </c>
      <c r="F1058" s="406">
        <f>F1056*F1049+F1050*F1057</f>
        <v>120052.43025943858</v>
      </c>
      <c r="G1058" s="12"/>
      <c r="H1058" s="401"/>
      <c r="I1058" s="12"/>
      <c r="J1058" s="12"/>
      <c r="K1058" s="12"/>
      <c r="L1058" s="12"/>
      <c r="M1058" s="12"/>
      <c r="N1058" s="12"/>
      <c r="O1058" s="12"/>
      <c r="Q1058" s="12"/>
      <c r="R1058"/>
    </row>
    <row r="1059" spans="1:18">
      <c r="A1059" s="7"/>
      <c r="B1059" s="71"/>
      <c r="C1059" s="39" t="s">
        <v>112</v>
      </c>
      <c r="D1059" s="406">
        <f>D1055*D1054</f>
        <v>49159.429880703967</v>
      </c>
      <c r="E1059" s="406">
        <f>E1055*E1054</f>
        <v>57741.575202692402</v>
      </c>
      <c r="F1059" s="406">
        <f>F1055*F1054</f>
        <v>71810.196748591596</v>
      </c>
      <c r="G1059" s="12"/>
      <c r="H1059" s="401"/>
      <c r="I1059" s="12"/>
      <c r="J1059" s="12"/>
      <c r="K1059" s="12"/>
      <c r="L1059" s="12"/>
      <c r="M1059" s="12"/>
      <c r="N1059" s="12"/>
      <c r="O1059" s="12"/>
      <c r="Q1059" s="12"/>
      <c r="R1059"/>
    </row>
    <row r="1060" spans="1:18">
      <c r="A1060" s="7"/>
      <c r="B1060" s="71"/>
      <c r="C1060" s="39" t="s">
        <v>111</v>
      </c>
      <c r="D1060" s="406">
        <f>D1058-D1059</f>
        <v>73662.89318758811</v>
      </c>
      <c r="E1060" s="406">
        <f>E1058-E1059</f>
        <v>108998.22613963568</v>
      </c>
      <c r="F1060" s="406">
        <f>F1058-F1059</f>
        <v>48242.233510846985</v>
      </c>
      <c r="G1060" s="12"/>
      <c r="H1060" s="401"/>
      <c r="I1060" s="12"/>
      <c r="J1060" s="12"/>
      <c r="K1060" s="12"/>
      <c r="L1060" s="12"/>
      <c r="M1060" s="12"/>
      <c r="N1060" s="12"/>
      <c r="O1060" s="12"/>
      <c r="Q1060" s="12"/>
      <c r="R1060"/>
    </row>
    <row r="1061" spans="1:18">
      <c r="A1061" s="7"/>
      <c r="B1061" s="71" t="s">
        <v>590</v>
      </c>
      <c r="C1061" s="39" t="s">
        <v>368</v>
      </c>
      <c r="D1061" s="406">
        <f>$K$243</f>
        <v>3.3</v>
      </c>
      <c r="E1061" s="406">
        <f>$K$243</f>
        <v>3.3</v>
      </c>
      <c r="F1061" s="406">
        <f>$K$243</f>
        <v>3.3</v>
      </c>
      <c r="G1061" s="12"/>
      <c r="H1061" s="401"/>
      <c r="I1061" s="12"/>
      <c r="J1061" s="12"/>
      <c r="K1061" s="12"/>
      <c r="L1061" s="12"/>
      <c r="M1061" s="12"/>
      <c r="N1061" s="12"/>
      <c r="O1061" s="12"/>
      <c r="Q1061" s="12"/>
      <c r="R1061"/>
    </row>
    <row r="1062" spans="1:18">
      <c r="A1062" s="7"/>
      <c r="B1062" s="71"/>
      <c r="C1062" s="39" t="s">
        <v>563</v>
      </c>
      <c r="D1062" s="406">
        <f>IF(D1061&gt;=SpO_BR01_08, SpO_BR01_08, 0)</f>
        <v>0</v>
      </c>
      <c r="E1062" s="406">
        <f>IF(E1061&gt;=SpO_BR01_08, SpO_BR01_08, 0)</f>
        <v>0</v>
      </c>
      <c r="F1062" s="406">
        <f>IF(F1061&gt;=SpO_BR01_08, SpO_BR01_08, 0)</f>
        <v>0</v>
      </c>
      <c r="G1062" s="12"/>
      <c r="H1062" s="401"/>
      <c r="I1062" s="12"/>
      <c r="J1062" s="12"/>
      <c r="K1062" s="12"/>
      <c r="L1062" s="12"/>
      <c r="M1062" s="12"/>
      <c r="N1062" s="12"/>
      <c r="O1062" s="12"/>
      <c r="Q1062" s="12"/>
      <c r="R1062"/>
    </row>
    <row r="1063" spans="1:18">
      <c r="A1063" s="7"/>
      <c r="B1063" s="71"/>
      <c r="C1063" s="39" t="s">
        <v>564</v>
      </c>
      <c r="D1063" s="406">
        <f>$K$240</f>
        <v>0.52929287692884741</v>
      </c>
      <c r="E1063" s="406">
        <f>$K$285</f>
        <v>0.53484453253753894</v>
      </c>
      <c r="F1063" s="406">
        <f>$K$314</f>
        <v>0.61173523160581156</v>
      </c>
      <c r="G1063" s="12"/>
      <c r="H1063" s="401"/>
      <c r="I1063" s="12"/>
      <c r="J1063" s="12"/>
      <c r="K1063" s="12"/>
      <c r="L1063" s="12"/>
      <c r="M1063" s="12"/>
      <c r="N1063" s="12"/>
      <c r="O1063" s="12"/>
      <c r="Q1063" s="12"/>
      <c r="R1063"/>
    </row>
    <row r="1064" spans="1:18">
      <c r="A1064" s="7"/>
      <c r="B1064" s="71"/>
      <c r="C1064" s="39" t="s">
        <v>64</v>
      </c>
      <c r="D1064" s="406">
        <f>$K$241</f>
        <v>0.27496916416118083</v>
      </c>
      <c r="E1064" s="406">
        <f>$K$286</f>
        <v>0.29735741547702943</v>
      </c>
      <c r="F1064" s="406">
        <f>$K$315</f>
        <v>0.35633967716046583</v>
      </c>
      <c r="G1064" s="12"/>
      <c r="H1064" s="401"/>
      <c r="I1064" s="12"/>
      <c r="J1064" s="12"/>
      <c r="K1064" s="12"/>
      <c r="L1064" s="12"/>
      <c r="M1064" s="12"/>
      <c r="N1064" s="12"/>
      <c r="O1064" s="12"/>
      <c r="Q1064" s="12"/>
      <c r="R1064"/>
    </row>
    <row r="1065" spans="1:18">
      <c r="A1065" s="7"/>
      <c r="B1065" s="71"/>
      <c r="C1065" s="39" t="s">
        <v>1596</v>
      </c>
      <c r="D1065" s="406">
        <f>$K$242</f>
        <v>0.27624278161467497</v>
      </c>
      <c r="E1065" s="406">
        <f>$K$287</f>
        <v>0.29584230280053414</v>
      </c>
      <c r="F1065" s="406">
        <f>$K$316</f>
        <v>0.32609357655708088</v>
      </c>
      <c r="G1065" s="12"/>
      <c r="H1065" s="401"/>
      <c r="I1065" s="12"/>
      <c r="J1065" s="12"/>
      <c r="K1065" s="12"/>
      <c r="L1065" s="12"/>
      <c r="M1065" s="12"/>
      <c r="N1065" s="12"/>
      <c r="O1065" s="12"/>
      <c r="Q1065" s="12"/>
      <c r="R1065"/>
    </row>
    <row r="1066" spans="1:18">
      <c r="A1066" s="7"/>
      <c r="B1066" s="71"/>
      <c r="C1066" s="39" t="s">
        <v>1597</v>
      </c>
      <c r="D1066" s="406">
        <f>SUM(D1063:D1065)</f>
        <v>1.0805048227047034</v>
      </c>
      <c r="E1066" s="406">
        <f>SUM(E1063:E1065)</f>
        <v>1.1280442508151025</v>
      </c>
      <c r="F1066" s="406">
        <f>SUM(F1063:F1065)</f>
        <v>1.2941684853233584</v>
      </c>
      <c r="G1066" s="12"/>
      <c r="H1066" s="401"/>
      <c r="I1066" s="12"/>
      <c r="J1066" s="12"/>
      <c r="K1066" s="12"/>
      <c r="L1066" s="12"/>
      <c r="M1066" s="12"/>
      <c r="N1066" s="12"/>
      <c r="O1066" s="12"/>
      <c r="Q1066" s="12"/>
      <c r="R1066"/>
    </row>
    <row r="1067" spans="1:18">
      <c r="A1067" s="7"/>
      <c r="B1067" s="71"/>
      <c r="C1067" s="39" t="s">
        <v>548</v>
      </c>
      <c r="D1067" s="406">
        <f>SUM($C$900:$C$911)</f>
        <v>62023.871901330385</v>
      </c>
      <c r="E1067" s="406">
        <f>SUM($C$912:$C$923)</f>
        <v>59834.495994555808</v>
      </c>
      <c r="F1067" s="406">
        <f>SUM($C$924:$C$935)</f>
        <v>62838.285930054662</v>
      </c>
      <c r="G1067" s="12"/>
      <c r="H1067" s="401"/>
      <c r="I1067" s="12"/>
      <c r="J1067" s="12"/>
      <c r="K1067" s="12"/>
      <c r="L1067" s="12"/>
      <c r="M1067" s="12"/>
      <c r="N1067" s="12"/>
      <c r="O1067" s="12"/>
      <c r="Q1067" s="12"/>
      <c r="R1067"/>
    </row>
    <row r="1068" spans="1:18">
      <c r="A1068" s="7"/>
      <c r="B1068" s="71"/>
      <c r="C1068" s="39" t="s">
        <v>565</v>
      </c>
      <c r="D1068" s="406">
        <f>SUM($K$900:$K$911)</f>
        <v>60715.09466842391</v>
      </c>
      <c r="E1068" s="406">
        <f>SUM($K$912:$K$923)</f>
        <v>25617.650654863388</v>
      </c>
      <c r="F1068" s="406">
        <f>SUM($K$924:$K$935)</f>
        <v>37638.767087910579</v>
      </c>
      <c r="G1068" s="12"/>
      <c r="H1068" s="401"/>
      <c r="I1068" s="12"/>
      <c r="J1068" s="12"/>
      <c r="K1068" s="12"/>
      <c r="L1068" s="12"/>
      <c r="M1068" s="12"/>
      <c r="N1068" s="12"/>
      <c r="O1068" s="12"/>
      <c r="Q1068" s="12"/>
      <c r="R1068"/>
    </row>
    <row r="1069" spans="1:18">
      <c r="A1069" s="7"/>
      <c r="B1069" s="71"/>
      <c r="C1069" s="39" t="s">
        <v>550</v>
      </c>
      <c r="D1069" s="406">
        <f>SUM($E$900:$E$911)</f>
        <v>1308.7772329064737</v>
      </c>
      <c r="E1069" s="406">
        <f>SUM($E$912:$E$923)</f>
        <v>34216.845339692431</v>
      </c>
      <c r="F1069" s="406">
        <f>SUM($E$924:$E$935)</f>
        <v>25199.518842144076</v>
      </c>
      <c r="G1069" s="12"/>
      <c r="H1069" s="401"/>
      <c r="I1069" s="12"/>
      <c r="J1069" s="12"/>
      <c r="K1069" s="12"/>
      <c r="L1069" s="12"/>
      <c r="M1069" s="12"/>
      <c r="N1069" s="12"/>
      <c r="O1069" s="12"/>
      <c r="Q1069" s="12"/>
      <c r="R1069"/>
    </row>
    <row r="1070" spans="1:18">
      <c r="A1070" s="7"/>
      <c r="B1070" s="71"/>
      <c r="C1070" s="39" t="s">
        <v>113</v>
      </c>
      <c r="D1070" s="406">
        <f>D1068*D1061+D1062*D1069</f>
        <v>200359.8124057989</v>
      </c>
      <c r="E1070" s="406">
        <f>E1068*E1061+E1062*E1069</f>
        <v>84538.247161049178</v>
      </c>
      <c r="F1070" s="406">
        <f>F1068*F1061+F1062*F1069</f>
        <v>124207.9313901049</v>
      </c>
      <c r="G1070" s="12"/>
      <c r="H1070" s="401"/>
      <c r="I1070" s="12"/>
      <c r="J1070" s="12"/>
      <c r="K1070" s="12"/>
      <c r="L1070" s="12"/>
      <c r="M1070" s="12"/>
      <c r="N1070" s="12"/>
      <c r="O1070" s="12"/>
      <c r="Q1070" s="12"/>
      <c r="R1070"/>
    </row>
    <row r="1071" spans="1:18">
      <c r="A1071" s="7"/>
      <c r="B1071" s="71"/>
      <c r="C1071" s="39" t="s">
        <v>112</v>
      </c>
      <c r="D1071" s="406">
        <f>D1067*D1066</f>
        <v>67017.092712206228</v>
      </c>
      <c r="E1071" s="406">
        <f>E1067*E1066</f>
        <v>67495.959207077962</v>
      </c>
      <c r="F1071" s="406">
        <f>F1067*F1066</f>
        <v>81323.329322414938</v>
      </c>
      <c r="G1071" s="12"/>
      <c r="H1071" s="401"/>
      <c r="I1071" s="12"/>
      <c r="J1071" s="12"/>
      <c r="K1071" s="12"/>
      <c r="L1071" s="12"/>
      <c r="M1071" s="12"/>
      <c r="N1071" s="12"/>
      <c r="O1071" s="12"/>
      <c r="Q1071" s="12"/>
      <c r="R1071"/>
    </row>
    <row r="1072" spans="1:18">
      <c r="A1072" s="7"/>
      <c r="B1072" s="71"/>
      <c r="C1072" s="39" t="s">
        <v>111</v>
      </c>
      <c r="D1072" s="406">
        <f>D1070-D1071</f>
        <v>133342.71969359269</v>
      </c>
      <c r="E1072" s="406">
        <f>E1070-E1071</f>
        <v>17042.287953971216</v>
      </c>
      <c r="F1072" s="406">
        <f>F1070-F1071</f>
        <v>42884.602067689964</v>
      </c>
      <c r="G1072" s="12"/>
      <c r="H1072" s="401"/>
      <c r="I1072" s="12"/>
      <c r="J1072" s="12"/>
      <c r="K1072" s="12"/>
      <c r="L1072" s="12"/>
      <c r="M1072" s="12"/>
      <c r="N1072" s="12"/>
      <c r="O1072" s="12"/>
      <c r="Q1072" s="12"/>
      <c r="R1072"/>
    </row>
    <row r="1073" spans="1:18">
      <c r="A1073" s="7"/>
      <c r="B1073" s="71" t="s">
        <v>591</v>
      </c>
      <c r="C1073" s="39" t="s">
        <v>368</v>
      </c>
      <c r="D1073" s="406">
        <f>$K$255</f>
        <v>6</v>
      </c>
      <c r="E1073" s="406">
        <f>$K$255</f>
        <v>6</v>
      </c>
      <c r="F1073" s="406">
        <f>$K$255</f>
        <v>6</v>
      </c>
      <c r="G1073" s="12"/>
      <c r="H1073" s="401"/>
      <c r="I1073" s="12"/>
      <c r="J1073" s="12"/>
      <c r="K1073" s="12"/>
      <c r="L1073" s="12"/>
      <c r="M1073" s="12"/>
      <c r="N1073" s="12"/>
      <c r="O1073" s="12"/>
      <c r="Q1073" s="12"/>
      <c r="R1073"/>
    </row>
    <row r="1074" spans="1:18">
      <c r="A1074" s="7"/>
      <c r="B1074" s="71"/>
      <c r="C1074" s="39" t="s">
        <v>563</v>
      </c>
      <c r="D1074" s="406">
        <f>IF(D1073&gt;=SpO_BR01_09, SpO_BR01_09, 0)</f>
        <v>6</v>
      </c>
      <c r="E1074" s="406">
        <f>IF(E1073&gt;=SpO_BR01_09, SpO_BR01_09, 0)</f>
        <v>6</v>
      </c>
      <c r="F1074" s="406">
        <f>IF(F1073&gt;=SpO_BR01_09, SpO_BR01_09, 0)</f>
        <v>6</v>
      </c>
      <c r="G1074" s="12"/>
      <c r="H1074" s="401"/>
      <c r="I1074" s="12"/>
      <c r="J1074" s="12"/>
      <c r="K1074" s="12"/>
      <c r="L1074" s="12"/>
      <c r="M1074" s="12"/>
      <c r="N1074" s="12"/>
      <c r="O1074" s="12"/>
      <c r="Q1074" s="12"/>
      <c r="R1074"/>
    </row>
    <row r="1075" spans="1:18">
      <c r="A1075" s="7"/>
      <c r="B1075" s="71"/>
      <c r="C1075" s="39" t="s">
        <v>564</v>
      </c>
      <c r="D1075" s="406">
        <f>$K$252</f>
        <v>0.5291709760503005</v>
      </c>
      <c r="E1075" s="406">
        <f>$K$288</f>
        <v>0.56260500675767222</v>
      </c>
      <c r="F1075" s="406">
        <f>$K$317</f>
        <v>0.61568708409682749</v>
      </c>
      <c r="G1075" s="12"/>
      <c r="H1075" s="401"/>
      <c r="I1075" s="12"/>
      <c r="J1075" s="12"/>
      <c r="K1075" s="12"/>
      <c r="L1075" s="12"/>
      <c r="M1075" s="12"/>
      <c r="N1075" s="12"/>
      <c r="O1075" s="12"/>
      <c r="Q1075" s="12"/>
      <c r="R1075"/>
    </row>
    <row r="1076" spans="1:18">
      <c r="A1076" s="7"/>
      <c r="B1076" s="71"/>
      <c r="C1076" s="39" t="s">
        <v>64</v>
      </c>
      <c r="D1076" s="406">
        <f>$K$253</f>
        <v>0.32172357267421325</v>
      </c>
      <c r="E1076" s="406">
        <f>$K$289</f>
        <v>0.31190604691739543</v>
      </c>
      <c r="F1076" s="406">
        <f>$K$318</f>
        <v>0.35534553657725343</v>
      </c>
      <c r="G1076" s="12"/>
      <c r="H1076" s="401"/>
      <c r="I1076" s="12"/>
      <c r="J1076" s="12"/>
      <c r="K1076" s="12"/>
      <c r="L1076" s="12"/>
      <c r="M1076" s="12"/>
      <c r="N1076" s="12"/>
      <c r="O1076" s="12"/>
      <c r="Q1076" s="12"/>
      <c r="R1076"/>
    </row>
    <row r="1077" spans="1:18">
      <c r="A1077" s="7"/>
      <c r="B1077" s="71"/>
      <c r="C1077" s="39" t="s">
        <v>1596</v>
      </c>
      <c r="D1077" s="406">
        <f>$K$254</f>
        <v>0.31078236419114735</v>
      </c>
      <c r="E1077" s="406">
        <f>$K$290</f>
        <v>0.29437320452503629</v>
      </c>
      <c r="F1077" s="406">
        <f>$K$319</f>
        <v>0.28161046518903948</v>
      </c>
      <c r="G1077" s="12"/>
      <c r="H1077" s="401"/>
      <c r="I1077" s="12"/>
      <c r="J1077" s="12"/>
      <c r="K1077" s="12"/>
      <c r="L1077" s="12"/>
      <c r="M1077" s="12"/>
      <c r="N1077" s="12"/>
      <c r="O1077" s="12"/>
      <c r="Q1077" s="12"/>
      <c r="R1077"/>
    </row>
    <row r="1078" spans="1:18">
      <c r="A1078" s="7"/>
      <c r="B1078" s="71"/>
      <c r="C1078" s="39" t="s">
        <v>1597</v>
      </c>
      <c r="D1078" s="406">
        <f>SUM(D1075:D1077)</f>
        <v>1.1616769129156612</v>
      </c>
      <c r="E1078" s="406">
        <f>SUM(E1075:E1077)</f>
        <v>1.168884258200104</v>
      </c>
      <c r="F1078" s="406">
        <f>SUM(F1075:F1077)</f>
        <v>1.2526430858631203</v>
      </c>
      <c r="G1078" s="12"/>
      <c r="H1078" s="401"/>
      <c r="I1078" s="12"/>
      <c r="J1078" s="12"/>
      <c r="K1078" s="12"/>
      <c r="L1078" s="12"/>
      <c r="M1078" s="12"/>
      <c r="N1078" s="12"/>
      <c r="O1078" s="12"/>
      <c r="Q1078" s="12"/>
      <c r="R1078"/>
    </row>
    <row r="1079" spans="1:18">
      <c r="A1079" s="7"/>
      <c r="B1079" s="71"/>
      <c r="C1079" s="39" t="s">
        <v>548</v>
      </c>
      <c r="D1079" s="406">
        <f>SUM($C$936:$C$947)</f>
        <v>3579.7011498400025</v>
      </c>
      <c r="E1079" s="406">
        <f>SUM($C$948:$C$959)</f>
        <v>1808.0762069999964</v>
      </c>
      <c r="F1079" s="406">
        <f>SUM($C$960:$C$971)</f>
        <v>803.43972863999625</v>
      </c>
      <c r="G1079" s="12"/>
      <c r="H1079" s="401"/>
      <c r="I1079" s="12"/>
      <c r="J1079" s="12"/>
      <c r="K1079" s="12"/>
      <c r="L1079" s="12"/>
      <c r="M1079" s="12"/>
      <c r="N1079" s="12"/>
      <c r="O1079" s="12"/>
      <c r="Q1079" s="12"/>
      <c r="R1079"/>
    </row>
    <row r="1080" spans="1:18">
      <c r="A1080" s="7"/>
      <c r="B1080" s="71"/>
      <c r="C1080" s="39" t="s">
        <v>565</v>
      </c>
      <c r="D1080" s="406">
        <f>SUM($K$936:$K$947)</f>
        <v>3579.7011498400025</v>
      </c>
      <c r="E1080" s="406">
        <f>SUM($K$948:$K$959)</f>
        <v>1808.0762069999964</v>
      </c>
      <c r="F1080" s="406">
        <f>SUM($K$960:$K$971)</f>
        <v>803.43972863999625</v>
      </c>
      <c r="G1080" s="12"/>
      <c r="H1080" s="401"/>
      <c r="I1080" s="12"/>
      <c r="J1080" s="12"/>
      <c r="K1080" s="12"/>
      <c r="L1080" s="12"/>
      <c r="M1080" s="12"/>
      <c r="N1080" s="12"/>
      <c r="O1080" s="12"/>
      <c r="Q1080" s="12"/>
      <c r="R1080"/>
    </row>
    <row r="1081" spans="1:18">
      <c r="A1081" s="7"/>
      <c r="B1081" s="71"/>
      <c r="C1081" s="39" t="s">
        <v>550</v>
      </c>
      <c r="D1081" s="406">
        <f>SUM($E$936:$E$947)</f>
        <v>0</v>
      </c>
      <c r="E1081" s="406">
        <f>SUM($E$948:$E$959)</f>
        <v>0</v>
      </c>
      <c r="F1081" s="406">
        <f>SUM($E$960:$E$971)</f>
        <v>0</v>
      </c>
      <c r="G1081" s="12"/>
      <c r="H1081" s="401"/>
      <c r="I1081" s="12"/>
      <c r="J1081" s="12"/>
      <c r="K1081" s="12"/>
      <c r="L1081" s="12"/>
      <c r="M1081" s="12"/>
      <c r="N1081" s="12"/>
      <c r="O1081" s="12"/>
      <c r="Q1081" s="12"/>
      <c r="R1081"/>
    </row>
    <row r="1082" spans="1:18">
      <c r="A1082" s="7"/>
      <c r="B1082" s="71"/>
      <c r="C1082" s="39" t="s">
        <v>113</v>
      </c>
      <c r="D1082" s="406">
        <f>D1080*D1073+D1074*D1081</f>
        <v>21478.206899040015</v>
      </c>
      <c r="E1082" s="406">
        <f>E1080*E1073+E1074*E1081</f>
        <v>10848.457241999979</v>
      </c>
      <c r="F1082" s="406">
        <f>F1080*F1073+F1074*F1081</f>
        <v>4820.6383718399775</v>
      </c>
      <c r="G1082" s="12"/>
      <c r="H1082" s="401"/>
      <c r="I1082" s="12"/>
      <c r="J1082" s="12"/>
      <c r="K1082" s="12"/>
      <c r="L1082" s="12"/>
      <c r="M1082" s="12"/>
      <c r="N1082" s="12"/>
      <c r="O1082" s="12"/>
      <c r="Q1082" s="12"/>
      <c r="R1082"/>
    </row>
    <row r="1083" spans="1:18">
      <c r="A1083" s="7"/>
      <c r="B1083" s="71"/>
      <c r="C1083" s="39" t="s">
        <v>112</v>
      </c>
      <c r="D1083" s="406">
        <f>D1079*D1078</f>
        <v>4158.4561809067773</v>
      </c>
      <c r="E1083" s="406">
        <f>E1079*E1078</f>
        <v>2113.4318159884483</v>
      </c>
      <c r="F1083" s="406">
        <f>F1079*F1078</f>
        <v>1006.4232209886329</v>
      </c>
      <c r="G1083" s="12"/>
      <c r="H1083" s="401"/>
      <c r="I1083" s="12"/>
      <c r="J1083" s="12"/>
      <c r="K1083" s="12"/>
      <c r="L1083" s="12"/>
      <c r="M1083" s="12"/>
      <c r="N1083" s="12"/>
      <c r="O1083" s="12"/>
      <c r="Q1083" s="12"/>
      <c r="R1083"/>
    </row>
    <row r="1084" spans="1:18">
      <c r="A1084" s="7"/>
      <c r="B1084" s="71"/>
      <c r="C1084" s="39" t="s">
        <v>111</v>
      </c>
      <c r="D1084" s="406">
        <f>D1082-D1083</f>
        <v>17319.750718133237</v>
      </c>
      <c r="E1084" s="406">
        <f>E1082-E1083</f>
        <v>8735.0254260115307</v>
      </c>
      <c r="F1084" s="406">
        <f>F1082-F1083</f>
        <v>3814.2151508513443</v>
      </c>
      <c r="G1084" s="12"/>
      <c r="H1084" s="401"/>
      <c r="I1084" s="12"/>
      <c r="J1084" s="12"/>
      <c r="K1084" s="12"/>
      <c r="L1084" s="12"/>
      <c r="M1084" s="12"/>
      <c r="N1084" s="12"/>
      <c r="O1084" s="12"/>
      <c r="Q1084" s="12"/>
      <c r="R1084"/>
    </row>
    <row r="1085" spans="1:18">
      <c r="A1085" s="74"/>
      <c r="B1085" s="71"/>
      <c r="C1085" s="39"/>
      <c r="D1085" s="406"/>
      <c r="E1085" s="406"/>
      <c r="F1085" s="406"/>
      <c r="G1085" s="12"/>
      <c r="H1085" s="12"/>
      <c r="I1085" s="12"/>
      <c r="J1085" s="12"/>
      <c r="K1085" s="12"/>
      <c r="L1085" s="12"/>
      <c r="M1085" s="12"/>
      <c r="N1085" s="12"/>
      <c r="O1085" s="12"/>
      <c r="Q1085" s="12"/>
      <c r="R1085"/>
    </row>
    <row r="1086" spans="1:18">
      <c r="A1086" s="7"/>
      <c r="B1086" s="71"/>
      <c r="C1086" s="40" t="s">
        <v>369</v>
      </c>
      <c r="D1086" s="407">
        <f>$K68</f>
        <v>61500</v>
      </c>
      <c r="E1086" s="408">
        <f>$K69</f>
        <v>66615</v>
      </c>
      <c r="F1086" s="408">
        <f>$K70</f>
        <v>77013</v>
      </c>
      <c r="G1086" s="397"/>
      <c r="H1086" s="397"/>
      <c r="I1086" s="397"/>
      <c r="J1086" s="397"/>
      <c r="K1086" s="397"/>
      <c r="L1086" s="397"/>
      <c r="M1086" s="397"/>
      <c r="N1086" s="397"/>
      <c r="O1086" s="397"/>
      <c r="Q1086" s="12"/>
      <c r="R1086"/>
    </row>
    <row r="1087" spans="1:18">
      <c r="A1087" s="7"/>
      <c r="B1087" s="71"/>
      <c r="C1087" s="40" t="s">
        <v>387</v>
      </c>
      <c r="D1087" s="407">
        <f>$K89</f>
        <v>25000</v>
      </c>
      <c r="E1087" s="408">
        <f>$K90</f>
        <v>33675</v>
      </c>
      <c r="F1087" s="408">
        <f>$K91</f>
        <v>36135</v>
      </c>
      <c r="G1087" s="397"/>
      <c r="H1087" s="397"/>
      <c r="I1087" s="397"/>
      <c r="J1087" s="397"/>
      <c r="K1087" s="397"/>
      <c r="L1087" s="397"/>
      <c r="M1087" s="397"/>
      <c r="N1087" s="397"/>
      <c r="O1087" s="397"/>
      <c r="Q1087" s="12"/>
      <c r="R1087"/>
    </row>
    <row r="1088" spans="1:18">
      <c r="A1088" s="7"/>
      <c r="B1088" s="71"/>
      <c r="C1088" s="40" t="s">
        <v>366</v>
      </c>
      <c r="D1088" s="407">
        <f>$K113</f>
        <v>51500</v>
      </c>
      <c r="E1088" s="408">
        <f>$K114</f>
        <v>51200</v>
      </c>
      <c r="F1088" s="408">
        <f>$K115</f>
        <v>59145</v>
      </c>
      <c r="G1088" s="397"/>
      <c r="H1088" s="397"/>
      <c r="I1088" s="397"/>
      <c r="J1088" s="397"/>
      <c r="K1088" s="397"/>
      <c r="L1088" s="397"/>
      <c r="M1088" s="397"/>
      <c r="N1088" s="397"/>
      <c r="O1088" s="397"/>
      <c r="Q1088" s="12"/>
      <c r="R1088"/>
    </row>
    <row r="1089" spans="1:18">
      <c r="A1089" s="7"/>
      <c r="B1089" s="71"/>
      <c r="C1089" s="40" t="s">
        <v>83</v>
      </c>
      <c r="D1089" s="407">
        <f>$K123</f>
        <v>5000</v>
      </c>
      <c r="E1089" s="408">
        <f>$K124</f>
        <v>5400</v>
      </c>
      <c r="F1089" s="408">
        <f>$K125</f>
        <v>6264</v>
      </c>
      <c r="G1089" s="397"/>
      <c r="H1089" s="397"/>
      <c r="I1089" s="397"/>
      <c r="J1089" s="397"/>
      <c r="K1089" s="397"/>
      <c r="L1089" s="397"/>
      <c r="M1089" s="397"/>
      <c r="N1089" s="397"/>
      <c r="O1089" s="397"/>
      <c r="Q1089" s="12"/>
      <c r="R1089"/>
    </row>
    <row r="1090" spans="1:18">
      <c r="A1090" s="7"/>
      <c r="B1090" s="71"/>
      <c r="C1090" s="396" t="s">
        <v>108</v>
      </c>
      <c r="D1090" s="407">
        <f>$K134</f>
        <v>21697.57</v>
      </c>
      <c r="E1090" s="408">
        <f>$K135</f>
        <v>21697.57</v>
      </c>
      <c r="F1090" s="408">
        <f>$K136</f>
        <v>21697.57</v>
      </c>
      <c r="G1090" s="398"/>
      <c r="H1090" s="398"/>
      <c r="I1090" s="398"/>
      <c r="J1090" s="398"/>
      <c r="K1090" s="398"/>
      <c r="L1090" s="398"/>
      <c r="M1090" s="398"/>
      <c r="N1090" s="398"/>
      <c r="O1090" s="398"/>
      <c r="Q1090" s="12"/>
      <c r="R1090"/>
    </row>
    <row r="1091" spans="1:18">
      <c r="A1091" s="7"/>
      <c r="B1091" s="71"/>
      <c r="C1091" s="12"/>
      <c r="D1091" s="406"/>
      <c r="E1091" s="406"/>
      <c r="F1091" s="406"/>
      <c r="G1091" s="12"/>
      <c r="H1091" s="12"/>
      <c r="I1091" s="12"/>
      <c r="J1091" s="12"/>
      <c r="K1091" s="12"/>
      <c r="L1091" s="12"/>
      <c r="M1091" s="12"/>
      <c r="N1091" s="12"/>
      <c r="O1091" s="12"/>
      <c r="Q1091" s="12"/>
      <c r="R1091"/>
    </row>
    <row r="1092" spans="1:18">
      <c r="A1092" s="7"/>
      <c r="B1092" s="71"/>
      <c r="C1092" s="39" t="s">
        <v>107</v>
      </c>
      <c r="D1092" s="409">
        <f>SUM(D1086:D1090)</f>
        <v>164697.57</v>
      </c>
      <c r="E1092" s="409">
        <f>SUM(E1086:E1090)</f>
        <v>178587.57</v>
      </c>
      <c r="F1092" s="409">
        <f>SUM(F1086:F1090)</f>
        <v>200254.57</v>
      </c>
      <c r="G1092" s="397"/>
      <c r="H1092" s="397"/>
      <c r="I1092" s="397"/>
      <c r="J1092" s="397"/>
      <c r="K1092" s="397"/>
      <c r="L1092" s="397"/>
      <c r="M1092" s="397"/>
      <c r="N1092" s="397"/>
      <c r="O1092" s="397"/>
      <c r="Q1092" s="12"/>
      <c r="R1092"/>
    </row>
    <row r="1093" spans="1:18">
      <c r="A1093" s="7"/>
      <c r="B1093" s="71"/>
      <c r="C1093" s="12"/>
      <c r="D1093" s="406"/>
      <c r="E1093" s="406"/>
      <c r="F1093" s="406"/>
      <c r="G1093" s="12"/>
      <c r="H1093" s="12"/>
      <c r="I1093" s="12"/>
      <c r="J1093" s="12"/>
      <c r="K1093" s="12"/>
      <c r="L1093" s="12"/>
      <c r="M1093" s="12"/>
      <c r="N1093" s="12"/>
      <c r="O1093" s="12"/>
      <c r="Q1093" s="12"/>
      <c r="R1093"/>
    </row>
    <row r="1094" spans="1:18">
      <c r="A1094" s="7"/>
      <c r="B1094" s="71"/>
      <c r="C1094" s="12" t="s">
        <v>76</v>
      </c>
      <c r="D1094" s="406">
        <f>$K140</f>
        <v>2625</v>
      </c>
      <c r="E1094" s="406">
        <f>$K142</f>
        <v>4987.5</v>
      </c>
      <c r="F1094" s="406">
        <f>$K144</f>
        <v>4488.75</v>
      </c>
      <c r="G1094" s="12"/>
      <c r="H1094" s="12"/>
      <c r="I1094" s="12"/>
      <c r="J1094" s="12"/>
      <c r="K1094" s="12"/>
      <c r="L1094" s="12"/>
      <c r="M1094" s="12"/>
      <c r="N1094" s="12"/>
      <c r="O1094" s="402"/>
      <c r="Q1094" s="12"/>
      <c r="R1094"/>
    </row>
    <row r="1095" spans="1:18">
      <c r="A1095" s="7"/>
      <c r="B1095" s="71"/>
      <c r="C1095" s="39" t="s">
        <v>126</v>
      </c>
      <c r="D1095" s="409">
        <f>SUMIF(DescriptionMCS,"Contribution",FY1MCS)-D1092</f>
        <v>243535.11974796717</v>
      </c>
      <c r="E1095" s="409">
        <f>SUMIF(DescriptionMCS,"Contribution",FY2MCS)-E1092</f>
        <v>160239.96055578539</v>
      </c>
      <c r="F1095" s="409">
        <f>SUMIF(DescriptionMCS,"Contribution",FY3MCS)-F1092</f>
        <v>109852.09034155484</v>
      </c>
      <c r="G1095" s="397"/>
      <c r="H1095" s="397"/>
      <c r="I1095" s="397"/>
      <c r="J1095" s="397"/>
      <c r="K1095" s="397"/>
      <c r="L1095" s="397"/>
      <c r="M1095" s="397"/>
      <c r="N1095" s="397"/>
      <c r="O1095" s="397"/>
      <c r="Q1095" s="12"/>
      <c r="R1095"/>
    </row>
    <row r="1096" spans="1:18">
      <c r="A1096" s="7"/>
      <c r="B1096" s="71"/>
      <c r="C1096" s="39" t="s">
        <v>391</v>
      </c>
      <c r="D1096" s="406">
        <f>K147</f>
        <v>0.29849999999999999</v>
      </c>
      <c r="E1096" s="406">
        <f>K147</f>
        <v>0.29849999999999999</v>
      </c>
      <c r="F1096" s="406">
        <f>K147</f>
        <v>0.29849999999999999</v>
      </c>
      <c r="G1096" s="398"/>
      <c r="H1096" s="398"/>
      <c r="I1096" s="398"/>
      <c r="J1096" s="398"/>
      <c r="K1096" s="398"/>
      <c r="L1096" s="398"/>
      <c r="M1096" s="398"/>
      <c r="N1096" s="398"/>
      <c r="O1096" s="398"/>
      <c r="Q1096" s="12"/>
      <c r="R1096"/>
    </row>
    <row r="1097" spans="1:18">
      <c r="A1097" s="7"/>
      <c r="B1097" s="71"/>
      <c r="C1097" s="40" t="s">
        <v>105</v>
      </c>
      <c r="D1097" s="400">
        <f>IF(D1095&gt;0,D1095*(1-D1096),D1095)</f>
        <v>170839.88650319897</v>
      </c>
      <c r="E1097" s="400">
        <f>IF(E1095&gt;0,IF(D1097&lt;0,IF(E1095+D1097&gt;0,(E1095+D1097)*(1-E1096),E1095),E1095*(1-E1096)),E1095)</f>
        <v>112408.33232988346</v>
      </c>
      <c r="F1097" s="400">
        <f>IF(F1095&gt;0,IF(E1097&lt;0,IF(F1095+E1097&gt;0,(F1095+E1097)*(1-F1096),F1095),F1095*(1-F1096)),F1095)</f>
        <v>77061.241374600722</v>
      </c>
      <c r="G1097" s="397">
        <f>SUM(D1097:F1097)</f>
        <v>360309.46020768315</v>
      </c>
      <c r="H1097" s="397"/>
      <c r="I1097" s="397"/>
      <c r="J1097" s="397"/>
      <c r="K1097" s="397"/>
      <c r="L1097" s="397"/>
      <c r="M1097" s="397"/>
      <c r="N1097" s="397"/>
      <c r="O1097" s="397"/>
      <c r="Q1097" s="12"/>
      <c r="R1097"/>
    </row>
    <row r="1098" spans="1:18">
      <c r="A1098" s="7"/>
      <c r="B1098" s="71"/>
      <c r="C1098" s="40"/>
      <c r="D1098" s="142"/>
      <c r="E1098" s="403"/>
      <c r="F1098" s="142"/>
      <c r="G1098" s="399"/>
      <c r="H1098" s="399"/>
      <c r="I1098" s="399"/>
      <c r="J1098" s="399"/>
      <c r="K1098" s="399"/>
      <c r="L1098" s="399"/>
      <c r="M1098" s="399"/>
      <c r="N1098" s="399"/>
      <c r="O1098" s="399"/>
      <c r="Q1098" s="12"/>
      <c r="R1098"/>
    </row>
    <row r="1099" spans="1:18">
      <c r="A1099" s="7"/>
      <c r="B1099" s="71"/>
      <c r="C1099" s="35"/>
      <c r="D1099" s="47"/>
      <c r="E1099" s="47"/>
      <c r="F1099" s="47"/>
      <c r="G1099" s="47"/>
      <c r="H1099" s="47"/>
      <c r="I1099" s="47"/>
      <c r="J1099" s="47"/>
      <c r="K1099" s="47"/>
      <c r="L1099" s="47"/>
      <c r="M1099" s="47"/>
      <c r="N1099" s="47"/>
      <c r="O1099" s="47"/>
      <c r="Q1099" s="12"/>
      <c r="R1099"/>
    </row>
    <row r="1100" spans="1:18" ht="15.75">
      <c r="A1100" s="393">
        <v>3</v>
      </c>
      <c r="B1100" s="364" t="s">
        <v>567</v>
      </c>
      <c r="C1100" s="366"/>
      <c r="D1100" s="366"/>
      <c r="E1100" s="366"/>
      <c r="F1100" s="366"/>
      <c r="G1100"/>
      <c r="I1100"/>
      <c r="O1100"/>
      <c r="R1100"/>
    </row>
    <row r="1101" spans="1:18">
      <c r="A1101" s="7"/>
      <c r="B1101" s="12"/>
      <c r="C1101" s="35"/>
      <c r="D1101" s="47"/>
      <c r="E1101" s="47"/>
      <c r="F1101" s="47"/>
      <c r="G1101" s="16"/>
      <c r="H1101" s="16"/>
      <c r="I1101" s="16"/>
      <c r="J1101" s="16"/>
      <c r="K1101" s="16"/>
      <c r="L1101" s="16"/>
      <c r="M1101" s="16"/>
      <c r="N1101" s="16"/>
      <c r="O1101" s="16"/>
      <c r="Q1101" s="12"/>
      <c r="R1101"/>
    </row>
    <row r="1102" spans="1:18">
      <c r="A1102" s="7"/>
      <c r="B1102" s="411" t="s">
        <v>569</v>
      </c>
      <c r="C1102" s="49" t="s">
        <v>568</v>
      </c>
      <c r="D1102" s="41"/>
      <c r="E1102" s="41"/>
      <c r="F1102" s="41"/>
      <c r="G1102" s="41"/>
      <c r="H1102" s="41"/>
      <c r="I1102" s="41"/>
      <c r="J1102" s="41"/>
      <c r="K1102" s="41"/>
      <c r="L1102" s="41"/>
      <c r="M1102" s="41"/>
      <c r="N1102" s="41"/>
      <c r="O1102" s="41"/>
      <c r="P1102" s="12"/>
      <c r="Q1102" s="12"/>
      <c r="R1102"/>
    </row>
    <row r="1103" spans="1:18" ht="15.75">
      <c r="A1103" s="182"/>
      <c r="B1103" s="413" t="s">
        <v>614</v>
      </c>
      <c r="C1103" s="37">
        <v>4</v>
      </c>
      <c r="D1103" s="41"/>
      <c r="E1103" s="41"/>
      <c r="F1103" s="41"/>
      <c r="G1103" s="41"/>
      <c r="H1103" s="41"/>
      <c r="I1103" s="41"/>
      <c r="J1103" s="41"/>
      <c r="K1103" s="41"/>
      <c r="L1103" s="41"/>
      <c r="M1103" s="41"/>
      <c r="N1103" s="41"/>
      <c r="O1103" s="41"/>
      <c r="P1103" s="12"/>
      <c r="Q1103" s="12"/>
      <c r="R1103"/>
    </row>
    <row r="1104" spans="1:18">
      <c r="A1104" s="7"/>
      <c r="B1104" s="412" t="s">
        <v>570</v>
      </c>
      <c r="C1104" s="37">
        <v>30</v>
      </c>
      <c r="D1104" s="47"/>
      <c r="E1104" s="47"/>
      <c r="F1104" s="47"/>
      <c r="G1104" s="47"/>
      <c r="H1104" s="47"/>
      <c r="I1104" s="47"/>
      <c r="J1104" s="47"/>
      <c r="K1104" s="47"/>
      <c r="L1104" s="47"/>
      <c r="M1104" s="47"/>
      <c r="N1104" s="47"/>
      <c r="O1104" s="47"/>
      <c r="Q1104" s="12"/>
      <c r="R1104"/>
    </row>
    <row r="1105" spans="1:18">
      <c r="A1105" s="7"/>
      <c r="B1105" s="1" t="s">
        <v>571</v>
      </c>
      <c r="C1105" s="37">
        <v>0</v>
      </c>
      <c r="D1105" s="201"/>
      <c r="E1105" s="16"/>
      <c r="F1105" s="16"/>
      <c r="G1105" s="16"/>
      <c r="H1105" s="16"/>
      <c r="I1105" s="16"/>
      <c r="J1105" s="16"/>
      <c r="K1105" s="16"/>
      <c r="L1105" s="16"/>
      <c r="M1105" s="16"/>
      <c r="N1105" s="16"/>
      <c r="O1105" s="16"/>
      <c r="Q1105" s="12"/>
      <c r="R1105"/>
    </row>
    <row r="1106" spans="1:18">
      <c r="A1106" s="7"/>
      <c r="B1106" s="1" t="s">
        <v>578</v>
      </c>
      <c r="C1106" s="37">
        <v>1</v>
      </c>
      <c r="D1106" s="201"/>
      <c r="E1106" s="16"/>
      <c r="F1106" s="16"/>
      <c r="G1106" s="16"/>
      <c r="H1106" s="16"/>
      <c r="I1106" s="16"/>
      <c r="J1106" s="16"/>
      <c r="K1106" s="16"/>
      <c r="L1106" s="16"/>
      <c r="M1106" s="16"/>
      <c r="N1106" s="16"/>
      <c r="O1106" s="16"/>
      <c r="Q1106" s="12"/>
      <c r="R1106"/>
    </row>
    <row r="1107" spans="1:18">
      <c r="A1107" s="7"/>
      <c r="B1107" s="1" t="s">
        <v>615</v>
      </c>
      <c r="C1107" s="37">
        <v>4</v>
      </c>
      <c r="D1107" s="201"/>
      <c r="E1107" s="16"/>
      <c r="F1107" s="16"/>
      <c r="G1107" s="16"/>
      <c r="H1107" s="16"/>
      <c r="I1107" s="16"/>
      <c r="J1107" s="16"/>
      <c r="K1107" s="16"/>
      <c r="L1107" s="16"/>
      <c r="M1107" s="16"/>
      <c r="N1107" s="16"/>
      <c r="O1107" s="16"/>
      <c r="Q1107" s="12"/>
      <c r="R1107"/>
    </row>
    <row r="1108" spans="1:18">
      <c r="A1108" s="7"/>
      <c r="C1108" s="37"/>
      <c r="D1108" s="201"/>
      <c r="E1108" s="16"/>
      <c r="F1108" s="16"/>
      <c r="G1108" s="16"/>
      <c r="H1108" s="16"/>
      <c r="I1108" s="16"/>
      <c r="J1108" s="16"/>
      <c r="K1108" s="16"/>
      <c r="L1108" s="16"/>
      <c r="M1108" s="16"/>
      <c r="N1108" s="16"/>
      <c r="O1108" s="16"/>
      <c r="Q1108" s="12"/>
      <c r="R1108"/>
    </row>
    <row r="1109" spans="1:18">
      <c r="A1109" s="7"/>
      <c r="B1109" s="11" t="s">
        <v>579</v>
      </c>
      <c r="C1109" s="49" t="s">
        <v>35</v>
      </c>
      <c r="D1109" s="417" t="s">
        <v>34</v>
      </c>
      <c r="E1109" s="47" t="s">
        <v>33</v>
      </c>
      <c r="F1109" s="47" t="s">
        <v>101</v>
      </c>
      <c r="G1109" s="16"/>
      <c r="H1109" s="16"/>
      <c r="I1109" s="16"/>
      <c r="J1109" s="16"/>
      <c r="K1109" s="16"/>
      <c r="L1109" s="16"/>
      <c r="M1109" s="16"/>
      <c r="N1109" s="16"/>
      <c r="O1109" s="16"/>
      <c r="Q1109" s="12"/>
      <c r="R1109"/>
    </row>
    <row r="1110" spans="1:18">
      <c r="A1110" s="7"/>
      <c r="B1110" s="1" t="s">
        <v>157</v>
      </c>
      <c r="C1110" s="37">
        <v>88147.318078118376</v>
      </c>
      <c r="D1110" s="201">
        <v>75789.24534865802</v>
      </c>
      <c r="E1110" s="16">
        <v>73517.084926303243</v>
      </c>
      <c r="F1110" s="1009">
        <v>279569.28000000003</v>
      </c>
      <c r="G1110" s="16"/>
      <c r="H1110" s="16"/>
      <c r="I1110" s="16"/>
      <c r="J1110" s="16"/>
      <c r="K1110" s="16"/>
      <c r="L1110" s="16"/>
      <c r="M1110" s="16"/>
      <c r="N1110" s="16"/>
      <c r="O1110" s="16"/>
      <c r="Q1110" s="12"/>
      <c r="R1110"/>
    </row>
    <row r="1111" spans="1:18">
      <c r="A1111" s="7"/>
      <c r="B1111" s="1" t="s">
        <v>156</v>
      </c>
      <c r="C1111" s="37">
        <v>180731.86932249292</v>
      </c>
      <c r="D1111" s="201">
        <v>173450.81643897077</v>
      </c>
      <c r="E1111" s="16">
        <v>195175.03374099435</v>
      </c>
      <c r="F1111" s="1009">
        <v>486418.12</v>
      </c>
      <c r="G1111" s="16"/>
      <c r="H1111" s="16"/>
      <c r="I1111" s="16"/>
      <c r="J1111" s="16"/>
      <c r="K1111" s="16"/>
      <c r="L1111" s="16"/>
      <c r="M1111" s="16"/>
      <c r="N1111" s="16"/>
      <c r="O1111" s="16"/>
      <c r="Q1111" s="12"/>
      <c r="R1111"/>
    </row>
    <row r="1112" spans="1:18">
      <c r="A1112" s="7"/>
      <c r="B1112" s="1"/>
      <c r="C1112" s="37"/>
      <c r="D1112" s="201"/>
      <c r="E1112" s="16"/>
      <c r="F1112" s="16"/>
      <c r="G1112" s="16"/>
      <c r="H1112" s="16"/>
      <c r="I1112" s="16"/>
      <c r="J1112" s="16"/>
      <c r="K1112" s="16"/>
      <c r="L1112" s="16"/>
      <c r="M1112" s="16"/>
      <c r="N1112" s="16"/>
      <c r="O1112" s="16"/>
      <c r="Q1112" s="12"/>
      <c r="R1112"/>
    </row>
    <row r="1113" spans="1:18">
      <c r="A1113" s="7"/>
      <c r="B1113" s="414"/>
      <c r="C1113" s="412"/>
      <c r="D1113" s="163"/>
      <c r="E1113" s="12"/>
      <c r="F1113" s="12"/>
      <c r="G1113" s="12"/>
      <c r="H1113" s="401"/>
      <c r="I1113" s="12"/>
      <c r="J1113" s="12"/>
      <c r="K1113" s="12"/>
      <c r="L1113" s="12"/>
      <c r="M1113" s="12"/>
      <c r="N1113" s="12"/>
      <c r="O1113" s="12"/>
      <c r="Q1113" s="12"/>
      <c r="R1113"/>
    </row>
    <row r="1114" spans="1:18" ht="15.75">
      <c r="A1114" s="393">
        <v>3</v>
      </c>
      <c r="B1114" s="364" t="s">
        <v>572</v>
      </c>
      <c r="C1114" s="366"/>
      <c r="D1114" s="366"/>
      <c r="E1114" s="366"/>
      <c r="F1114" s="366"/>
      <c r="G1114"/>
      <c r="I1114"/>
      <c r="O1114"/>
      <c r="R1114"/>
    </row>
    <row r="1115" spans="1:18" ht="15.75">
      <c r="A1115" s="7"/>
      <c r="B1115" s="411"/>
      <c r="C1115" s="415"/>
      <c r="D1115" s="77"/>
      <c r="E1115" s="77"/>
      <c r="F1115" s="77"/>
      <c r="G1115" s="77"/>
      <c r="H1115" s="410" t="s">
        <v>573</v>
      </c>
      <c r="I1115" s="77"/>
      <c r="J1115" s="77"/>
      <c r="K1115" s="410" t="s">
        <v>574</v>
      </c>
      <c r="L1115" s="77"/>
      <c r="M1115" s="77"/>
      <c r="N1115" s="410" t="s">
        <v>575</v>
      </c>
      <c r="O1115" s="77"/>
      <c r="Q1115" s="410" t="s">
        <v>576</v>
      </c>
      <c r="R1115"/>
    </row>
    <row r="1116" spans="1:18" ht="15.75">
      <c r="A1116" s="416" t="s">
        <v>577</v>
      </c>
      <c r="B1116" s="730" t="s">
        <v>457</v>
      </c>
      <c r="C1116" s="410" t="s">
        <v>573</v>
      </c>
      <c r="D1116" s="410" t="s">
        <v>574</v>
      </c>
      <c r="E1116" s="410" t="s">
        <v>575</v>
      </c>
      <c r="F1116" s="410" t="s">
        <v>576</v>
      </c>
      <c r="G1116" s="418" t="s">
        <v>618</v>
      </c>
      <c r="H1116" s="418" t="s">
        <v>580</v>
      </c>
      <c r="I1116" s="418" t="s">
        <v>581</v>
      </c>
      <c r="J1116" s="397"/>
      <c r="K1116" s="418" t="s">
        <v>580</v>
      </c>
      <c r="L1116" s="418" t="s">
        <v>581</v>
      </c>
      <c r="M1116" s="397"/>
      <c r="N1116" s="418" t="s">
        <v>580</v>
      </c>
      <c r="O1116" s="418" t="s">
        <v>581</v>
      </c>
      <c r="Q1116" s="418" t="s">
        <v>580</v>
      </c>
      <c r="R1116" s="418" t="s">
        <v>581</v>
      </c>
    </row>
    <row r="1117" spans="1:18">
      <c r="A1117">
        <v>1</v>
      </c>
      <c r="B1117" s="147">
        <v>-150000</v>
      </c>
      <c r="C1117">
        <v>112943.01969182107</v>
      </c>
      <c r="D1117">
        <v>122381.63795244544</v>
      </c>
      <c r="E1117">
        <v>182883.21256752193</v>
      </c>
      <c r="F1117" s="147">
        <v>418207.87</v>
      </c>
      <c r="G1117">
        <f t="shared" ref="G1117:G1146" si="35">IFERROR(IRR(B1117:E1117),-0.000001)</f>
        <v>0.67478327954226835</v>
      </c>
      <c r="I1117">
        <v>3</v>
      </c>
      <c r="L1117">
        <v>1</v>
      </c>
      <c r="O1117">
        <v>2</v>
      </c>
      <c r="R1117">
        <v>1</v>
      </c>
    </row>
    <row r="1118" spans="1:18">
      <c r="A1118">
        <v>2</v>
      </c>
      <c r="B1118" s="147">
        <v>-150000</v>
      </c>
      <c r="C1118">
        <v>163555.56502807623</v>
      </c>
      <c r="D1118">
        <v>151281.39655015583</v>
      </c>
      <c r="E1118">
        <v>128329.16418628013</v>
      </c>
      <c r="F1118" s="147">
        <v>443166.13</v>
      </c>
      <c r="G1118" s="945">
        <f t="shared" si="35"/>
        <v>0.87280897618556197</v>
      </c>
      <c r="H1118">
        <v>93933.852530891789</v>
      </c>
      <c r="I1118" s="922">
        <v>0</v>
      </c>
      <c r="K1118">
        <v>81893.093541802562</v>
      </c>
      <c r="L1118" s="922">
        <v>1</v>
      </c>
      <c r="N1118">
        <v>81120.706727221434</v>
      </c>
      <c r="O1118" s="922">
        <v>2</v>
      </c>
      <c r="Q1118" s="147">
        <v>292497.33</v>
      </c>
      <c r="R1118" s="922">
        <v>0</v>
      </c>
    </row>
    <row r="1119" spans="1:18">
      <c r="A1119">
        <v>3</v>
      </c>
      <c r="B1119" s="147">
        <v>-150000</v>
      </c>
      <c r="C1119">
        <v>88147.318078118376</v>
      </c>
      <c r="D1119">
        <v>85289.086281623546</v>
      </c>
      <c r="E1119">
        <v>106132.87075709362</v>
      </c>
      <c r="F1119" s="147">
        <v>279569.28000000003</v>
      </c>
      <c r="G1119">
        <f t="shared" si="35"/>
        <v>0.37522454127701499</v>
      </c>
      <c r="H1119">
        <v>99720.386983665201</v>
      </c>
      <c r="I1119" s="922">
        <v>1</v>
      </c>
      <c r="K1119">
        <v>87996.941734947119</v>
      </c>
      <c r="L1119" s="922">
        <v>0</v>
      </c>
      <c r="N1119">
        <v>88724.328528139624</v>
      </c>
      <c r="O1119" s="922">
        <v>1</v>
      </c>
      <c r="Q1119" s="147">
        <v>305425.39</v>
      </c>
      <c r="R1119" s="922">
        <v>0</v>
      </c>
    </row>
    <row r="1120" spans="1:18">
      <c r="A1120">
        <v>4</v>
      </c>
      <c r="B1120" s="147">
        <v>-150000</v>
      </c>
      <c r="C1120">
        <v>154741.85662761374</v>
      </c>
      <c r="D1120">
        <v>163096.24664093117</v>
      </c>
      <c r="E1120">
        <v>116735.85081145946</v>
      </c>
      <c r="F1120" s="147">
        <v>434573.95</v>
      </c>
      <c r="G1120" s="719">
        <f t="shared" si="35"/>
        <v>0.84791321032923683</v>
      </c>
      <c r="H1120">
        <v>105506.9214364386</v>
      </c>
      <c r="I1120" s="922">
        <v>2</v>
      </c>
      <c r="K1120">
        <v>94100.789928091661</v>
      </c>
      <c r="L1120" s="922">
        <v>1</v>
      </c>
      <c r="N1120">
        <v>96327.950329057829</v>
      </c>
      <c r="O1120" s="922">
        <v>2</v>
      </c>
      <c r="Q1120" s="147">
        <v>318353.44</v>
      </c>
      <c r="R1120" s="922">
        <v>1</v>
      </c>
    </row>
    <row r="1121" spans="1:18">
      <c r="A1121">
        <v>5</v>
      </c>
      <c r="B1121" s="147">
        <v>-150000</v>
      </c>
      <c r="C1121">
        <v>172155.4442532151</v>
      </c>
      <c r="D1121">
        <v>130504.00460734595</v>
      </c>
      <c r="E1121">
        <v>152597.43054189096</v>
      </c>
      <c r="F1121" s="147">
        <v>455256.88</v>
      </c>
      <c r="G1121" s="719">
        <f t="shared" si="35"/>
        <v>0.89183229894484906</v>
      </c>
      <c r="H1121">
        <v>111293.45588921201</v>
      </c>
      <c r="I1121" s="922">
        <v>5</v>
      </c>
      <c r="K1121">
        <v>100204.6381212362</v>
      </c>
      <c r="L1121" s="922">
        <v>2</v>
      </c>
      <c r="N1121">
        <v>103931.57212997602</v>
      </c>
      <c r="O1121" s="922">
        <v>1</v>
      </c>
      <c r="Q1121" s="147">
        <v>331281.49</v>
      </c>
      <c r="R1121" s="922">
        <v>1</v>
      </c>
    </row>
    <row r="1122" spans="1:18">
      <c r="A1122">
        <v>6</v>
      </c>
      <c r="B1122" s="147">
        <v>-150000</v>
      </c>
      <c r="C1122">
        <v>156227.74586769089</v>
      </c>
      <c r="D1122">
        <v>103954.32223918369</v>
      </c>
      <c r="E1122">
        <v>149112.49239719685</v>
      </c>
      <c r="F1122" s="147">
        <v>409294.56</v>
      </c>
      <c r="G1122" s="719">
        <f t="shared" si="35"/>
        <v>0.75761249763496608</v>
      </c>
      <c r="H1122">
        <v>117079.99034198542</v>
      </c>
      <c r="I1122" s="922">
        <v>1</v>
      </c>
      <c r="K1122">
        <v>106308.48631438075</v>
      </c>
      <c r="L1122" s="922">
        <v>2</v>
      </c>
      <c r="N1122">
        <v>111535.19393089421</v>
      </c>
      <c r="O1122" s="922">
        <v>1</v>
      </c>
      <c r="Q1122" s="147">
        <v>344209.54</v>
      </c>
      <c r="R1122" s="922">
        <v>3</v>
      </c>
    </row>
    <row r="1123" spans="1:18">
      <c r="A1123">
        <v>7</v>
      </c>
      <c r="B1123" s="147">
        <v>-150000</v>
      </c>
      <c r="C1123">
        <v>112144.18312252981</v>
      </c>
      <c r="D1123">
        <v>173104.78255701961</v>
      </c>
      <c r="E1123">
        <v>141744.35873471783</v>
      </c>
      <c r="F1123" s="147">
        <v>426993.32</v>
      </c>
      <c r="G1123" s="719">
        <f t="shared" si="35"/>
        <v>0.73024738711667458</v>
      </c>
      <c r="H1123">
        <v>122866.52479475882</v>
      </c>
      <c r="I1123" s="922">
        <v>0</v>
      </c>
      <c r="K1123">
        <v>112412.3345075253</v>
      </c>
      <c r="L1123" s="922">
        <v>2</v>
      </c>
      <c r="N1123">
        <v>119138.81573181241</v>
      </c>
      <c r="O1123" s="922">
        <v>0</v>
      </c>
      <c r="Q1123" s="147">
        <v>357137.6</v>
      </c>
      <c r="R1123" s="922">
        <v>5</v>
      </c>
    </row>
    <row r="1124" spans="1:18">
      <c r="A1124">
        <v>8</v>
      </c>
      <c r="B1124" s="147">
        <v>-150000</v>
      </c>
      <c r="C1124">
        <v>155574.06985166547</v>
      </c>
      <c r="D1124">
        <v>95419.130264580876</v>
      </c>
      <c r="E1124">
        <v>96656.633737925571</v>
      </c>
      <c r="F1124" s="147">
        <v>347649.83</v>
      </c>
      <c r="G1124" s="719">
        <f t="shared" si="35"/>
        <v>0.65617775111583643</v>
      </c>
      <c r="H1124">
        <v>128653.05924753223</v>
      </c>
      <c r="I1124" s="922">
        <v>1</v>
      </c>
      <c r="K1124">
        <v>118516.18270066984</v>
      </c>
      <c r="L1124" s="922">
        <v>1</v>
      </c>
      <c r="N1124">
        <v>126742.4375327306</v>
      </c>
      <c r="O1124" s="922">
        <v>2</v>
      </c>
      <c r="Q1124" s="147">
        <v>370065.65</v>
      </c>
      <c r="R1124" s="922">
        <v>0</v>
      </c>
    </row>
    <row r="1125" spans="1:18">
      <c r="A1125">
        <v>9</v>
      </c>
      <c r="B1125" s="147">
        <v>-150000</v>
      </c>
      <c r="C1125">
        <v>91523.78034885817</v>
      </c>
      <c r="D1125">
        <v>166701.92545009044</v>
      </c>
      <c r="E1125">
        <v>103895.366431502</v>
      </c>
      <c r="F1125" s="147">
        <v>362121.07</v>
      </c>
      <c r="G1125" s="719">
        <f t="shared" si="35"/>
        <v>0.58613401969631163</v>
      </c>
      <c r="H1125">
        <v>134439.59370030565</v>
      </c>
      <c r="I1125" s="922">
        <v>2</v>
      </c>
      <c r="K1125">
        <v>124620.0308938144</v>
      </c>
      <c r="L1125" s="922">
        <v>6</v>
      </c>
      <c r="N1125">
        <v>134346.05933364879</v>
      </c>
      <c r="O1125" s="922">
        <v>2</v>
      </c>
      <c r="Q1125" s="147">
        <v>382993.7</v>
      </c>
      <c r="R1125" s="922">
        <v>0</v>
      </c>
    </row>
    <row r="1126" spans="1:18">
      <c r="A1126">
        <v>10</v>
      </c>
      <c r="B1126" s="147">
        <v>-150000</v>
      </c>
      <c r="C1126">
        <v>114858.79960631607</v>
      </c>
      <c r="D1126">
        <v>148967.30627763039</v>
      </c>
      <c r="E1126">
        <v>166682.62015069436</v>
      </c>
      <c r="F1126" s="147">
        <v>430508.73</v>
      </c>
      <c r="G1126" s="719">
        <f t="shared" si="35"/>
        <v>0.71928496141385834</v>
      </c>
      <c r="H1126">
        <v>140226.12815307907</v>
      </c>
      <c r="I1126" s="922">
        <v>2</v>
      </c>
      <c r="K1126">
        <v>130723.87908695894</v>
      </c>
      <c r="L1126" s="922">
        <v>1</v>
      </c>
      <c r="N1126">
        <v>141949.68113456698</v>
      </c>
      <c r="O1126" s="922">
        <v>4</v>
      </c>
      <c r="Q1126" s="147">
        <v>395921.75</v>
      </c>
      <c r="R1126" s="922">
        <v>0</v>
      </c>
    </row>
    <row r="1127" spans="1:18">
      <c r="A1127">
        <v>11</v>
      </c>
      <c r="B1127" s="147">
        <v>-150000</v>
      </c>
      <c r="C1127">
        <v>180731.86932249292</v>
      </c>
      <c r="D1127">
        <v>144488.85945087048</v>
      </c>
      <c r="E1127">
        <v>126851.83970084036</v>
      </c>
      <c r="F1127" s="147">
        <v>452072.57</v>
      </c>
      <c r="G1127" s="719">
        <f t="shared" si="35"/>
        <v>0.93067692038316552</v>
      </c>
      <c r="H1127">
        <v>146012.66260585247</v>
      </c>
      <c r="I1127" s="922">
        <v>1</v>
      </c>
      <c r="K1127">
        <v>136827.72728010349</v>
      </c>
      <c r="L1127" s="922">
        <v>1</v>
      </c>
      <c r="N1127">
        <v>149553.30293548518</v>
      </c>
      <c r="O1127" s="922">
        <v>3</v>
      </c>
      <c r="Q1127" s="147">
        <v>408849.81</v>
      </c>
      <c r="R1127" s="922">
        <v>3</v>
      </c>
    </row>
    <row r="1128" spans="1:18">
      <c r="A1128">
        <v>12</v>
      </c>
      <c r="B1128" s="147">
        <v>-150000</v>
      </c>
      <c r="C1128">
        <v>159068.15103225459</v>
      </c>
      <c r="D1128">
        <v>127380.89416227159</v>
      </c>
      <c r="E1128">
        <v>161488.83690264038</v>
      </c>
      <c r="F1128" s="147">
        <v>447937.88</v>
      </c>
      <c r="G1128" s="719">
        <f t="shared" si="35"/>
        <v>0.83998176306810257</v>
      </c>
      <c r="H1128">
        <v>151799.19705862587</v>
      </c>
      <c r="I1128" s="922">
        <v>5</v>
      </c>
      <c r="K1128">
        <v>142931.57547324803</v>
      </c>
      <c r="L1128" s="922">
        <v>3</v>
      </c>
      <c r="N1128">
        <v>157156.92473640339</v>
      </c>
      <c r="O1128" s="922">
        <v>1</v>
      </c>
      <c r="Q1128" s="147">
        <v>421777.86</v>
      </c>
      <c r="R1128" s="922">
        <v>4</v>
      </c>
    </row>
    <row r="1129" spans="1:18">
      <c r="A1129">
        <v>13</v>
      </c>
      <c r="B1129" s="147">
        <v>-150000</v>
      </c>
      <c r="C1129">
        <v>140096.67315034367</v>
      </c>
      <c r="D1129">
        <v>126771.85086151272</v>
      </c>
      <c r="E1129">
        <v>73517.084926303243</v>
      </c>
      <c r="F1129" s="147">
        <v>340385.61</v>
      </c>
      <c r="G1129" s="719">
        <f t="shared" si="35"/>
        <v>0.63449909576020991</v>
      </c>
      <c r="H1129">
        <v>157585.73151139927</v>
      </c>
      <c r="I1129" s="922">
        <v>1</v>
      </c>
      <c r="K1129">
        <v>149035.42366639257</v>
      </c>
      <c r="L1129" s="922">
        <v>2</v>
      </c>
      <c r="N1129">
        <v>164760.54653732158</v>
      </c>
      <c r="O1129" s="922">
        <v>2</v>
      </c>
      <c r="Q1129" s="147">
        <v>434705.91</v>
      </c>
      <c r="R1129" s="922">
        <v>2</v>
      </c>
    </row>
    <row r="1130" spans="1:18">
      <c r="A1130">
        <v>14</v>
      </c>
      <c r="B1130" s="147">
        <v>-150000</v>
      </c>
      <c r="C1130">
        <v>118066.5864982083</v>
      </c>
      <c r="D1130">
        <v>141603.93620694373</v>
      </c>
      <c r="E1130">
        <v>181746.11163134332</v>
      </c>
      <c r="F1130" s="147">
        <v>441416.63</v>
      </c>
      <c r="G1130" s="719">
        <f t="shared" si="35"/>
        <v>0.73428362940397407</v>
      </c>
      <c r="H1130">
        <v>163372.26596417269</v>
      </c>
      <c r="I1130" s="922">
        <v>2</v>
      </c>
      <c r="K1130">
        <v>155139.27185953711</v>
      </c>
      <c r="L1130" s="922">
        <v>2</v>
      </c>
      <c r="N1130">
        <v>172364.16833823978</v>
      </c>
      <c r="O1130" s="922">
        <v>1</v>
      </c>
      <c r="Q1130" s="147">
        <v>447633.96</v>
      </c>
      <c r="R1130" s="922">
        <v>6</v>
      </c>
    </row>
    <row r="1131" spans="1:18">
      <c r="A1131">
        <v>15</v>
      </c>
      <c r="B1131" s="147">
        <v>-150000</v>
      </c>
      <c r="C1131">
        <v>108274.95496852777</v>
      </c>
      <c r="D1131">
        <v>105060.19243171717</v>
      </c>
      <c r="E1131">
        <v>145640.66218263705</v>
      </c>
      <c r="F1131" s="147">
        <v>358975.81</v>
      </c>
      <c r="G1131" s="719">
        <f t="shared" si="35"/>
        <v>0.56544653082861562</v>
      </c>
      <c r="H1131">
        <v>169158.80041694609</v>
      </c>
      <c r="I1131" s="922">
        <v>2</v>
      </c>
      <c r="K1131">
        <v>161243.12005268165</v>
      </c>
      <c r="L1131" s="922">
        <v>3</v>
      </c>
      <c r="N1131">
        <v>179967.79013915797</v>
      </c>
      <c r="O1131" s="922">
        <v>3</v>
      </c>
      <c r="Q1131" s="147">
        <v>460562.02</v>
      </c>
      <c r="R1131" s="922">
        <v>3</v>
      </c>
    </row>
    <row r="1132" spans="1:18">
      <c r="A1132">
        <v>16</v>
      </c>
      <c r="B1132" s="147">
        <v>-150000</v>
      </c>
      <c r="C1132">
        <v>113046.71851479397</v>
      </c>
      <c r="D1132">
        <v>110791.90937594883</v>
      </c>
      <c r="E1132">
        <v>142502.84808875629</v>
      </c>
      <c r="F1132" s="147">
        <v>366341.48</v>
      </c>
      <c r="G1132" s="719">
        <f t="shared" si="35"/>
        <v>0.59224839012870478</v>
      </c>
      <c r="H1132">
        <v>174945.33486971952</v>
      </c>
      <c r="I1132" s="922">
        <v>2</v>
      </c>
      <c r="K1132">
        <v>167346.96824582623</v>
      </c>
      <c r="L1132" s="922">
        <v>2</v>
      </c>
      <c r="N1132">
        <v>187571.41194007616</v>
      </c>
      <c r="O1132" s="922">
        <v>3</v>
      </c>
      <c r="Q1132" s="147">
        <v>473490.07</v>
      </c>
      <c r="R1132" s="922">
        <v>1</v>
      </c>
    </row>
    <row r="1133" spans="1:18">
      <c r="A1133">
        <v>17</v>
      </c>
      <c r="B1133" s="147">
        <v>-150000</v>
      </c>
      <c r="C1133">
        <v>110223.93478158272</v>
      </c>
      <c r="D1133">
        <v>146674.16337446167</v>
      </c>
      <c r="E1133">
        <v>195175.03374099435</v>
      </c>
      <c r="F1133" s="147">
        <v>452073.13</v>
      </c>
      <c r="G1133" s="719">
        <f t="shared" si="35"/>
        <v>0.73262397682268987</v>
      </c>
      <c r="H1133">
        <v>180731.86932249292</v>
      </c>
      <c r="I1133" s="922">
        <v>0</v>
      </c>
      <c r="K1133">
        <v>173450.81643897077</v>
      </c>
      <c r="L1133" s="922">
        <v>0</v>
      </c>
      <c r="N1133">
        <v>195175.03374099435</v>
      </c>
      <c r="O1133" s="922">
        <v>0</v>
      </c>
      <c r="Q1133" s="147">
        <v>486418.12</v>
      </c>
      <c r="R1133" s="922">
        <v>0</v>
      </c>
    </row>
    <row r="1134" spans="1:18">
      <c r="A1134">
        <v>18</v>
      </c>
      <c r="B1134" s="147">
        <v>-150000</v>
      </c>
      <c r="C1134">
        <v>153624.80734961381</v>
      </c>
      <c r="D1134">
        <v>155710.10947706908</v>
      </c>
      <c r="E1134">
        <v>144085.17502611555</v>
      </c>
      <c r="F1134" s="147">
        <v>453420.09</v>
      </c>
      <c r="G1134" s="719">
        <f t="shared" si="35"/>
        <v>0.85994932702876437</v>
      </c>
    </row>
    <row r="1135" spans="1:18">
      <c r="A1135">
        <v>19</v>
      </c>
      <c r="B1135" s="147">
        <v>-150000</v>
      </c>
      <c r="C1135">
        <v>100879.54011529408</v>
      </c>
      <c r="D1135">
        <v>166092.19437958923</v>
      </c>
      <c r="E1135">
        <v>84166.559655234742</v>
      </c>
      <c r="F1135" s="147">
        <v>351138.29</v>
      </c>
      <c r="G1135" s="719">
        <f t="shared" si="35"/>
        <v>0.59051432725108932</v>
      </c>
    </row>
    <row r="1136" spans="1:18">
      <c r="A1136">
        <v>20</v>
      </c>
      <c r="B1136" s="147">
        <v>-150000</v>
      </c>
      <c r="C1136">
        <v>168642.2068755959</v>
      </c>
      <c r="D1136">
        <v>116898.20248454055</v>
      </c>
      <c r="E1136">
        <v>84511.035679198962</v>
      </c>
      <c r="F1136" s="147">
        <v>370051.45</v>
      </c>
      <c r="G1136" s="719">
        <f t="shared" si="35"/>
        <v>0.75244374335060615</v>
      </c>
    </row>
    <row r="1137" spans="1:7">
      <c r="A1137">
        <v>21</v>
      </c>
      <c r="B1137" s="147">
        <v>-150000</v>
      </c>
      <c r="C1137">
        <v>133844.28897317566</v>
      </c>
      <c r="D1137">
        <v>115495.87441840407</v>
      </c>
      <c r="E1137">
        <v>172557.12748078565</v>
      </c>
      <c r="F1137" s="147">
        <v>421897.29</v>
      </c>
      <c r="G1137" s="719">
        <f t="shared" si="35"/>
        <v>0.72515088473372447</v>
      </c>
    </row>
    <row r="1138" spans="1:7">
      <c r="A1138">
        <v>22</v>
      </c>
      <c r="B1138" s="147">
        <v>-150000</v>
      </c>
      <c r="C1138">
        <v>113657.67768706269</v>
      </c>
      <c r="D1138">
        <v>75789.24534865802</v>
      </c>
      <c r="E1138">
        <v>140484.60369404597</v>
      </c>
      <c r="F1138" s="147">
        <v>329931.53000000003</v>
      </c>
      <c r="G1138" s="719">
        <f t="shared" si="35"/>
        <v>0.50608892263280469</v>
      </c>
    </row>
    <row r="1139" spans="1:7">
      <c r="A1139">
        <v>23</v>
      </c>
      <c r="B1139" s="147">
        <v>-150000</v>
      </c>
      <c r="C1139">
        <v>176754.30412852188</v>
      </c>
      <c r="D1139">
        <v>129331.10592132673</v>
      </c>
      <c r="E1139">
        <v>166948.86552905437</v>
      </c>
      <c r="F1139" s="147">
        <v>473034.28</v>
      </c>
      <c r="G1139" s="719">
        <f t="shared" si="35"/>
        <v>0.92604517273094622</v>
      </c>
    </row>
    <row r="1140" spans="1:7">
      <c r="A1140">
        <v>24</v>
      </c>
      <c r="B1140" s="147">
        <v>-150000</v>
      </c>
      <c r="C1140">
        <v>149668.97328993891</v>
      </c>
      <c r="D1140">
        <v>128171.0740070648</v>
      </c>
      <c r="E1140">
        <v>192906.09583552598</v>
      </c>
      <c r="F1140" s="147">
        <v>470746.14</v>
      </c>
      <c r="G1140" s="719">
        <f t="shared" si="35"/>
        <v>0.84122374156965707</v>
      </c>
    </row>
    <row r="1141" spans="1:7">
      <c r="A1141">
        <v>25</v>
      </c>
      <c r="B1141" s="147">
        <v>-150000</v>
      </c>
      <c r="C1141">
        <v>140903.86047583801</v>
      </c>
      <c r="D1141">
        <v>127899.03690575916</v>
      </c>
      <c r="E1141">
        <v>150855.30547701995</v>
      </c>
      <c r="F1141" s="147">
        <v>419658.2</v>
      </c>
      <c r="G1141" s="719">
        <f t="shared" si="35"/>
        <v>0.7530176514451028</v>
      </c>
    </row>
    <row r="1142" spans="1:7">
      <c r="A1142">
        <v>26</v>
      </c>
      <c r="B1142" s="147">
        <v>-150000</v>
      </c>
      <c r="C1142">
        <v>88519.479345693457</v>
      </c>
      <c r="D1142">
        <v>173450.81643897077</v>
      </c>
      <c r="E1142">
        <v>92758.853199117744</v>
      </c>
      <c r="F1142" s="147">
        <v>354729.15</v>
      </c>
      <c r="G1142" s="719">
        <f t="shared" si="35"/>
        <v>0.57421608520080336</v>
      </c>
    </row>
    <row r="1143" spans="1:7">
      <c r="A1143">
        <v>27</v>
      </c>
      <c r="B1143" s="147">
        <v>-150000</v>
      </c>
      <c r="C1143">
        <v>141582.67809397166</v>
      </c>
      <c r="D1143">
        <v>135028.74122926139</v>
      </c>
      <c r="E1143">
        <v>186308.23540346976</v>
      </c>
      <c r="F1143" s="147">
        <v>462919.65</v>
      </c>
      <c r="G1143" s="719">
        <f t="shared" si="35"/>
        <v>0.81612425946852585</v>
      </c>
    </row>
    <row r="1144" spans="1:7">
      <c r="A1144">
        <v>28</v>
      </c>
      <c r="B1144" s="147">
        <v>-150000</v>
      </c>
      <c r="C1144">
        <v>138725.4748285377</v>
      </c>
      <c r="D1144">
        <v>159759.45038214218</v>
      </c>
      <c r="E1144">
        <v>187933.19353246709</v>
      </c>
      <c r="F1144" s="147">
        <v>486418.12</v>
      </c>
      <c r="G1144" s="719">
        <f t="shared" si="35"/>
        <v>0.85976388814427884</v>
      </c>
    </row>
    <row r="1145" spans="1:7">
      <c r="A1145">
        <v>29</v>
      </c>
      <c r="B1145" s="147">
        <v>-150000</v>
      </c>
      <c r="C1145">
        <v>156345.33059316306</v>
      </c>
      <c r="D1145">
        <v>151678.08599137218</v>
      </c>
      <c r="E1145">
        <v>150058.74448779339</v>
      </c>
      <c r="F1145" s="147">
        <v>458082.16</v>
      </c>
      <c r="G1145" s="719">
        <f t="shared" si="35"/>
        <v>0.86945066001711924</v>
      </c>
    </row>
    <row r="1146" spans="1:7">
      <c r="A1146">
        <v>30</v>
      </c>
      <c r="B1146" s="147">
        <v>-150000</v>
      </c>
      <c r="C1146">
        <v>170839.88650319897</v>
      </c>
      <c r="D1146">
        <v>112408.33232988346</v>
      </c>
      <c r="E1146">
        <v>77061.241374600722</v>
      </c>
      <c r="F1146" s="147">
        <v>360309.46</v>
      </c>
      <c r="G1146" s="719">
        <f t="shared" si="35"/>
        <v>0.73951614235841379</v>
      </c>
    </row>
  </sheetData>
  <sheetProtection algorithmName="SHA-512" hashValue="OFmnE+gv31NFPMUhGW6ubbSQ8nJ4Rf9oiSiLx/m/yI/k3pomvq493Uc3nl5tuiBI5yrNP8AmDpAQqW214zNdeg==" saltValue="u+tmUCpGxTzasKDfYwHidQ==" spinCount="100000" sheet="1" objects="1" scenarios="1"/>
  <mergeCells count="3">
    <mergeCell ref="D37:F37"/>
    <mergeCell ref="G37:I37"/>
    <mergeCell ref="J37:K37"/>
  </mergeCells>
  <phoneticPr fontId="87" type="noConversion"/>
  <pageMargins left="0.7" right="0.7" top="0.75" bottom="0.75" header="0.3" footer="0.3"/>
  <pageSetup scale="3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FF00"/>
  </sheetPr>
  <dimension ref="A1:AV288"/>
  <sheetViews>
    <sheetView showGridLines="0" showRowColHeaders="0" zoomScaleNormal="100" workbookViewId="0">
      <pane ySplit="1" topLeftCell="A31" activePane="bottomLeft" state="frozen"/>
      <selection activeCell="D50" sqref="D50"/>
      <selection pane="bottomLeft" activeCell="J36" sqref="J36"/>
    </sheetView>
  </sheetViews>
  <sheetFormatPr defaultColWidth="9.140625" defaultRowHeight="12.75"/>
  <cols>
    <col min="1" max="1" width="9.140625" style="1011"/>
    <col min="2" max="2" width="10.5703125" style="1011" customWidth="1"/>
    <col min="3" max="3" width="12.5703125" style="1011" customWidth="1"/>
    <col min="4" max="4" width="12" style="1011" customWidth="1"/>
    <col min="5" max="5" width="11.42578125" style="1011" customWidth="1"/>
    <col min="6" max="6" width="13.85546875" style="1011" customWidth="1"/>
    <col min="7" max="7" width="14.140625" style="1011" customWidth="1"/>
    <col min="8" max="8" width="10" style="1011" customWidth="1"/>
    <col min="9" max="9" width="12.5703125" style="1011" customWidth="1"/>
    <col min="10" max="10" width="14.5703125" style="1011" customWidth="1"/>
    <col min="11" max="11" width="10.42578125" style="1011" customWidth="1"/>
    <col min="12" max="12" width="11.85546875" style="1011" customWidth="1"/>
    <col min="13" max="13" width="10.140625" style="1011" customWidth="1"/>
    <col min="14" max="14" width="11.42578125" style="1011" bestFit="1" customWidth="1"/>
    <col min="15" max="15" width="12.42578125" style="1011" customWidth="1"/>
    <col min="16" max="16" width="9.140625" style="1011"/>
    <col min="17" max="17" width="13" style="1011" customWidth="1"/>
    <col min="18" max="18" width="12.42578125" style="1011" bestFit="1" customWidth="1"/>
    <col min="19" max="19" width="15.42578125" style="1011" bestFit="1" customWidth="1"/>
    <col min="20" max="22" width="11.42578125" style="1011" customWidth="1"/>
    <col min="23" max="16384" width="9.140625" style="1011"/>
  </cols>
  <sheetData>
    <row r="1" spans="1:16" s="1010" customFormat="1" ht="32.1" customHeight="1"/>
    <row r="2" spans="1:16" s="1010" customFormat="1" ht="41.25" customHeight="1"/>
    <row r="3" spans="1:16" s="1010" customFormat="1" ht="12.75" customHeight="1"/>
    <row r="4" spans="1:16" s="1018" customFormat="1" ht="15.75" hidden="1" customHeight="1">
      <c r="A4" s="1291">
        <v>1</v>
      </c>
      <c r="B4" s="1292" t="s">
        <v>14</v>
      </c>
      <c r="C4" s="1292"/>
      <c r="D4" s="1293"/>
      <c r="E4" s="1293"/>
      <c r="F4" s="1029"/>
      <c r="G4" s="1106"/>
      <c r="H4" s="1106"/>
      <c r="I4" s="1106"/>
      <c r="J4" s="1106"/>
      <c r="K4" s="1069"/>
      <c r="P4" s="1294"/>
    </row>
    <row r="5" spans="1:16" s="1018" customFormat="1" ht="11.25" hidden="1" customHeight="1">
      <c r="A5" s="1029"/>
      <c r="E5" s="1029"/>
      <c r="F5" s="1029"/>
      <c r="G5" s="264"/>
    </row>
    <row r="6" spans="1:16" s="1018" customFormat="1" ht="11.25" hidden="1" customHeight="1">
      <c r="A6" s="1029"/>
      <c r="E6" s="1029"/>
      <c r="F6" s="1029"/>
      <c r="G6" s="1295" t="s">
        <v>95</v>
      </c>
      <c r="H6" s="1295" t="s">
        <v>35</v>
      </c>
      <c r="I6" s="1295" t="s">
        <v>34</v>
      </c>
      <c r="J6" s="1295" t="s">
        <v>33</v>
      </c>
      <c r="K6" s="1296" t="s">
        <v>94</v>
      </c>
    </row>
    <row r="7" spans="1:16" s="1018" customFormat="1" ht="11.25" hidden="1" customHeight="1">
      <c r="A7" s="1297" t="s">
        <v>507</v>
      </c>
      <c r="B7" s="1024" t="s">
        <v>91</v>
      </c>
      <c r="C7" s="1298"/>
      <c r="D7" s="1299"/>
      <c r="E7" s="1298"/>
      <c r="F7" s="1300" t="s">
        <v>85</v>
      </c>
      <c r="G7" s="256">
        <v>10000000</v>
      </c>
      <c r="H7" s="257">
        <v>1.03</v>
      </c>
      <c r="I7" s="257">
        <v>1.06</v>
      </c>
      <c r="J7" s="257">
        <v>1.1000000000000001</v>
      </c>
      <c r="K7" s="1301"/>
    </row>
    <row r="8" spans="1:16" s="1018" customFormat="1" ht="11.25" hidden="1" customHeight="1">
      <c r="A8" s="1297" t="s">
        <v>508</v>
      </c>
      <c r="B8" s="1302" t="s">
        <v>635</v>
      </c>
      <c r="C8" s="1303"/>
      <c r="D8" s="1304"/>
      <c r="E8" s="1305"/>
      <c r="F8" s="1306" t="s">
        <v>89</v>
      </c>
      <c r="G8" s="258">
        <v>52800</v>
      </c>
      <c r="H8" s="1301"/>
      <c r="I8" s="1301"/>
      <c r="J8" s="1301"/>
      <c r="K8" s="1301"/>
    </row>
    <row r="9" spans="1:16" s="1018" customFormat="1" ht="11.25" hidden="1" customHeight="1">
      <c r="A9" s="1297" t="s">
        <v>509</v>
      </c>
      <c r="B9" s="1307" t="s">
        <v>88</v>
      </c>
      <c r="C9" s="1308"/>
      <c r="D9" s="1309"/>
      <c r="E9" s="1310"/>
      <c r="F9" s="1300" t="s">
        <v>85</v>
      </c>
      <c r="G9" s="259">
        <v>1.5</v>
      </c>
      <c r="H9" s="1301"/>
      <c r="I9" s="1301"/>
      <c r="J9" s="1301"/>
      <c r="K9" s="1301"/>
    </row>
    <row r="10" spans="1:16" s="1018" customFormat="1" ht="11.25" hidden="1" customHeight="1">
      <c r="A10" s="1297" t="s">
        <v>510</v>
      </c>
      <c r="B10" s="1024" t="s">
        <v>93</v>
      </c>
      <c r="C10" s="1298"/>
      <c r="D10" s="1299"/>
      <c r="E10" s="1298"/>
      <c r="F10" s="1300" t="s">
        <v>49</v>
      </c>
      <c r="G10" s="260"/>
      <c r="H10" s="261">
        <v>1.05</v>
      </c>
      <c r="I10" s="261">
        <v>1.1000000000000001</v>
      </c>
      <c r="J10" s="261">
        <v>1.1499999999999999</v>
      </c>
      <c r="K10" s="276"/>
    </row>
    <row r="11" spans="1:16" s="1018" customFormat="1" ht="11.25" hidden="1" customHeight="1">
      <c r="A11" s="1297"/>
      <c r="B11" s="1311" t="s">
        <v>447</v>
      </c>
      <c r="C11" s="1308"/>
      <c r="D11" s="1309"/>
      <c r="E11" s="1308"/>
      <c r="F11" s="1300" t="s">
        <v>85</v>
      </c>
      <c r="G11" s="277">
        <v>79200</v>
      </c>
      <c r="H11" s="278">
        <v>83160</v>
      </c>
      <c r="I11" s="278">
        <v>87120</v>
      </c>
      <c r="J11" s="278">
        <v>91080</v>
      </c>
      <c r="K11" s="276">
        <v>261360</v>
      </c>
    </row>
    <row r="12" spans="1:16" s="1018" customFormat="1" ht="11.25" hidden="1" customHeight="1">
      <c r="A12" s="1297" t="s">
        <v>511</v>
      </c>
      <c r="B12" s="1312" t="s">
        <v>518</v>
      </c>
      <c r="D12" s="1036"/>
      <c r="F12" s="1300" t="s">
        <v>49</v>
      </c>
      <c r="G12" s="280"/>
      <c r="H12" s="281"/>
      <c r="I12" s="281"/>
      <c r="J12" s="281"/>
      <c r="K12" s="1313">
        <v>2.1</v>
      </c>
    </row>
    <row r="13" spans="1:16" s="1018" customFormat="1" ht="11.25" hidden="1" customHeight="1">
      <c r="A13" s="1297" t="s">
        <v>512</v>
      </c>
      <c r="B13" s="1302" t="s">
        <v>92</v>
      </c>
      <c r="C13" s="1303"/>
      <c r="D13" s="1304"/>
      <c r="E13" s="1303"/>
      <c r="F13" s="1300" t="s">
        <v>49</v>
      </c>
      <c r="G13" s="282"/>
      <c r="H13" s="262">
        <v>0.31</v>
      </c>
      <c r="I13" s="262">
        <v>0.33</v>
      </c>
      <c r="J13" s="262">
        <v>0.36</v>
      </c>
      <c r="K13" s="1314">
        <v>1</v>
      </c>
    </row>
    <row r="14" spans="1:16" s="1018" customFormat="1" ht="11.25" hidden="1" customHeight="1">
      <c r="A14" s="1297"/>
      <c r="B14" s="1307" t="s">
        <v>404</v>
      </c>
      <c r="C14" s="1308"/>
      <c r="D14" s="1309"/>
      <c r="E14" s="1308"/>
      <c r="F14" s="1300" t="s">
        <v>85</v>
      </c>
      <c r="G14" s="282"/>
      <c r="H14" s="180">
        <v>170145.36</v>
      </c>
      <c r="I14" s="180">
        <v>181122.48</v>
      </c>
      <c r="J14" s="180">
        <v>197588.16</v>
      </c>
      <c r="K14" s="1315">
        <v>548856</v>
      </c>
    </row>
    <row r="15" spans="1:16" s="1018" customFormat="1" ht="11.25" hidden="1" customHeight="1">
      <c r="A15" s="1297" t="s">
        <v>513</v>
      </c>
      <c r="B15" s="1024" t="s">
        <v>87</v>
      </c>
      <c r="C15" s="1024"/>
      <c r="D15" s="1316"/>
      <c r="E15" s="1317"/>
      <c r="F15" s="1300" t="s">
        <v>49</v>
      </c>
      <c r="G15" s="1301"/>
      <c r="H15" s="263">
        <v>0.31</v>
      </c>
      <c r="I15" s="263">
        <v>0.315</v>
      </c>
      <c r="J15" s="263">
        <v>0.32</v>
      </c>
      <c r="K15" s="282">
        <v>0.31524999999999997</v>
      </c>
    </row>
    <row r="16" spans="1:16" s="1018" customFormat="1" ht="11.25" hidden="1">
      <c r="A16" s="1297"/>
      <c r="B16" s="1311" t="s">
        <v>448</v>
      </c>
      <c r="C16" s="1308"/>
      <c r="D16" s="1309"/>
      <c r="E16" s="1308"/>
      <c r="F16" s="1300" t="s">
        <v>85</v>
      </c>
      <c r="G16" s="1301"/>
      <c r="H16" s="277">
        <v>52745.061599999994</v>
      </c>
      <c r="I16" s="277">
        <v>57053.581200000001</v>
      </c>
      <c r="J16" s="277">
        <v>63228.211200000005</v>
      </c>
      <c r="K16" s="1315">
        <v>173026.85399999999</v>
      </c>
    </row>
    <row r="17" spans="1:20" s="1018" customFormat="1" ht="11.25" hidden="1">
      <c r="A17" s="1297"/>
      <c r="B17" s="1318" t="s">
        <v>405</v>
      </c>
      <c r="D17" s="1036"/>
      <c r="F17" s="1300" t="s">
        <v>49</v>
      </c>
      <c r="G17" s="1301"/>
      <c r="H17" s="287">
        <v>0.63425999999999993</v>
      </c>
      <c r="I17" s="287">
        <v>0.65488500000000005</v>
      </c>
      <c r="J17" s="287">
        <v>0.69420521739130436</v>
      </c>
      <c r="K17" s="1301"/>
    </row>
    <row r="18" spans="1:20" s="1018" customFormat="1" ht="11.25" hidden="1">
      <c r="A18" s="1297"/>
      <c r="B18" s="1317" t="s">
        <v>406</v>
      </c>
      <c r="C18" s="1298"/>
      <c r="D18" s="1299"/>
      <c r="E18" s="1298"/>
      <c r="F18" s="1300" t="s">
        <v>49</v>
      </c>
      <c r="G18" s="1301"/>
      <c r="H18" s="1314">
        <v>0.69</v>
      </c>
      <c r="I18" s="1314">
        <v>0.68500000000000005</v>
      </c>
      <c r="J18" s="1314">
        <v>0.67999999999999994</v>
      </c>
      <c r="K18" s="282">
        <v>0.68474999999999986</v>
      </c>
    </row>
    <row r="19" spans="1:20" s="1018" customFormat="1" ht="11.25" hidden="1">
      <c r="A19" s="1297"/>
      <c r="B19" s="1311" t="s">
        <v>449</v>
      </c>
      <c r="C19" s="1308"/>
      <c r="D19" s="1309"/>
      <c r="E19" s="1308"/>
      <c r="F19" s="1300" t="s">
        <v>85</v>
      </c>
      <c r="G19" s="1301"/>
      <c r="H19" s="277">
        <v>117400.29839999999</v>
      </c>
      <c r="I19" s="277">
        <v>124068.89880000001</v>
      </c>
      <c r="J19" s="277">
        <v>134359.94879999998</v>
      </c>
      <c r="K19" s="1315">
        <v>375829.14599999995</v>
      </c>
    </row>
    <row r="20" spans="1:20" s="1018" customFormat="1" ht="11.25" hidden="1">
      <c r="A20" s="1297" t="s">
        <v>514</v>
      </c>
      <c r="B20" s="1301" t="s">
        <v>86</v>
      </c>
      <c r="C20" s="1301"/>
      <c r="D20" s="1319"/>
      <c r="E20" s="1302"/>
      <c r="F20" s="1300" t="s">
        <v>85</v>
      </c>
      <c r="G20" s="256">
        <v>476160</v>
      </c>
      <c r="H20" s="256">
        <v>476160</v>
      </c>
      <c r="I20" s="256">
        <v>476160</v>
      </c>
      <c r="J20" s="256">
        <v>476160</v>
      </c>
      <c r="K20" s="1314"/>
    </row>
    <row r="21" spans="1:20" s="1018" customFormat="1" ht="12.75" hidden="1" customHeight="1">
      <c r="A21" s="1021"/>
      <c r="B21" s="289"/>
      <c r="D21" s="290"/>
      <c r="E21" s="264"/>
      <c r="F21" s="264"/>
      <c r="G21" s="1029"/>
      <c r="H21" s="1029"/>
      <c r="I21" s="291"/>
    </row>
    <row r="22" spans="1:20" ht="15.75">
      <c r="A22" s="1042">
        <v>1</v>
      </c>
      <c r="B22" s="1320" t="s">
        <v>365</v>
      </c>
      <c r="C22" s="1321"/>
      <c r="D22" s="1043"/>
      <c r="E22" s="1322"/>
      <c r="F22" s="1012"/>
      <c r="G22" s="1012"/>
      <c r="H22" s="1012"/>
      <c r="I22" s="1012"/>
      <c r="J22" s="1012"/>
      <c r="K22" s="1012"/>
      <c r="L22" s="1012"/>
      <c r="M22" s="1012"/>
      <c r="N22" s="1012"/>
      <c r="O22" s="1012"/>
      <c r="P22" s="1012"/>
      <c r="Q22" s="1012"/>
      <c r="R22" s="1012"/>
      <c r="S22" s="1012"/>
      <c r="T22" s="1014"/>
    </row>
    <row r="23" spans="1:20" s="1018" customFormat="1" ht="12.75" customHeight="1">
      <c r="A23" s="1021"/>
      <c r="B23" s="289"/>
      <c r="D23" s="290"/>
      <c r="E23" s="264"/>
      <c r="F23" s="264"/>
      <c r="G23" s="1029"/>
      <c r="H23" s="1029"/>
      <c r="I23" s="291"/>
    </row>
    <row r="24" spans="1:20" s="1018" customFormat="1" ht="11.25">
      <c r="D24" s="1301" t="s">
        <v>333</v>
      </c>
      <c r="E24" s="1323" t="s">
        <v>334</v>
      </c>
      <c r="F24" s="1323"/>
      <c r="G24" s="1029"/>
      <c r="H24" s="1029"/>
      <c r="I24" s="291"/>
    </row>
    <row r="25" spans="1:20" s="1018" customFormat="1" ht="12.75" customHeight="1">
      <c r="A25" s="1021"/>
      <c r="D25" s="1301" t="s">
        <v>35</v>
      </c>
      <c r="E25" s="1301" t="s">
        <v>34</v>
      </c>
      <c r="F25" s="1301" t="s">
        <v>33</v>
      </c>
      <c r="G25" s="1029"/>
      <c r="H25" s="1029"/>
      <c r="I25" s="291"/>
    </row>
    <row r="26" spans="1:20" s="1018" customFormat="1" ht="12.75" customHeight="1">
      <c r="A26" s="1021"/>
      <c r="B26" s="516" t="s">
        <v>79</v>
      </c>
      <c r="C26" s="1324"/>
      <c r="D26" s="517">
        <v>30000</v>
      </c>
      <c r="E26" s="518">
        <v>1.1100000000000001</v>
      </c>
      <c r="F26" s="518">
        <v>1.2</v>
      </c>
      <c r="G26" s="1325"/>
    </row>
    <row r="27" spans="1:20" s="1018" customFormat="1" ht="12.75" customHeight="1">
      <c r="A27" s="1021"/>
      <c r="B27" s="516" t="s">
        <v>1465</v>
      </c>
      <c r="C27" s="1324"/>
      <c r="D27" s="517">
        <v>5000</v>
      </c>
      <c r="E27" s="961">
        <v>1.02</v>
      </c>
      <c r="F27" s="961">
        <v>1.05</v>
      </c>
      <c r="G27" s="1325"/>
    </row>
    <row r="28" spans="1:20" s="1018" customFormat="1" ht="12.75" customHeight="1">
      <c r="A28" s="1021"/>
      <c r="B28" s="516" t="s">
        <v>1466</v>
      </c>
      <c r="C28" s="1324"/>
      <c r="D28" s="517">
        <v>2500</v>
      </c>
      <c r="E28" s="961">
        <v>1.1000000000000001</v>
      </c>
      <c r="F28" s="961">
        <v>1.2</v>
      </c>
      <c r="G28" s="1325"/>
    </row>
    <row r="29" spans="1:20" s="1018" customFormat="1" ht="12.75" customHeight="1">
      <c r="A29" s="1021"/>
      <c r="B29" s="516" t="s">
        <v>1473</v>
      </c>
      <c r="C29" s="1324"/>
      <c r="D29" s="517">
        <v>6000</v>
      </c>
      <c r="E29" s="961">
        <v>0.2</v>
      </c>
      <c r="F29" s="961">
        <v>0.2</v>
      </c>
      <c r="G29" s="1325"/>
    </row>
    <row r="30" spans="1:20" s="1018" customFormat="1" ht="12.75" customHeight="1">
      <c r="A30" s="1021"/>
      <c r="B30" s="516" t="s">
        <v>1474</v>
      </c>
      <c r="C30" s="1324"/>
      <c r="D30" s="517">
        <v>3000</v>
      </c>
      <c r="E30" s="961">
        <v>1.1000000000000001</v>
      </c>
      <c r="F30" s="961">
        <v>1.1000000000000001</v>
      </c>
      <c r="G30" s="1325"/>
    </row>
    <row r="31" spans="1:20" s="1018" customFormat="1" ht="12.75" customHeight="1">
      <c r="A31" s="1021"/>
      <c r="B31" s="516" t="s">
        <v>1475</v>
      </c>
      <c r="C31" s="1324"/>
      <c r="D31" s="517">
        <v>5000</v>
      </c>
      <c r="E31" s="961">
        <v>1.1100000000000001</v>
      </c>
      <c r="F31" s="961">
        <v>1.2</v>
      </c>
      <c r="G31" s="1325"/>
    </row>
    <row r="32" spans="1:20" s="1018" customFormat="1" ht="12.75" customHeight="1">
      <c r="A32" s="1021"/>
      <c r="B32" s="1020"/>
      <c r="D32" s="290"/>
      <c r="E32" s="264"/>
      <c r="F32" s="264"/>
    </row>
    <row r="33" spans="1:29" s="1018" customFormat="1" ht="12.75" customHeight="1">
      <c r="A33" s="1021"/>
      <c r="B33" s="1022" t="s">
        <v>101</v>
      </c>
      <c r="C33" s="1069"/>
      <c r="D33" s="1326">
        <f>SUM(D26:D32)</f>
        <v>51500</v>
      </c>
      <c r="E33" s="1326">
        <f>SUMPRODUCT(D26:D32,E26:E32)</f>
        <v>51200</v>
      </c>
      <c r="F33" s="1326">
        <f>SUMPRODUCT(D26:D32,E26:E32,F26:F32)</f>
        <v>59145</v>
      </c>
    </row>
    <row r="34" spans="1:29">
      <c r="B34" s="1012"/>
      <c r="C34" s="1012"/>
      <c r="D34" s="1012"/>
      <c r="E34" s="1012"/>
      <c r="F34" s="1046"/>
      <c r="G34" s="1046"/>
      <c r="H34" s="1046"/>
      <c r="I34" s="294"/>
      <c r="J34" s="294"/>
      <c r="K34" s="295"/>
      <c r="L34" s="1012"/>
      <c r="M34" s="1012"/>
      <c r="N34" s="1012"/>
      <c r="O34" s="1012"/>
      <c r="P34" s="1012"/>
      <c r="Q34" s="1012"/>
      <c r="R34" s="1012"/>
      <c r="S34" s="1012"/>
      <c r="T34" s="1014"/>
    </row>
    <row r="35" spans="1:29" s="1047" customFormat="1" ht="12">
      <c r="B35" s="1103"/>
      <c r="C35" s="1012"/>
      <c r="D35" s="1012"/>
      <c r="E35" s="1012"/>
      <c r="F35" s="1012"/>
      <c r="G35" s="1012"/>
      <c r="H35" s="1012"/>
      <c r="I35" s="294"/>
      <c r="J35" s="294"/>
      <c r="K35" s="296" t="s">
        <v>519</v>
      </c>
      <c r="L35" s="1046"/>
      <c r="M35" s="1046"/>
      <c r="N35" s="1012"/>
      <c r="O35" s="1012"/>
      <c r="P35" s="1012"/>
      <c r="Q35" s="1012"/>
      <c r="R35" s="1012"/>
      <c r="S35" s="1012"/>
      <c r="T35" s="1014"/>
    </row>
    <row r="36" spans="1:29" s="1014" customFormat="1" ht="11.25">
      <c r="B36" s="1012"/>
      <c r="C36" s="1012"/>
      <c r="D36" s="1012"/>
      <c r="E36" s="1012"/>
      <c r="F36" s="1012"/>
      <c r="G36" s="1012"/>
      <c r="H36" s="1012"/>
      <c r="I36" s="1012"/>
      <c r="J36" s="1012"/>
      <c r="K36" s="1012"/>
      <c r="L36" s="1012"/>
      <c r="M36" s="1012"/>
      <c r="N36" s="1012"/>
      <c r="O36" s="1012"/>
      <c r="P36" s="1013"/>
      <c r="Q36" s="1012"/>
      <c r="R36" s="1012"/>
      <c r="S36" s="1012"/>
      <c r="Z36" s="1327"/>
      <c r="AA36" s="1327"/>
    </row>
    <row r="37" spans="1:29" s="1014" customFormat="1" ht="15.75">
      <c r="A37" s="1015">
        <v>2</v>
      </c>
      <c r="B37" s="1016" t="s">
        <v>362</v>
      </c>
      <c r="C37" s="1328"/>
      <c r="D37" s="1329"/>
      <c r="E37" s="1017"/>
      <c r="F37" s="1330"/>
      <c r="G37" s="1018"/>
      <c r="H37" s="1018"/>
      <c r="I37" s="1018"/>
      <c r="J37" s="1019"/>
      <c r="K37" s="1018"/>
      <c r="L37" s="1018"/>
      <c r="M37" s="1018"/>
      <c r="N37" s="1020"/>
      <c r="O37" s="1018"/>
      <c r="P37" s="1018"/>
      <c r="Q37" s="1018"/>
      <c r="R37" s="1018"/>
      <c r="S37" s="1069"/>
      <c r="T37" s="1331"/>
      <c r="U37" s="1331"/>
      <c r="V37" s="1331"/>
      <c r="W37" s="1331"/>
      <c r="AC37" s="1327"/>
    </row>
    <row r="38" spans="1:29" s="1018" customFormat="1">
      <c r="A38" s="1021"/>
      <c r="B38" s="1022"/>
      <c r="C38" s="1010"/>
      <c r="D38" s="1022"/>
    </row>
    <row r="39" spans="1:29" s="1018" customFormat="1">
      <c r="A39" s="1021"/>
      <c r="B39" s="1022"/>
      <c r="C39" s="1010"/>
      <c r="D39" s="1023"/>
      <c r="E39" s="1287" t="s">
        <v>189</v>
      </c>
      <c r="F39" s="1288"/>
      <c r="G39" s="1289"/>
      <c r="H39" s="1024"/>
      <c r="M39" s="1332"/>
      <c r="N39" s="1332"/>
      <c r="O39" s="1332"/>
    </row>
    <row r="40" spans="1:29" s="1018" customFormat="1">
      <c r="A40" s="1011"/>
      <c r="B40" s="1025"/>
      <c r="C40" s="1025"/>
      <c r="D40" s="1333"/>
      <c r="E40" s="1026" t="s">
        <v>432</v>
      </c>
      <c r="F40" s="1027" t="s">
        <v>64</v>
      </c>
      <c r="G40" s="1028" t="s">
        <v>63</v>
      </c>
      <c r="H40" s="1334" t="s">
        <v>368</v>
      </c>
      <c r="I40" s="1027" t="s">
        <v>351</v>
      </c>
      <c r="J40" s="1120" t="s">
        <v>638</v>
      </c>
      <c r="K40" s="1027" t="s">
        <v>70</v>
      </c>
      <c r="L40" s="1027" t="s">
        <v>70</v>
      </c>
      <c r="M40" s="1027" t="s">
        <v>347</v>
      </c>
      <c r="N40" s="1027" t="s">
        <v>639</v>
      </c>
      <c r="O40" s="1029"/>
      <c r="P40" s="1029"/>
    </row>
    <row r="41" spans="1:29" s="1018" customFormat="1">
      <c r="A41" s="1011"/>
      <c r="B41" s="1030" t="s">
        <v>66</v>
      </c>
      <c r="C41" s="1033" t="s">
        <v>431</v>
      </c>
      <c r="D41" s="1033" t="s">
        <v>346</v>
      </c>
      <c r="E41" s="1032" t="s">
        <v>354</v>
      </c>
      <c r="F41" s="1033" t="s">
        <v>354</v>
      </c>
      <c r="G41" s="1034" t="s">
        <v>354</v>
      </c>
      <c r="H41" s="1035" t="s">
        <v>354</v>
      </c>
      <c r="I41" s="1033" t="s">
        <v>350</v>
      </c>
      <c r="J41" s="1033"/>
      <c r="K41" s="1033" t="s">
        <v>352</v>
      </c>
      <c r="L41" s="1033" t="s">
        <v>451</v>
      </c>
      <c r="M41" s="1033" t="s">
        <v>353</v>
      </c>
      <c r="N41" s="1033" t="s">
        <v>353</v>
      </c>
      <c r="O41" s="1029"/>
    </row>
    <row r="42" spans="1:29" s="1018" customFormat="1">
      <c r="A42" s="1011"/>
      <c r="B42" s="516" t="s">
        <v>583</v>
      </c>
      <c r="C42" s="1029" t="s">
        <v>409</v>
      </c>
      <c r="D42" s="734" t="s">
        <v>69</v>
      </c>
      <c r="E42" s="735">
        <v>0.56000000000000005</v>
      </c>
      <c r="F42" s="735">
        <v>0.28999999999999998</v>
      </c>
      <c r="G42" s="735">
        <v>0.28000000000000003</v>
      </c>
      <c r="H42" s="736">
        <v>8</v>
      </c>
      <c r="I42" s="420">
        <v>1</v>
      </c>
      <c r="J42" s="1109">
        <v>0.6</v>
      </c>
      <c r="K42" s="420">
        <v>1.05</v>
      </c>
      <c r="L42" s="420">
        <v>1.3</v>
      </c>
      <c r="M42" s="420">
        <v>0</v>
      </c>
      <c r="N42" s="420">
        <v>0</v>
      </c>
      <c r="O42" s="1029"/>
      <c r="P42" s="1039"/>
      <c r="Q42" s="1040"/>
      <c r="R42" s="1039"/>
      <c r="S42" s="1039"/>
    </row>
    <row r="43" spans="1:29" s="1018" customFormat="1">
      <c r="A43" s="1011"/>
      <c r="B43" s="516" t="s">
        <v>584</v>
      </c>
      <c r="C43" s="1029" t="s">
        <v>409</v>
      </c>
      <c r="D43" s="734" t="s">
        <v>68</v>
      </c>
      <c r="E43" s="735">
        <v>0.5</v>
      </c>
      <c r="F43" s="735">
        <v>0.28999999999999998</v>
      </c>
      <c r="G43" s="735">
        <v>0.28000000000000003</v>
      </c>
      <c r="H43" s="736">
        <v>8</v>
      </c>
      <c r="I43" s="420">
        <v>1</v>
      </c>
      <c r="J43" s="1109">
        <v>0.6</v>
      </c>
      <c r="K43" s="420">
        <v>1.05</v>
      </c>
      <c r="L43" s="420">
        <v>1.3</v>
      </c>
      <c r="M43" s="420">
        <v>0</v>
      </c>
      <c r="N43" s="420">
        <v>0</v>
      </c>
      <c r="P43" s="299"/>
      <c r="Q43" s="301"/>
      <c r="R43" s="301"/>
      <c r="S43" s="1039"/>
    </row>
    <row r="44" spans="1:29" s="1018" customFormat="1">
      <c r="A44" s="1011"/>
      <c r="B44" s="516" t="s">
        <v>585</v>
      </c>
      <c r="C44" s="1029" t="s">
        <v>409</v>
      </c>
      <c r="D44" s="734" t="s">
        <v>433</v>
      </c>
      <c r="E44" s="735">
        <v>0.5</v>
      </c>
      <c r="F44" s="735">
        <v>0.28999999999999998</v>
      </c>
      <c r="G44" s="735">
        <v>0.28000000000000003</v>
      </c>
      <c r="H44" s="736">
        <v>7.5</v>
      </c>
      <c r="I44" s="420">
        <v>1</v>
      </c>
      <c r="J44" s="1109">
        <v>0.55000000000000004</v>
      </c>
      <c r="K44" s="420">
        <v>1.05</v>
      </c>
      <c r="L44" s="420">
        <v>1.3</v>
      </c>
      <c r="M44" s="420">
        <v>0</v>
      </c>
      <c r="N44" s="420">
        <v>0</v>
      </c>
      <c r="P44" s="299"/>
      <c r="Q44" s="301"/>
      <c r="R44" s="301"/>
      <c r="S44" s="1039"/>
    </row>
    <row r="45" spans="1:29" s="1018" customFormat="1">
      <c r="A45" s="1011"/>
      <c r="B45" s="516" t="s">
        <v>586</v>
      </c>
      <c r="C45" s="1029" t="s">
        <v>409</v>
      </c>
      <c r="D45" s="734" t="s">
        <v>434</v>
      </c>
      <c r="E45" s="735">
        <v>0.5</v>
      </c>
      <c r="F45" s="735">
        <v>0.28999999999999998</v>
      </c>
      <c r="G45" s="735">
        <v>0.28000000000000003</v>
      </c>
      <c r="H45" s="736">
        <v>7.5</v>
      </c>
      <c r="I45" s="420">
        <v>1</v>
      </c>
      <c r="J45" s="1109">
        <v>0.5</v>
      </c>
      <c r="K45" s="420">
        <v>1.05</v>
      </c>
      <c r="L45" s="420">
        <v>1.3</v>
      </c>
      <c r="M45" s="420">
        <v>0</v>
      </c>
      <c r="N45" s="420">
        <v>0</v>
      </c>
      <c r="P45" s="299"/>
      <c r="Q45" s="301"/>
      <c r="R45" s="301"/>
      <c r="S45" s="1039"/>
    </row>
    <row r="46" spans="1:29" s="1018" customFormat="1">
      <c r="A46" s="1011"/>
      <c r="B46" s="516" t="s">
        <v>587</v>
      </c>
      <c r="C46" s="1029" t="s">
        <v>409</v>
      </c>
      <c r="D46" s="734" t="s">
        <v>435</v>
      </c>
      <c r="E46" s="735">
        <v>0.5</v>
      </c>
      <c r="F46" s="735">
        <v>0.28999999999999998</v>
      </c>
      <c r="G46" s="735">
        <v>0.28000000000000003</v>
      </c>
      <c r="H46" s="736">
        <v>7.5</v>
      </c>
      <c r="I46" s="420">
        <v>1</v>
      </c>
      <c r="J46" s="1109">
        <v>0.6</v>
      </c>
      <c r="K46" s="420">
        <v>1.05</v>
      </c>
      <c r="L46" s="420">
        <v>1.3</v>
      </c>
      <c r="M46" s="420">
        <v>0</v>
      </c>
      <c r="N46" s="420">
        <v>0</v>
      </c>
      <c r="P46" s="299"/>
      <c r="Q46" s="301"/>
      <c r="R46" s="301"/>
      <c r="S46" s="1039"/>
    </row>
    <row r="47" spans="1:29" s="1018" customFormat="1">
      <c r="A47" s="1011"/>
      <c r="B47" s="516" t="s">
        <v>588</v>
      </c>
      <c r="C47" s="1029" t="s">
        <v>409</v>
      </c>
      <c r="D47" s="734" t="s">
        <v>436</v>
      </c>
      <c r="E47" s="735">
        <v>0.5</v>
      </c>
      <c r="F47" s="735">
        <v>0.28999999999999998</v>
      </c>
      <c r="G47" s="735">
        <v>0.28000000000000003</v>
      </c>
      <c r="H47" s="736">
        <v>7.5</v>
      </c>
      <c r="I47" s="420">
        <v>1</v>
      </c>
      <c r="J47" s="1109">
        <v>0.5</v>
      </c>
      <c r="K47" s="420">
        <v>1.05</v>
      </c>
      <c r="L47" s="420">
        <v>1.3</v>
      </c>
      <c r="M47" s="420">
        <v>0</v>
      </c>
      <c r="N47" s="420">
        <v>0</v>
      </c>
      <c r="P47" s="299"/>
      <c r="Q47" s="301"/>
      <c r="R47" s="301"/>
      <c r="S47" s="1039"/>
    </row>
    <row r="48" spans="1:29" s="1018" customFormat="1">
      <c r="A48" s="1011"/>
      <c r="B48" s="516" t="s">
        <v>589</v>
      </c>
      <c r="C48" s="1029" t="s">
        <v>410</v>
      </c>
      <c r="D48" s="734" t="s">
        <v>69</v>
      </c>
      <c r="E48" s="735">
        <v>0.56000000000000005</v>
      </c>
      <c r="F48" s="735">
        <v>0.28999999999999998</v>
      </c>
      <c r="G48" s="735">
        <v>0.24</v>
      </c>
      <c r="H48" s="736">
        <v>3.3</v>
      </c>
      <c r="I48" s="420">
        <v>124</v>
      </c>
      <c r="J48" s="1109">
        <v>0.8</v>
      </c>
      <c r="K48" s="420">
        <v>130.80000000000001</v>
      </c>
      <c r="L48" s="420">
        <v>160.5</v>
      </c>
      <c r="M48" s="420" t="s">
        <v>349</v>
      </c>
      <c r="N48" s="420">
        <v>16</v>
      </c>
      <c r="P48" s="299"/>
      <c r="Q48" s="301"/>
      <c r="R48" s="301"/>
      <c r="S48" s="1039"/>
    </row>
    <row r="49" spans="1:23" s="1018" customFormat="1">
      <c r="A49" s="1011"/>
      <c r="B49" s="516" t="s">
        <v>590</v>
      </c>
      <c r="C49" s="1029" t="s">
        <v>410</v>
      </c>
      <c r="D49" s="734" t="s">
        <v>68</v>
      </c>
      <c r="E49" s="735">
        <v>0.56000000000000005</v>
      </c>
      <c r="F49" s="735">
        <v>0.28999999999999998</v>
      </c>
      <c r="G49" s="735">
        <v>0.24</v>
      </c>
      <c r="H49" s="736">
        <v>3.3</v>
      </c>
      <c r="I49" s="420">
        <v>124</v>
      </c>
      <c r="J49" s="1109">
        <v>0.8</v>
      </c>
      <c r="K49" s="420">
        <v>130.80000000000001</v>
      </c>
      <c r="L49" s="420">
        <v>160.5</v>
      </c>
      <c r="M49" s="420">
        <v>23.3</v>
      </c>
      <c r="N49" s="420">
        <v>16</v>
      </c>
      <c r="P49" s="299"/>
      <c r="Q49" s="301"/>
      <c r="R49" s="301"/>
      <c r="S49" s="1039"/>
    </row>
    <row r="50" spans="1:23" s="1018" customFormat="1">
      <c r="A50" s="1011"/>
      <c r="B50" s="516" t="s">
        <v>591</v>
      </c>
      <c r="C50" s="1029" t="s">
        <v>409</v>
      </c>
      <c r="D50" s="734" t="s">
        <v>446</v>
      </c>
      <c r="E50" s="735">
        <v>0.52</v>
      </c>
      <c r="F50" s="735">
        <v>0.28999999999999998</v>
      </c>
      <c r="G50" s="735">
        <v>0.29000000000000004</v>
      </c>
      <c r="H50" s="736">
        <v>6</v>
      </c>
      <c r="I50" s="420">
        <v>1</v>
      </c>
      <c r="J50" s="1109">
        <v>1</v>
      </c>
      <c r="K50" s="420">
        <v>1.05</v>
      </c>
      <c r="L50" s="420">
        <v>1.3</v>
      </c>
      <c r="M50" s="420">
        <v>0</v>
      </c>
      <c r="N50" s="420">
        <v>0</v>
      </c>
      <c r="P50" s="299"/>
      <c r="Q50" s="301"/>
      <c r="R50" s="301"/>
      <c r="S50" s="1039"/>
    </row>
    <row r="51" spans="1:23" s="1018" customFormat="1">
      <c r="A51" s="1011"/>
      <c r="C51" s="1020"/>
      <c r="D51" s="1029"/>
      <c r="E51" s="1029"/>
      <c r="F51" s="1029"/>
      <c r="G51" s="1029"/>
      <c r="H51" s="1029"/>
      <c r="I51" s="1068"/>
      <c r="J51" s="1335"/>
      <c r="K51" s="1029"/>
      <c r="L51" s="1029"/>
      <c r="M51" s="1029"/>
      <c r="N51" s="1029"/>
      <c r="O51" s="1029"/>
      <c r="P51" s="299"/>
      <c r="Q51" s="300"/>
      <c r="R51" s="301"/>
      <c r="S51" s="1039"/>
    </row>
    <row r="52" spans="1:23" s="1018" customFormat="1" ht="11.25">
      <c r="A52" s="1067"/>
      <c r="C52" s="1029"/>
      <c r="E52" s="1020"/>
      <c r="H52" s="264"/>
      <c r="I52" s="264"/>
      <c r="J52" s="302"/>
      <c r="K52" s="1029"/>
      <c r="L52" s="1029"/>
    </row>
    <row r="53" spans="1:23" s="1014" customFormat="1" ht="15.75">
      <c r="A53" s="1015">
        <v>3</v>
      </c>
      <c r="B53" s="1016" t="s">
        <v>631</v>
      </c>
      <c r="C53" s="1336"/>
      <c r="D53" s="1337"/>
      <c r="E53" s="1338"/>
      <c r="F53" s="1338"/>
      <c r="G53" s="1339"/>
      <c r="H53" s="1339"/>
      <c r="I53" s="1018"/>
      <c r="J53" s="1018"/>
      <c r="K53" s="1029"/>
      <c r="L53" s="1018"/>
      <c r="M53" s="1029"/>
      <c r="N53" s="1018"/>
      <c r="O53" s="1018"/>
      <c r="P53" s="1018"/>
      <c r="Q53" s="1018"/>
      <c r="R53" s="1018"/>
      <c r="S53" s="1018"/>
      <c r="T53" s="1331"/>
      <c r="U53" s="1331"/>
      <c r="V53" s="1331"/>
      <c r="W53" s="1331"/>
    </row>
    <row r="54" spans="1:23" s="1018" customFormat="1" ht="11.25">
      <c r="A54" s="1048"/>
      <c r="C54" s="1029"/>
      <c r="D54" s="1036"/>
      <c r="E54" s="1020"/>
      <c r="H54" s="264"/>
      <c r="I54" s="264"/>
      <c r="J54" s="302"/>
      <c r="K54" s="1029"/>
      <c r="L54" s="1029"/>
      <c r="N54" s="1054"/>
      <c r="P54" s="1054"/>
    </row>
    <row r="55" spans="1:23" s="1018" customFormat="1" ht="11.25">
      <c r="A55" s="1048"/>
      <c r="B55" s="1025"/>
      <c r="C55" s="1027"/>
      <c r="D55" s="1049"/>
      <c r="E55" s="1050" t="s">
        <v>35</v>
      </c>
      <c r="F55" s="1051"/>
      <c r="G55" s="1052"/>
      <c r="H55" s="1049"/>
      <c r="I55" s="1050" t="s">
        <v>34</v>
      </c>
      <c r="J55" s="1051"/>
      <c r="K55" s="1052"/>
      <c r="L55" s="1049"/>
      <c r="M55" s="1050" t="s">
        <v>33</v>
      </c>
      <c r="N55" s="1053"/>
      <c r="O55" s="1052"/>
      <c r="P55" s="1054"/>
    </row>
    <row r="56" spans="1:23" s="1018" customFormat="1" ht="11.25">
      <c r="A56" s="1048"/>
      <c r="B56" s="1025"/>
      <c r="C56" s="1055" t="s">
        <v>409</v>
      </c>
      <c r="D56" s="1056">
        <f>SUM(D59:D68)</f>
        <v>1</v>
      </c>
      <c r="E56" s="1057">
        <f>H16</f>
        <v>52745.061599999994</v>
      </c>
      <c r="F56" s="1058"/>
      <c r="G56" s="1059"/>
      <c r="H56" s="1056">
        <f>SUM(H59:H68)</f>
        <v>1</v>
      </c>
      <c r="I56" s="1057">
        <f>I16</f>
        <v>57053.581200000001</v>
      </c>
      <c r="J56" s="1058"/>
      <c r="K56" s="1059"/>
      <c r="L56" s="1056">
        <f>SUM(L59:L68)</f>
        <v>1</v>
      </c>
      <c r="M56" s="1057">
        <f>J16</f>
        <v>63228.211200000005</v>
      </c>
      <c r="N56" s="1060"/>
      <c r="O56" s="1059"/>
      <c r="P56" s="1054"/>
    </row>
    <row r="57" spans="1:23" s="1018" customFormat="1" ht="11.25">
      <c r="A57" s="1048"/>
      <c r="B57" s="1025"/>
      <c r="C57" s="1058" t="s">
        <v>410</v>
      </c>
      <c r="D57" s="1061"/>
      <c r="E57" s="1059"/>
      <c r="F57" s="1062">
        <f>SUM(F59:F68)</f>
        <v>1</v>
      </c>
      <c r="G57" s="1063">
        <f>H19</f>
        <v>117400.29839999999</v>
      </c>
      <c r="H57" s="1061"/>
      <c r="I57" s="1059"/>
      <c r="J57" s="1062">
        <f>SUM(J59:J68)</f>
        <v>1</v>
      </c>
      <c r="K57" s="1063">
        <f>I19</f>
        <v>124068.89880000001</v>
      </c>
      <c r="L57" s="1061"/>
      <c r="M57" s="1059"/>
      <c r="N57" s="1062">
        <f>SUM(N59:N68)</f>
        <v>1</v>
      </c>
      <c r="O57" s="1063">
        <f>J19</f>
        <v>134359.94879999998</v>
      </c>
      <c r="P57" s="1054"/>
    </row>
    <row r="58" spans="1:23" s="1018" customFormat="1" ht="11.25">
      <c r="A58" s="1048"/>
      <c r="B58" s="1030" t="s">
        <v>66</v>
      </c>
      <c r="C58" s="1030" t="s">
        <v>431</v>
      </c>
      <c r="D58" s="1064"/>
      <c r="E58" s="1034"/>
      <c r="F58" s="1030"/>
      <c r="G58" s="1065"/>
      <c r="H58" s="1064"/>
      <c r="I58" s="1034"/>
      <c r="J58" s="1030"/>
      <c r="K58" s="1065"/>
      <c r="L58" s="1064"/>
      <c r="M58" s="1034"/>
      <c r="N58" s="1066"/>
      <c r="O58" s="1065"/>
      <c r="P58" s="1054"/>
    </row>
    <row r="59" spans="1:23" s="1108" customFormat="1" ht="11.25">
      <c r="A59" s="1107"/>
      <c r="B59" s="1359" t="str">
        <f t="shared" ref="B59:C67" si="0">B42</f>
        <v>BR01-01</v>
      </c>
      <c r="C59" s="1109" t="str">
        <f t="shared" si="0"/>
        <v>[retail]</v>
      </c>
      <c r="D59" s="188">
        <v>0.13</v>
      </c>
      <c r="E59" s="1110">
        <f t="shared" ref="E59:E67" si="1">IF(C59="[retail]",VLOOKUP(C59,retail_wholesale,3,FALSE)*D59,"")</f>
        <v>6856.8580079999992</v>
      </c>
      <c r="F59" s="1109"/>
      <c r="G59" s="327" t="str">
        <f t="shared" ref="G59:G67" si="2">IF(C59="[wholesale]",F59*VLOOKUP(C59,retail_wholesale,5,FALSE),"")</f>
        <v/>
      </c>
      <c r="H59" s="188">
        <v>0.13</v>
      </c>
      <c r="I59" s="1110">
        <f t="shared" ref="I59:I68" si="3">IF(C59="[retail]",VLOOKUP(C59,retail_wholesale,7,FALSE)*H59,"")</f>
        <v>7416.9655560000001</v>
      </c>
      <c r="J59" s="1109"/>
      <c r="K59" s="309" t="str">
        <f>IF(C59="[wholesale]",VLOOKUP(C59,retail_wholesale,9,FALSE)*J59,"")</f>
        <v/>
      </c>
      <c r="L59" s="188">
        <v>0.13</v>
      </c>
      <c r="M59" s="1110">
        <f t="shared" ref="M59:M67" si="4">IF(C59="[retail]",VLOOKUP(C59,retail_wholesale,11,FALSE)*L59,"")</f>
        <v>8219.667456000001</v>
      </c>
      <c r="N59" s="1111"/>
      <c r="O59" s="1110" t="str">
        <f t="shared" ref="O59:O67" si="5">IF(C59="[wholesale]",VLOOKUP(C59,retail_wholesale,13,FALSE)*N59,"")</f>
        <v/>
      </c>
      <c r="P59" s="1111"/>
    </row>
    <row r="60" spans="1:23" s="1108" customFormat="1" ht="11.25">
      <c r="A60" s="1107"/>
      <c r="B60" s="1359" t="str">
        <f t="shared" si="0"/>
        <v>BR01-02</v>
      </c>
      <c r="C60" s="1109" t="str">
        <f t="shared" si="0"/>
        <v>[retail]</v>
      </c>
      <c r="D60" s="188">
        <v>0.13</v>
      </c>
      <c r="E60" s="1110">
        <f t="shared" si="1"/>
        <v>6856.8580079999992</v>
      </c>
      <c r="F60" s="1109"/>
      <c r="G60" s="327" t="str">
        <f t="shared" si="2"/>
        <v/>
      </c>
      <c r="H60" s="188">
        <v>0.13</v>
      </c>
      <c r="I60" s="1110">
        <f t="shared" si="3"/>
        <v>7416.9655560000001</v>
      </c>
      <c r="J60" s="1109"/>
      <c r="K60" s="309" t="str">
        <f t="shared" ref="K60:K67" si="6">IF(C60="[wholesale]",VLOOKUP(C60,retail_wholesale,9,FALSE)*J60,"")</f>
        <v/>
      </c>
      <c r="L60" s="188">
        <v>0.13</v>
      </c>
      <c r="M60" s="1110">
        <f t="shared" si="4"/>
        <v>8219.667456000001</v>
      </c>
      <c r="N60" s="1111"/>
      <c r="O60" s="1110" t="str">
        <f t="shared" si="5"/>
        <v/>
      </c>
      <c r="P60" s="1111"/>
    </row>
    <row r="61" spans="1:23" s="1108" customFormat="1" ht="11.25">
      <c r="A61" s="1107"/>
      <c r="B61" s="1359" t="str">
        <f t="shared" si="0"/>
        <v>BR01-03</v>
      </c>
      <c r="C61" s="1109" t="str">
        <f t="shared" si="0"/>
        <v>[retail]</v>
      </c>
      <c r="D61" s="188">
        <v>0.17</v>
      </c>
      <c r="E61" s="1110">
        <f t="shared" si="1"/>
        <v>8966.6604719999996</v>
      </c>
      <c r="F61" s="1109"/>
      <c r="G61" s="327" t="str">
        <f t="shared" si="2"/>
        <v/>
      </c>
      <c r="H61" s="188">
        <v>0.17</v>
      </c>
      <c r="I61" s="1110">
        <f t="shared" si="3"/>
        <v>9699.1088040000013</v>
      </c>
      <c r="J61" s="1109"/>
      <c r="K61" s="309" t="str">
        <f t="shared" si="6"/>
        <v/>
      </c>
      <c r="L61" s="188">
        <v>0.17</v>
      </c>
      <c r="M61" s="1110">
        <f t="shared" si="4"/>
        <v>10748.795904000002</v>
      </c>
      <c r="N61" s="1111"/>
      <c r="O61" s="1110" t="str">
        <f t="shared" si="5"/>
        <v/>
      </c>
      <c r="P61" s="1111"/>
    </row>
    <row r="62" spans="1:23" s="1108" customFormat="1" ht="11.25">
      <c r="A62" s="1107"/>
      <c r="B62" s="1359" t="str">
        <f t="shared" si="0"/>
        <v>BR01-04</v>
      </c>
      <c r="C62" s="1109" t="str">
        <f t="shared" si="0"/>
        <v>[retail]</v>
      </c>
      <c r="D62" s="188">
        <v>0.19</v>
      </c>
      <c r="E62" s="1110">
        <f t="shared" si="1"/>
        <v>10021.561704</v>
      </c>
      <c r="F62" s="1109"/>
      <c r="G62" s="327" t="str">
        <f t="shared" si="2"/>
        <v/>
      </c>
      <c r="H62" s="188">
        <v>0.19</v>
      </c>
      <c r="I62" s="1110">
        <f t="shared" si="3"/>
        <v>10840.180428</v>
      </c>
      <c r="J62" s="1109"/>
      <c r="K62" s="309" t="str">
        <f t="shared" si="6"/>
        <v/>
      </c>
      <c r="L62" s="188">
        <v>0.19</v>
      </c>
      <c r="M62" s="1110">
        <f t="shared" si="4"/>
        <v>12013.360128</v>
      </c>
      <c r="N62" s="1111"/>
      <c r="O62" s="1110" t="str">
        <f t="shared" si="5"/>
        <v/>
      </c>
      <c r="P62" s="1111"/>
    </row>
    <row r="63" spans="1:23" s="1108" customFormat="1" ht="11.25">
      <c r="A63" s="1107"/>
      <c r="B63" s="1359" t="str">
        <f t="shared" si="0"/>
        <v>BR01-05</v>
      </c>
      <c r="C63" s="1109" t="str">
        <f t="shared" si="0"/>
        <v>[retail]</v>
      </c>
      <c r="D63" s="188">
        <v>0.22</v>
      </c>
      <c r="E63" s="1110">
        <f t="shared" si="1"/>
        <v>11603.913551999998</v>
      </c>
      <c r="F63" s="1109"/>
      <c r="G63" s="327" t="str">
        <f t="shared" si="2"/>
        <v/>
      </c>
      <c r="H63" s="188">
        <v>0.22</v>
      </c>
      <c r="I63" s="1110">
        <f t="shared" si="3"/>
        <v>12551.787864</v>
      </c>
      <c r="J63" s="1109"/>
      <c r="K63" s="309" t="str">
        <f t="shared" si="6"/>
        <v/>
      </c>
      <c r="L63" s="188">
        <v>0.22</v>
      </c>
      <c r="M63" s="1110">
        <f t="shared" si="4"/>
        <v>13910.206464000001</v>
      </c>
      <c r="N63" s="1111"/>
      <c r="O63" s="1110" t="str">
        <f t="shared" si="5"/>
        <v/>
      </c>
      <c r="P63" s="1111"/>
    </row>
    <row r="64" spans="1:23" s="1108" customFormat="1" ht="11.25">
      <c r="A64" s="1107"/>
      <c r="B64" s="1359" t="str">
        <f t="shared" si="0"/>
        <v>BR01-06</v>
      </c>
      <c r="C64" s="1109" t="str">
        <f t="shared" si="0"/>
        <v>[retail]</v>
      </c>
      <c r="D64" s="188">
        <v>0.16</v>
      </c>
      <c r="E64" s="1110">
        <f t="shared" si="1"/>
        <v>8439.2098559999995</v>
      </c>
      <c r="F64" s="1109"/>
      <c r="G64" s="327" t="str">
        <f t="shared" si="2"/>
        <v/>
      </c>
      <c r="H64" s="188">
        <v>0.16</v>
      </c>
      <c r="I64" s="1110">
        <f t="shared" si="3"/>
        <v>9128.5729919999994</v>
      </c>
      <c r="J64" s="1109"/>
      <c r="K64" s="309" t="str">
        <f t="shared" si="6"/>
        <v/>
      </c>
      <c r="L64" s="188">
        <v>0.16</v>
      </c>
      <c r="M64" s="1110">
        <f t="shared" si="4"/>
        <v>10116.513792000002</v>
      </c>
      <c r="N64" s="1111"/>
      <c r="O64" s="1110" t="str">
        <f t="shared" si="5"/>
        <v/>
      </c>
      <c r="P64" s="1111"/>
    </row>
    <row r="65" spans="1:48" s="1108" customFormat="1" ht="11.25">
      <c r="A65" s="1107"/>
      <c r="B65" s="1359" t="str">
        <f t="shared" si="0"/>
        <v>BR01-07</v>
      </c>
      <c r="C65" s="1109" t="str">
        <f t="shared" si="0"/>
        <v>[wholesale]</v>
      </c>
      <c r="D65" s="326"/>
      <c r="E65" s="1110" t="str">
        <f t="shared" si="1"/>
        <v/>
      </c>
      <c r="F65" s="188">
        <v>0.45</v>
      </c>
      <c r="G65" s="327">
        <f t="shared" si="2"/>
        <v>52830.134279999991</v>
      </c>
      <c r="H65" s="1109"/>
      <c r="I65" s="1110" t="str">
        <f t="shared" si="3"/>
        <v/>
      </c>
      <c r="J65" s="188">
        <v>0.48</v>
      </c>
      <c r="K65" s="309">
        <f t="shared" si="6"/>
        <v>59553.071424000002</v>
      </c>
      <c r="L65" s="1109"/>
      <c r="M65" s="1110" t="str">
        <f t="shared" si="4"/>
        <v/>
      </c>
      <c r="N65" s="188">
        <v>0.5</v>
      </c>
      <c r="O65" s="1110">
        <f t="shared" si="5"/>
        <v>67179.974399999992</v>
      </c>
      <c r="P65" s="1111"/>
    </row>
    <row r="66" spans="1:48" s="1108" customFormat="1" ht="11.25">
      <c r="A66" s="1107"/>
      <c r="B66" s="1359" t="str">
        <f t="shared" si="0"/>
        <v>BR01-08</v>
      </c>
      <c r="C66" s="1109" t="str">
        <f t="shared" si="0"/>
        <v>[wholesale]</v>
      </c>
      <c r="D66" s="326"/>
      <c r="E66" s="1110" t="str">
        <f t="shared" si="1"/>
        <v/>
      </c>
      <c r="F66" s="188">
        <v>0.55000000000000004</v>
      </c>
      <c r="G66" s="327">
        <f t="shared" si="2"/>
        <v>64570.164119999994</v>
      </c>
      <c r="H66" s="1109"/>
      <c r="I66" s="1110" t="str">
        <f t="shared" si="3"/>
        <v/>
      </c>
      <c r="J66" s="188">
        <v>0.52</v>
      </c>
      <c r="K66" s="309">
        <f t="shared" si="6"/>
        <v>64515.827376000008</v>
      </c>
      <c r="L66" s="1109"/>
      <c r="M66" s="1110" t="str">
        <f t="shared" si="4"/>
        <v/>
      </c>
      <c r="N66" s="188">
        <v>0.5</v>
      </c>
      <c r="O66" s="1110">
        <f t="shared" si="5"/>
        <v>67179.974399999992</v>
      </c>
      <c r="P66" s="1111"/>
    </row>
    <row r="67" spans="1:48" s="1108" customFormat="1" ht="11.25">
      <c r="A67" s="1107"/>
      <c r="B67" s="1359" t="str">
        <f t="shared" si="0"/>
        <v>BR01-09</v>
      </c>
      <c r="C67" s="1109" t="str">
        <f t="shared" si="0"/>
        <v>[retail]</v>
      </c>
      <c r="D67" s="188">
        <v>0</v>
      </c>
      <c r="E67" s="1110">
        <f t="shared" si="1"/>
        <v>0</v>
      </c>
      <c r="F67" s="1109"/>
      <c r="G67" s="327" t="str">
        <f t="shared" si="2"/>
        <v/>
      </c>
      <c r="H67" s="188">
        <v>0</v>
      </c>
      <c r="I67" s="1110">
        <f t="shared" si="3"/>
        <v>0</v>
      </c>
      <c r="J67" s="1109"/>
      <c r="K67" s="309" t="str">
        <f t="shared" si="6"/>
        <v/>
      </c>
      <c r="L67" s="188">
        <v>0</v>
      </c>
      <c r="M67" s="1110">
        <f t="shared" si="4"/>
        <v>0</v>
      </c>
      <c r="N67" s="1111"/>
      <c r="O67" s="1110" t="str">
        <f t="shared" si="5"/>
        <v/>
      </c>
      <c r="P67" s="1111"/>
    </row>
    <row r="68" spans="1:48" s="1012" customFormat="1" ht="11.25">
      <c r="B68" s="1067"/>
      <c r="C68" s="1018"/>
      <c r="D68" s="1029"/>
      <c r="E68" s="1335"/>
      <c r="F68" s="1029"/>
      <c r="G68" s="1335"/>
      <c r="H68" s="1029"/>
      <c r="I68" s="1335" t="str">
        <f t="shared" si="3"/>
        <v/>
      </c>
      <c r="J68" s="1029"/>
      <c r="K68" s="1335"/>
      <c r="L68" s="1029"/>
      <c r="M68" s="1335"/>
      <c r="N68" s="1029"/>
      <c r="O68" s="1335"/>
      <c r="P68" s="1018"/>
      <c r="Q68" s="1018"/>
      <c r="R68" s="1069"/>
      <c r="S68" s="1040"/>
      <c r="T68" s="1018"/>
      <c r="U68" s="1018"/>
      <c r="V68" s="1018"/>
      <c r="W68" s="1018"/>
    </row>
    <row r="69" spans="1:48" s="1010" customFormat="1" ht="15.75">
      <c r="A69" s="1291">
        <v>4</v>
      </c>
      <c r="B69" s="1071" t="s">
        <v>632</v>
      </c>
      <c r="C69" s="1071"/>
      <c r="D69" s="1291"/>
      <c r="E69" s="1291"/>
      <c r="F69" s="1291"/>
      <c r="G69" s="1291"/>
      <c r="H69" s="1340"/>
      <c r="I69" s="1341"/>
      <c r="J69" s="1093"/>
      <c r="K69" s="1342"/>
      <c r="M69" s="1342"/>
      <c r="O69" s="1342"/>
    </row>
    <row r="70" spans="1:48" s="1074" customFormat="1">
      <c r="A70" s="1073"/>
      <c r="D70" s="1091"/>
      <c r="H70" s="1029"/>
      <c r="I70" s="1029"/>
      <c r="J70" s="1029"/>
      <c r="K70" s="1029"/>
      <c r="L70" s="1029"/>
      <c r="M70" s="1029"/>
      <c r="N70" s="1010"/>
      <c r="O70" s="1010"/>
      <c r="P70" s="1010"/>
      <c r="Q70" s="1010"/>
      <c r="R70" s="1010"/>
      <c r="S70" s="1010"/>
      <c r="T70" s="1010"/>
      <c r="U70" s="1010"/>
      <c r="V70" s="1010"/>
      <c r="W70" s="1010"/>
      <c r="X70" s="1010"/>
      <c r="Y70" s="1010"/>
      <c r="Z70" s="1010"/>
      <c r="AA70" s="1010"/>
      <c r="AB70" s="1010"/>
      <c r="AC70" s="1010"/>
      <c r="AD70" s="1010"/>
      <c r="AE70" s="1010"/>
      <c r="AF70" s="1010"/>
      <c r="AG70" s="1010"/>
      <c r="AH70" s="1010"/>
      <c r="AI70" s="1010"/>
      <c r="AJ70" s="1010"/>
      <c r="AK70" s="1010"/>
      <c r="AL70" s="1010"/>
      <c r="AM70" s="1010"/>
      <c r="AN70" s="1010"/>
      <c r="AO70" s="1010"/>
      <c r="AP70" s="1010"/>
      <c r="AQ70" s="1010"/>
      <c r="AR70" s="1010"/>
      <c r="AS70" s="1010"/>
      <c r="AT70" s="1010"/>
      <c r="AU70" s="1010"/>
      <c r="AV70" s="1010"/>
    </row>
    <row r="71" spans="1:48" s="1018" customFormat="1">
      <c r="A71" s="1343"/>
      <c r="B71" s="1010" t="s">
        <v>437</v>
      </c>
      <c r="D71" s="1031" t="str">
        <f>B42</f>
        <v>BR01-01</v>
      </c>
      <c r="E71" s="1033" t="str">
        <f>IF(B43="","",B43)</f>
        <v>BR01-02</v>
      </c>
      <c r="F71" s="1033" t="str">
        <f>IF(B44="","",B44)</f>
        <v>BR01-03</v>
      </c>
      <c r="G71" s="1033" t="str">
        <f>IF(B45="","",B45)</f>
        <v>BR01-04</v>
      </c>
      <c r="H71" s="1030" t="str">
        <f>IF(B46="","",B46)</f>
        <v>BR01-05</v>
      </c>
      <c r="I71" s="1030" t="str">
        <f>IF(B47="","",B47)</f>
        <v>BR01-06</v>
      </c>
      <c r="J71" s="1030" t="str">
        <f>IF(B48="","",B48)</f>
        <v>BR01-07</v>
      </c>
      <c r="K71" s="1030" t="str">
        <f>IF(B49="","",B49)</f>
        <v>BR01-08</v>
      </c>
      <c r="L71" s="1030" t="str">
        <f>IF(B50="","",B50)</f>
        <v>BR01-09</v>
      </c>
      <c r="N71" s="1030"/>
    </row>
    <row r="72" spans="1:48" s="1018" customFormat="1" ht="11.25">
      <c r="A72" s="1343"/>
      <c r="D72" s="1033" t="str">
        <f>C42</f>
        <v>[retail]</v>
      </c>
      <c r="E72" s="1033" t="str">
        <f>C43</f>
        <v>[retail]</v>
      </c>
      <c r="F72" s="1033" t="str">
        <f>C44</f>
        <v>[retail]</v>
      </c>
      <c r="G72" s="1033" t="str">
        <f>C45</f>
        <v>[retail]</v>
      </c>
      <c r="H72" s="1033" t="str">
        <f>C46</f>
        <v>[retail]</v>
      </c>
      <c r="I72" s="1033" t="str">
        <f>C47</f>
        <v>[retail]</v>
      </c>
      <c r="J72" s="1033" t="str">
        <f>C48</f>
        <v>[wholesale]</v>
      </c>
      <c r="K72" s="1033" t="str">
        <f>C49</f>
        <v>[wholesale]</v>
      </c>
      <c r="L72" s="1033" t="str">
        <f>C50</f>
        <v>[retail]</v>
      </c>
      <c r="N72" s="1030"/>
    </row>
    <row r="73" spans="1:48" s="1074" customFormat="1">
      <c r="A73" s="1073"/>
      <c r="B73" s="1075" t="s">
        <v>35</v>
      </c>
      <c r="C73" s="1075"/>
      <c r="D73" s="1076" t="s">
        <v>411</v>
      </c>
      <c r="E73" s="1075"/>
      <c r="F73" s="1075"/>
      <c r="G73" s="1075"/>
      <c r="H73" s="1075"/>
      <c r="I73" s="1075"/>
      <c r="J73" s="1075"/>
      <c r="K73" s="1075"/>
      <c r="L73" s="1010"/>
      <c r="M73" s="1010"/>
      <c r="N73" s="1010"/>
      <c r="O73" s="1010"/>
      <c r="P73" s="1010"/>
      <c r="Q73" s="1010"/>
      <c r="R73" s="1010"/>
      <c r="S73" s="1010"/>
      <c r="T73" s="1010"/>
      <c r="U73" s="1010"/>
      <c r="V73" s="1010"/>
      <c r="W73" s="1010"/>
      <c r="X73" s="1010"/>
      <c r="Y73" s="1010"/>
      <c r="Z73" s="1010"/>
      <c r="AA73" s="1010"/>
      <c r="AB73" s="1010"/>
      <c r="AC73" s="1010"/>
      <c r="AD73" s="1010"/>
      <c r="AE73" s="1010"/>
      <c r="AF73" s="1010"/>
      <c r="AG73" s="1010"/>
      <c r="AH73" s="1010"/>
      <c r="AI73" s="1010"/>
      <c r="AJ73" s="1010"/>
      <c r="AK73" s="1010"/>
      <c r="AL73" s="1010"/>
      <c r="AM73" s="1010"/>
      <c r="AN73" s="1010"/>
      <c r="AO73" s="1010"/>
      <c r="AP73" s="1010"/>
      <c r="AQ73" s="1010"/>
      <c r="AR73" s="1010"/>
      <c r="AS73" s="1010"/>
      <c r="AT73" s="1010"/>
      <c r="AU73" s="1010"/>
      <c r="AV73" s="1010"/>
    </row>
    <row r="74" spans="1:48" s="1074" customFormat="1">
      <c r="A74" s="304"/>
      <c r="B74" s="1077" t="s">
        <v>47</v>
      </c>
      <c r="C74" s="1123"/>
      <c r="D74" s="188">
        <v>0.06</v>
      </c>
      <c r="E74" s="188">
        <v>0.06</v>
      </c>
      <c r="F74" s="188">
        <v>0.03</v>
      </c>
      <c r="G74" s="188">
        <v>0</v>
      </c>
      <c r="H74" s="188">
        <v>0.12</v>
      </c>
      <c r="I74" s="188">
        <v>0.18</v>
      </c>
      <c r="J74" s="188">
        <v>0.05</v>
      </c>
      <c r="K74" s="188">
        <v>0.05</v>
      </c>
      <c r="L74" s="325"/>
      <c r="M74" s="325"/>
      <c r="N74" s="325"/>
      <c r="O74" s="325"/>
      <c r="P74" s="1010"/>
      <c r="Q74" s="1010"/>
      <c r="R74" s="1010"/>
      <c r="S74" s="1010"/>
      <c r="T74" s="1010"/>
      <c r="U74" s="1010"/>
      <c r="V74" s="1010"/>
      <c r="W74" s="1010"/>
      <c r="X74" s="1010"/>
      <c r="Y74" s="1010"/>
      <c r="Z74" s="1010"/>
      <c r="AA74" s="1010"/>
      <c r="AB74" s="1010"/>
      <c r="AC74" s="1010"/>
      <c r="AD74" s="1010"/>
      <c r="AE74" s="1010"/>
      <c r="AF74" s="1010"/>
      <c r="AG74" s="1010"/>
      <c r="AH74" s="1010"/>
      <c r="AI74" s="1010"/>
      <c r="AJ74" s="1010"/>
      <c r="AK74" s="1010"/>
      <c r="AL74" s="1010"/>
      <c r="AM74" s="1010"/>
      <c r="AN74" s="1010"/>
      <c r="AO74" s="1010"/>
      <c r="AP74" s="1010"/>
      <c r="AQ74" s="1010"/>
      <c r="AR74" s="1010"/>
      <c r="AS74" s="1010"/>
      <c r="AT74" s="1010"/>
      <c r="AU74" s="1010"/>
      <c r="AV74" s="1010"/>
    </row>
    <row r="75" spans="1:48" s="1074" customFormat="1">
      <c r="A75" s="306"/>
      <c r="B75" s="1077" t="s">
        <v>46</v>
      </c>
      <c r="C75" s="1123"/>
      <c r="D75" s="188">
        <v>0.06</v>
      </c>
      <c r="E75" s="188">
        <v>0.06</v>
      </c>
      <c r="F75" s="188">
        <v>0.04</v>
      </c>
      <c r="G75" s="188">
        <v>0.02</v>
      </c>
      <c r="H75" s="188">
        <v>7.0000000000000007E-2</v>
      </c>
      <c r="I75" s="188">
        <v>0.11</v>
      </c>
      <c r="J75" s="188">
        <v>0.05</v>
      </c>
      <c r="K75" s="188">
        <v>0.05</v>
      </c>
      <c r="L75" s="325"/>
      <c r="M75" s="325"/>
      <c r="N75" s="325"/>
      <c r="O75" s="325"/>
      <c r="P75" s="1010"/>
      <c r="Q75" s="1010"/>
      <c r="R75" s="1010"/>
      <c r="S75" s="1010"/>
      <c r="T75" s="1010"/>
      <c r="U75" s="1010"/>
      <c r="V75" s="1010"/>
      <c r="W75" s="1010"/>
      <c r="X75" s="1010"/>
      <c r="Y75" s="1010"/>
      <c r="Z75" s="1010"/>
      <c r="AA75" s="1010"/>
      <c r="AB75" s="1010"/>
      <c r="AC75" s="1010"/>
      <c r="AD75" s="1010"/>
      <c r="AE75" s="1010"/>
      <c r="AF75" s="1010"/>
      <c r="AG75" s="1010"/>
      <c r="AH75" s="1010"/>
      <c r="AI75" s="1010"/>
      <c r="AJ75" s="1010"/>
      <c r="AK75" s="1010"/>
      <c r="AL75" s="1010"/>
      <c r="AM75" s="1010"/>
      <c r="AN75" s="1010"/>
      <c r="AO75" s="1010"/>
      <c r="AP75" s="1010"/>
      <c r="AQ75" s="1010"/>
      <c r="AR75" s="1010"/>
      <c r="AS75" s="1010"/>
      <c r="AT75" s="1010"/>
      <c r="AU75" s="1010"/>
      <c r="AV75" s="1010"/>
    </row>
    <row r="76" spans="1:48" s="1074" customFormat="1">
      <c r="B76" s="1078" t="s">
        <v>45</v>
      </c>
      <c r="C76" s="1123"/>
      <c r="D76" s="188">
        <v>0.06</v>
      </c>
      <c r="E76" s="188">
        <v>0.06</v>
      </c>
      <c r="F76" s="188">
        <v>0.06</v>
      </c>
      <c r="G76" s="188">
        <v>0.03</v>
      </c>
      <c r="H76" s="188">
        <v>7.0000000000000007E-2</v>
      </c>
      <c r="I76" s="188">
        <v>0.09</v>
      </c>
      <c r="J76" s="188">
        <v>0.06</v>
      </c>
      <c r="K76" s="188">
        <v>0.06</v>
      </c>
      <c r="L76" s="325"/>
      <c r="M76" s="325"/>
      <c r="N76" s="325"/>
      <c r="O76" s="325"/>
      <c r="P76" s="1010"/>
      <c r="Q76" s="1010"/>
      <c r="R76" s="1010"/>
      <c r="S76" s="1010"/>
      <c r="T76" s="1010"/>
      <c r="U76" s="1010"/>
      <c r="V76" s="1010"/>
      <c r="W76" s="1010"/>
      <c r="X76" s="1010"/>
      <c r="Y76" s="1010"/>
      <c r="Z76" s="1010"/>
      <c r="AA76" s="1010"/>
      <c r="AB76" s="1010"/>
      <c r="AC76" s="1010"/>
      <c r="AD76" s="1010"/>
      <c r="AE76" s="1010"/>
      <c r="AF76" s="1010"/>
      <c r="AG76" s="1010"/>
      <c r="AH76" s="1010"/>
      <c r="AI76" s="1010"/>
      <c r="AJ76" s="1010"/>
      <c r="AK76" s="1010"/>
      <c r="AL76" s="1010"/>
      <c r="AM76" s="1010"/>
      <c r="AN76" s="1010"/>
      <c r="AO76" s="1010"/>
      <c r="AP76" s="1010"/>
      <c r="AQ76" s="1010"/>
      <c r="AR76" s="1010"/>
      <c r="AS76" s="1010"/>
      <c r="AT76" s="1010"/>
      <c r="AU76" s="1010"/>
      <c r="AV76" s="1010"/>
    </row>
    <row r="77" spans="1:48" s="1074" customFormat="1">
      <c r="B77" s="1078" t="s">
        <v>44</v>
      </c>
      <c r="C77" s="1123"/>
      <c r="D77" s="188">
        <v>0.06</v>
      </c>
      <c r="E77" s="188">
        <v>7.0000000000000007E-2</v>
      </c>
      <c r="F77" s="188">
        <v>7.0000000000000007E-2</v>
      </c>
      <c r="G77" s="188">
        <v>7.0000000000000007E-2</v>
      </c>
      <c r="H77" s="188">
        <v>7.0000000000000007E-2</v>
      </c>
      <c r="I77" s="188">
        <v>7.0000000000000007E-2</v>
      </c>
      <c r="J77" s="188">
        <v>7.0000000000000007E-2</v>
      </c>
      <c r="K77" s="188">
        <v>7.0000000000000007E-2</v>
      </c>
      <c r="L77" s="325"/>
      <c r="M77" s="325"/>
      <c r="N77" s="325"/>
      <c r="O77" s="325"/>
      <c r="P77" s="1010"/>
      <c r="Q77" s="1010"/>
      <c r="R77" s="1010"/>
      <c r="S77" s="1010"/>
      <c r="T77" s="1010"/>
      <c r="U77" s="1010"/>
      <c r="V77" s="1010"/>
      <c r="W77" s="1010"/>
      <c r="X77" s="1010"/>
      <c r="Y77" s="1010"/>
      <c r="Z77" s="1010"/>
      <c r="AA77" s="1010"/>
      <c r="AB77" s="1010"/>
      <c r="AC77" s="1010"/>
      <c r="AD77" s="1010"/>
      <c r="AE77" s="1010"/>
      <c r="AF77" s="1010"/>
      <c r="AG77" s="1010"/>
      <c r="AH77" s="1010"/>
      <c r="AI77" s="1010"/>
      <c r="AJ77" s="1010"/>
      <c r="AK77" s="1010"/>
      <c r="AL77" s="1010"/>
      <c r="AM77" s="1010"/>
      <c r="AN77" s="1010"/>
      <c r="AO77" s="1010"/>
      <c r="AP77" s="1010"/>
      <c r="AQ77" s="1010"/>
      <c r="AR77" s="1010"/>
      <c r="AS77" s="1010"/>
      <c r="AT77" s="1010"/>
      <c r="AU77" s="1010"/>
      <c r="AV77" s="1010"/>
    </row>
    <row r="78" spans="1:48" s="1074" customFormat="1">
      <c r="B78" s="1078" t="s">
        <v>43</v>
      </c>
      <c r="C78" s="1123"/>
      <c r="D78" s="188">
        <v>0.08</v>
      </c>
      <c r="E78" s="188">
        <v>0.08</v>
      </c>
      <c r="F78" s="188">
        <v>0.08</v>
      </c>
      <c r="G78" s="188">
        <v>0.08</v>
      </c>
      <c r="H78" s="188">
        <v>0.06</v>
      </c>
      <c r="I78" s="188">
        <v>0.06</v>
      </c>
      <c r="J78" s="188">
        <v>0.08</v>
      </c>
      <c r="K78" s="188">
        <v>0.08</v>
      </c>
      <c r="L78" s="325"/>
      <c r="M78" s="325"/>
      <c r="N78" s="325"/>
      <c r="O78" s="325"/>
      <c r="P78" s="1010"/>
      <c r="Q78" s="1010"/>
      <c r="R78" s="1010"/>
      <c r="S78" s="1010"/>
      <c r="T78" s="1010"/>
      <c r="U78" s="1010"/>
      <c r="V78" s="1010"/>
      <c r="W78" s="1010"/>
      <c r="X78" s="1010"/>
      <c r="Y78" s="1010"/>
      <c r="Z78" s="1010"/>
      <c r="AA78" s="1010"/>
      <c r="AB78" s="1010"/>
      <c r="AC78" s="1010"/>
      <c r="AD78" s="1010"/>
      <c r="AE78" s="1010"/>
      <c r="AF78" s="1010"/>
      <c r="AG78" s="1010"/>
      <c r="AH78" s="1010"/>
      <c r="AI78" s="1010"/>
      <c r="AJ78" s="1010"/>
      <c r="AK78" s="1010"/>
      <c r="AL78" s="1010"/>
      <c r="AM78" s="1010"/>
      <c r="AN78" s="1010"/>
      <c r="AO78" s="1010"/>
      <c r="AP78" s="1010"/>
      <c r="AQ78" s="1010"/>
      <c r="AR78" s="1010"/>
      <c r="AS78" s="1010"/>
      <c r="AT78" s="1010"/>
      <c r="AU78" s="1010"/>
      <c r="AV78" s="1010"/>
    </row>
    <row r="79" spans="1:48" s="1074" customFormat="1">
      <c r="A79" s="1010"/>
      <c r="B79" s="1078" t="s">
        <v>42</v>
      </c>
      <c r="C79" s="1123"/>
      <c r="D79" s="188">
        <v>0.12</v>
      </c>
      <c r="E79" s="188">
        <v>0.11</v>
      </c>
      <c r="F79" s="188">
        <v>0.08</v>
      </c>
      <c r="G79" s="188">
        <v>0.17</v>
      </c>
      <c r="H79" s="188">
        <v>0.05</v>
      </c>
      <c r="I79" s="188">
        <v>0</v>
      </c>
      <c r="J79" s="188">
        <v>0.12</v>
      </c>
      <c r="K79" s="188">
        <v>0.1</v>
      </c>
      <c r="L79" s="325"/>
      <c r="M79" s="325"/>
      <c r="N79" s="325"/>
      <c r="O79" s="325"/>
      <c r="P79" s="1010"/>
      <c r="Q79" s="1010"/>
      <c r="R79" s="1010"/>
      <c r="S79" s="1010"/>
      <c r="T79" s="1010"/>
      <c r="U79" s="1010"/>
      <c r="V79" s="1010"/>
      <c r="W79" s="1010"/>
      <c r="X79" s="1010"/>
      <c r="Y79" s="1010"/>
      <c r="Z79" s="1010"/>
      <c r="AA79" s="1010"/>
      <c r="AB79" s="1010"/>
      <c r="AC79" s="1010"/>
      <c r="AD79" s="1010"/>
      <c r="AE79" s="1010"/>
      <c r="AF79" s="1010"/>
      <c r="AG79" s="1010"/>
      <c r="AH79" s="1010"/>
      <c r="AI79" s="1010"/>
      <c r="AJ79" s="1010"/>
      <c r="AK79" s="1010"/>
      <c r="AL79" s="1010"/>
      <c r="AM79" s="1010"/>
      <c r="AN79" s="1010"/>
      <c r="AO79" s="1010"/>
      <c r="AP79" s="1010"/>
      <c r="AQ79" s="1010"/>
      <c r="AR79" s="1010"/>
      <c r="AS79" s="1010"/>
      <c r="AT79" s="1010"/>
      <c r="AU79" s="1010"/>
      <c r="AV79" s="1010"/>
    </row>
    <row r="80" spans="1:48" s="1074" customFormat="1">
      <c r="A80" s="1010"/>
      <c r="B80" s="1078" t="s">
        <v>41</v>
      </c>
      <c r="C80" s="1123"/>
      <c r="D80" s="188">
        <v>0.12</v>
      </c>
      <c r="E80" s="188">
        <v>0.12</v>
      </c>
      <c r="F80" s="188">
        <v>0.22</v>
      </c>
      <c r="G80" s="188">
        <v>0.22</v>
      </c>
      <c r="H80" s="188">
        <v>0.06</v>
      </c>
      <c r="I80" s="188">
        <v>0</v>
      </c>
      <c r="J80" s="188">
        <v>0.12</v>
      </c>
      <c r="K80" s="188">
        <v>0.11</v>
      </c>
      <c r="L80" s="325"/>
      <c r="M80" s="325"/>
      <c r="N80" s="325"/>
      <c r="O80" s="325"/>
      <c r="P80" s="1010"/>
      <c r="Q80" s="1010"/>
      <c r="R80" s="1010"/>
      <c r="S80" s="1010"/>
      <c r="T80" s="1010"/>
      <c r="U80" s="1010"/>
      <c r="V80" s="1010"/>
      <c r="W80" s="1010"/>
      <c r="X80" s="1010"/>
      <c r="Y80" s="1010"/>
      <c r="Z80" s="1010"/>
      <c r="AA80" s="1010"/>
      <c r="AB80" s="1010"/>
      <c r="AC80" s="1010"/>
      <c r="AD80" s="1010"/>
      <c r="AE80" s="1010"/>
      <c r="AF80" s="1010"/>
      <c r="AG80" s="1010"/>
      <c r="AH80" s="1010"/>
      <c r="AI80" s="1010"/>
      <c r="AJ80" s="1010"/>
      <c r="AK80" s="1010"/>
      <c r="AL80" s="1010"/>
      <c r="AM80" s="1010"/>
      <c r="AN80" s="1010"/>
      <c r="AO80" s="1010"/>
      <c r="AP80" s="1010"/>
      <c r="AQ80" s="1010"/>
      <c r="AR80" s="1010"/>
      <c r="AS80" s="1010"/>
      <c r="AT80" s="1010"/>
      <c r="AU80" s="1010"/>
      <c r="AV80" s="1010"/>
    </row>
    <row r="81" spans="1:48" s="1074" customFormat="1">
      <c r="A81" s="1010"/>
      <c r="B81" s="1078" t="s">
        <v>40</v>
      </c>
      <c r="C81" s="1123"/>
      <c r="D81" s="188">
        <v>0.12</v>
      </c>
      <c r="E81" s="188">
        <v>0.11</v>
      </c>
      <c r="F81" s="188">
        <v>0.12</v>
      </c>
      <c r="G81" s="188">
        <v>0.22</v>
      </c>
      <c r="H81" s="188">
        <v>7.0000000000000007E-2</v>
      </c>
      <c r="I81" s="188">
        <v>0.02</v>
      </c>
      <c r="J81" s="188">
        <v>0.12</v>
      </c>
      <c r="K81" s="188">
        <v>0.12</v>
      </c>
      <c r="L81" s="325"/>
      <c r="M81" s="325"/>
      <c r="N81" s="325"/>
      <c r="O81" s="325"/>
      <c r="P81" s="1010"/>
      <c r="Q81" s="1010"/>
      <c r="R81" s="1010"/>
      <c r="S81" s="1010"/>
      <c r="T81" s="1010"/>
      <c r="U81" s="1010"/>
      <c r="V81" s="1010"/>
      <c r="W81" s="1010"/>
      <c r="X81" s="1010"/>
      <c r="Y81" s="1010"/>
      <c r="Z81" s="1010"/>
      <c r="AA81" s="1010"/>
      <c r="AB81" s="1010"/>
      <c r="AC81" s="1010"/>
      <c r="AD81" s="1010"/>
      <c r="AE81" s="1010"/>
      <c r="AF81" s="1010"/>
      <c r="AG81" s="1010"/>
      <c r="AH81" s="1010"/>
      <c r="AI81" s="1010"/>
      <c r="AJ81" s="1010"/>
      <c r="AK81" s="1010"/>
      <c r="AL81" s="1010"/>
      <c r="AM81" s="1010"/>
      <c r="AN81" s="1010"/>
      <c r="AO81" s="1010"/>
      <c r="AP81" s="1010"/>
      <c r="AQ81" s="1010"/>
      <c r="AR81" s="1010"/>
      <c r="AS81" s="1010"/>
      <c r="AT81" s="1010"/>
      <c r="AU81" s="1010"/>
      <c r="AV81" s="1010"/>
    </row>
    <row r="82" spans="1:48" s="1074" customFormat="1">
      <c r="A82" s="1010"/>
      <c r="B82" s="1078" t="s">
        <v>39</v>
      </c>
      <c r="C82" s="1123"/>
      <c r="D82" s="188">
        <v>0.1</v>
      </c>
      <c r="E82" s="188">
        <v>0.1</v>
      </c>
      <c r="F82" s="188">
        <v>0.12</v>
      </c>
      <c r="G82" s="188">
        <v>0.14000000000000001</v>
      </c>
      <c r="H82" s="188">
        <v>0.08</v>
      </c>
      <c r="I82" s="188">
        <v>0.06</v>
      </c>
      <c r="J82" s="188">
        <v>0.1</v>
      </c>
      <c r="K82" s="188">
        <v>0.12</v>
      </c>
      <c r="L82" s="325"/>
      <c r="M82" s="325"/>
      <c r="N82" s="325"/>
      <c r="O82" s="325"/>
      <c r="P82" s="1010"/>
      <c r="Q82" s="1010"/>
      <c r="R82" s="1010"/>
      <c r="S82" s="1010"/>
      <c r="T82" s="1010"/>
      <c r="U82" s="1010"/>
      <c r="V82" s="1010"/>
      <c r="W82" s="1010"/>
      <c r="X82" s="1010"/>
      <c r="Y82" s="1010"/>
      <c r="Z82" s="1010"/>
      <c r="AA82" s="1010"/>
      <c r="AB82" s="1010"/>
      <c r="AC82" s="1010"/>
      <c r="AD82" s="1010"/>
      <c r="AE82" s="1010"/>
      <c r="AF82" s="1010"/>
      <c r="AG82" s="1010"/>
      <c r="AH82" s="1010"/>
      <c r="AI82" s="1010"/>
      <c r="AJ82" s="1010"/>
      <c r="AK82" s="1010"/>
      <c r="AL82" s="1010"/>
      <c r="AM82" s="1010"/>
      <c r="AN82" s="1010"/>
      <c r="AO82" s="1010"/>
      <c r="AP82" s="1010"/>
      <c r="AQ82" s="1010"/>
      <c r="AR82" s="1010"/>
      <c r="AS82" s="1010"/>
      <c r="AT82" s="1010"/>
      <c r="AU82" s="1010"/>
      <c r="AV82" s="1010"/>
    </row>
    <row r="83" spans="1:48" s="1074" customFormat="1">
      <c r="A83" s="1010"/>
      <c r="B83" s="1078" t="s">
        <v>38</v>
      </c>
      <c r="C83" s="1123"/>
      <c r="D83" s="188">
        <v>0.1</v>
      </c>
      <c r="E83" s="188">
        <v>0.1</v>
      </c>
      <c r="F83" s="188">
        <v>0.11</v>
      </c>
      <c r="G83" s="188">
        <v>0.02</v>
      </c>
      <c r="H83" s="188">
        <v>0.11</v>
      </c>
      <c r="I83" s="188">
        <v>0.11</v>
      </c>
      <c r="J83" s="188">
        <v>0.09</v>
      </c>
      <c r="K83" s="188">
        <v>0.11</v>
      </c>
      <c r="L83" s="325"/>
      <c r="M83" s="325"/>
      <c r="N83" s="325"/>
      <c r="O83" s="325"/>
      <c r="P83" s="1010"/>
      <c r="Q83" s="1010"/>
      <c r="R83" s="1010"/>
      <c r="S83" s="1010"/>
      <c r="T83" s="1010"/>
      <c r="U83" s="1010"/>
      <c r="V83" s="1010"/>
      <c r="W83" s="1010"/>
      <c r="X83" s="1010"/>
      <c r="Y83" s="1010"/>
      <c r="Z83" s="1010"/>
      <c r="AA83" s="1010"/>
      <c r="AB83" s="1010"/>
      <c r="AC83" s="1010"/>
      <c r="AD83" s="1010"/>
      <c r="AE83" s="1010"/>
      <c r="AF83" s="1010"/>
      <c r="AG83" s="1010"/>
      <c r="AH83" s="1010"/>
      <c r="AI83" s="1010"/>
      <c r="AJ83" s="1010"/>
      <c r="AK83" s="1010"/>
      <c r="AL83" s="1010"/>
      <c r="AM83" s="1010"/>
      <c r="AN83" s="1010"/>
      <c r="AO83" s="1010"/>
      <c r="AP83" s="1010"/>
      <c r="AQ83" s="1010"/>
      <c r="AR83" s="1010"/>
      <c r="AS83" s="1010"/>
      <c r="AT83" s="1010"/>
      <c r="AU83" s="1010"/>
      <c r="AV83" s="1010"/>
    </row>
    <row r="84" spans="1:48" s="1074" customFormat="1">
      <c r="A84" s="1010"/>
      <c r="B84" s="1078" t="s">
        <v>37</v>
      </c>
      <c r="C84" s="1123"/>
      <c r="D84" s="188">
        <v>0.06</v>
      </c>
      <c r="E84" s="188">
        <v>0.06</v>
      </c>
      <c r="F84" s="188">
        <v>0.03</v>
      </c>
      <c r="G84" s="188">
        <v>0.03</v>
      </c>
      <c r="H84" s="188">
        <v>0.12</v>
      </c>
      <c r="I84" s="188">
        <v>0.12</v>
      </c>
      <c r="J84" s="188">
        <v>7.0000000000000007E-2</v>
      </c>
      <c r="K84" s="188">
        <v>7.0000000000000007E-2</v>
      </c>
      <c r="L84" s="325"/>
      <c r="M84" s="325"/>
      <c r="N84" s="325"/>
      <c r="O84" s="325"/>
      <c r="P84" s="1010"/>
      <c r="Q84" s="1010"/>
      <c r="R84" s="1010"/>
      <c r="S84" s="1010"/>
      <c r="T84" s="1010"/>
      <c r="U84" s="1010"/>
      <c r="V84" s="1010"/>
      <c r="W84" s="1010"/>
      <c r="X84" s="1010"/>
      <c r="Y84" s="1010"/>
      <c r="Z84" s="1010"/>
      <c r="AA84" s="1010"/>
      <c r="AB84" s="1010"/>
      <c r="AC84" s="1010"/>
      <c r="AD84" s="1010"/>
      <c r="AE84" s="1010"/>
      <c r="AF84" s="1010"/>
      <c r="AG84" s="1010"/>
      <c r="AH84" s="1010"/>
      <c r="AI84" s="1010"/>
      <c r="AJ84" s="1010"/>
      <c r="AK84" s="1010"/>
      <c r="AL84" s="1010"/>
      <c r="AM84" s="1010"/>
      <c r="AN84" s="1010"/>
      <c r="AO84" s="1010"/>
      <c r="AP84" s="1010"/>
      <c r="AQ84" s="1010"/>
      <c r="AR84" s="1010"/>
      <c r="AS84" s="1010"/>
      <c r="AT84" s="1010"/>
      <c r="AU84" s="1010"/>
      <c r="AV84" s="1010"/>
    </row>
    <row r="85" spans="1:48" s="1074" customFormat="1">
      <c r="A85" s="1010"/>
      <c r="B85" s="1078" t="s">
        <v>36</v>
      </c>
      <c r="C85" s="1123"/>
      <c r="D85" s="188">
        <v>0.06</v>
      </c>
      <c r="E85" s="188">
        <v>7.0000000000000007E-2</v>
      </c>
      <c r="F85" s="188">
        <v>0.04</v>
      </c>
      <c r="G85" s="188">
        <v>0</v>
      </c>
      <c r="H85" s="188">
        <v>0.12</v>
      </c>
      <c r="I85" s="188">
        <v>0.18</v>
      </c>
      <c r="J85" s="188">
        <v>7.0000000000000007E-2</v>
      </c>
      <c r="K85" s="188">
        <v>0.06</v>
      </c>
      <c r="L85" s="325"/>
      <c r="M85" s="325"/>
      <c r="N85" s="325"/>
      <c r="O85" s="325"/>
      <c r="P85" s="1010"/>
      <c r="Q85" s="1010"/>
      <c r="R85" s="1010"/>
      <c r="S85" s="1010"/>
      <c r="T85" s="1010"/>
      <c r="U85" s="1010"/>
      <c r="V85" s="1010"/>
      <c r="W85" s="1010"/>
      <c r="X85" s="1010"/>
      <c r="Y85" s="1010"/>
      <c r="Z85" s="1010"/>
      <c r="AA85" s="1010"/>
      <c r="AB85" s="1010"/>
      <c r="AC85" s="1010"/>
      <c r="AD85" s="1010"/>
      <c r="AE85" s="1010"/>
      <c r="AF85" s="1010"/>
      <c r="AG85" s="1010"/>
      <c r="AH85" s="1010"/>
      <c r="AI85" s="1010"/>
      <c r="AJ85" s="1010"/>
      <c r="AK85" s="1010"/>
      <c r="AL85" s="1010"/>
      <c r="AM85" s="1010"/>
      <c r="AN85" s="1010"/>
      <c r="AO85" s="1010"/>
      <c r="AP85" s="1010"/>
      <c r="AQ85" s="1010"/>
      <c r="AR85" s="1010"/>
      <c r="AS85" s="1010"/>
      <c r="AT85" s="1010"/>
      <c r="AU85" s="1010"/>
      <c r="AV85" s="1010"/>
    </row>
    <row r="86" spans="1:48" s="1074" customFormat="1">
      <c r="A86" s="1010"/>
      <c r="B86" s="1078" t="s">
        <v>412</v>
      </c>
      <c r="D86" s="1079">
        <f t="shared" ref="D86:L86" si="7">SUM(D74:D85)</f>
        <v>1</v>
      </c>
      <c r="E86" s="1079">
        <f t="shared" si="7"/>
        <v>1</v>
      </c>
      <c r="F86" s="1079">
        <f t="shared" si="7"/>
        <v>1</v>
      </c>
      <c r="G86" s="1079">
        <f t="shared" si="7"/>
        <v>1</v>
      </c>
      <c r="H86" s="1079">
        <f t="shared" si="7"/>
        <v>1</v>
      </c>
      <c r="I86" s="1079">
        <f t="shared" si="7"/>
        <v>1</v>
      </c>
      <c r="J86" s="1079">
        <f t="shared" si="7"/>
        <v>1</v>
      </c>
      <c r="K86" s="1079">
        <f t="shared" si="7"/>
        <v>1</v>
      </c>
      <c r="L86" s="1079">
        <f t="shared" si="7"/>
        <v>0</v>
      </c>
      <c r="M86" s="1079"/>
      <c r="N86" s="1079"/>
      <c r="O86" s="1079"/>
      <c r="P86" s="1010"/>
      <c r="Q86" s="1010"/>
      <c r="R86" s="1010"/>
      <c r="S86" s="1010"/>
      <c r="T86" s="1010"/>
      <c r="U86" s="1010"/>
      <c r="V86" s="1010"/>
      <c r="W86" s="1010"/>
      <c r="AG86" s="1010"/>
      <c r="AH86" s="1010"/>
      <c r="AI86" s="1010"/>
      <c r="AJ86" s="1010"/>
      <c r="AK86" s="1010"/>
      <c r="AL86" s="1010"/>
      <c r="AM86" s="1010"/>
      <c r="AN86" s="1010"/>
      <c r="AO86" s="1010"/>
      <c r="AP86" s="1010"/>
      <c r="AQ86" s="1010"/>
      <c r="AR86" s="1010"/>
      <c r="AS86" s="1010"/>
      <c r="AT86" s="1010"/>
      <c r="AU86" s="1010"/>
      <c r="AV86" s="1010"/>
    </row>
    <row r="87" spans="1:48" s="1074" customFormat="1">
      <c r="A87" s="1010"/>
      <c r="B87" s="1078"/>
      <c r="D87" s="1080" t="s">
        <v>1605</v>
      </c>
      <c r="E87" s="1081"/>
      <c r="F87" s="1081"/>
      <c r="G87" s="1081"/>
      <c r="H87" s="1081"/>
      <c r="I87" s="1081"/>
      <c r="J87" s="1081"/>
      <c r="K87" s="1081"/>
      <c r="L87" s="1081"/>
      <c r="M87" s="1081"/>
      <c r="N87" s="1081"/>
      <c r="O87" s="1081"/>
      <c r="P87" s="1010"/>
      <c r="Q87" s="1010"/>
      <c r="R87" s="1010"/>
      <c r="S87" s="1010"/>
      <c r="T87" s="1010"/>
      <c r="U87" s="1010"/>
      <c r="V87" s="1010"/>
      <c r="W87" s="1010"/>
      <c r="AG87" s="1010"/>
      <c r="AH87" s="1010"/>
      <c r="AI87" s="1010"/>
      <c r="AJ87" s="1010"/>
      <c r="AK87" s="1010"/>
      <c r="AL87" s="1010"/>
      <c r="AM87" s="1010"/>
      <c r="AN87" s="1010"/>
      <c r="AO87" s="1010"/>
      <c r="AP87" s="1010"/>
      <c r="AQ87" s="1010"/>
      <c r="AR87" s="1010"/>
      <c r="AS87" s="1010"/>
      <c r="AT87" s="1010"/>
      <c r="AU87" s="1010"/>
      <c r="AV87" s="1010"/>
    </row>
    <row r="88" spans="1:48" s="1074" customFormat="1">
      <c r="A88" s="1073"/>
      <c r="B88" s="1077" t="s">
        <v>47</v>
      </c>
      <c r="D88" s="1082">
        <f t="shared" ref="D88:L88" si="8">D100*D74</f>
        <v>411.41148047999997</v>
      </c>
      <c r="E88" s="1082">
        <f t="shared" si="8"/>
        <v>411.41148047999997</v>
      </c>
      <c r="F88" s="1082">
        <f t="shared" si="8"/>
        <v>268.99981415999997</v>
      </c>
      <c r="G88" s="1082">
        <f t="shared" si="8"/>
        <v>0</v>
      </c>
      <c r="H88" s="1082">
        <f t="shared" si="8"/>
        <v>1392.4696262399998</v>
      </c>
      <c r="I88" s="1082">
        <f t="shared" si="8"/>
        <v>1519.0577740799999</v>
      </c>
      <c r="J88" s="1082">
        <f t="shared" si="8"/>
        <v>2641.5067139999996</v>
      </c>
      <c r="K88" s="1082">
        <f t="shared" si="8"/>
        <v>3228.508206</v>
      </c>
      <c r="L88" s="1082">
        <f t="shared" si="8"/>
        <v>0</v>
      </c>
      <c r="M88" s="1082"/>
      <c r="N88" s="1082"/>
      <c r="O88" s="1082"/>
      <c r="P88" s="1010"/>
      <c r="Q88" s="1010"/>
      <c r="R88" s="1010"/>
      <c r="S88" s="1010"/>
      <c r="T88" s="1010"/>
      <c r="U88" s="1010"/>
      <c r="V88" s="1010"/>
      <c r="W88" s="1010"/>
      <c r="AG88" s="1010"/>
      <c r="AH88" s="1010"/>
      <c r="AI88" s="1010"/>
      <c r="AJ88" s="1010"/>
      <c r="AK88" s="1010"/>
      <c r="AL88" s="1010"/>
      <c r="AM88" s="1010"/>
      <c r="AN88" s="1010"/>
      <c r="AO88" s="1010"/>
      <c r="AP88" s="1010"/>
      <c r="AQ88" s="1010"/>
      <c r="AR88" s="1010"/>
      <c r="AS88" s="1010"/>
      <c r="AT88" s="1010"/>
      <c r="AU88" s="1010"/>
      <c r="AV88" s="1010"/>
    </row>
    <row r="89" spans="1:48" s="1074" customFormat="1">
      <c r="A89" s="1073"/>
      <c r="B89" s="1077" t="s">
        <v>46</v>
      </c>
      <c r="D89" s="1082">
        <f t="shared" ref="D89:L89" si="9">D100*D75</f>
        <v>411.41148047999997</v>
      </c>
      <c r="E89" s="1082">
        <f t="shared" si="9"/>
        <v>411.41148047999997</v>
      </c>
      <c r="F89" s="1082">
        <f t="shared" si="9"/>
        <v>358.66641887999998</v>
      </c>
      <c r="G89" s="1082">
        <f t="shared" si="9"/>
        <v>200.43123408</v>
      </c>
      <c r="H89" s="1082">
        <f t="shared" si="9"/>
        <v>812.27394863999996</v>
      </c>
      <c r="I89" s="1082">
        <f t="shared" si="9"/>
        <v>928.3130841599999</v>
      </c>
      <c r="J89" s="1082">
        <f t="shared" si="9"/>
        <v>2641.5067139999996</v>
      </c>
      <c r="K89" s="1082">
        <f t="shared" si="9"/>
        <v>3228.508206</v>
      </c>
      <c r="L89" s="1082">
        <f t="shared" si="9"/>
        <v>0</v>
      </c>
      <c r="M89" s="1082"/>
      <c r="N89" s="1082"/>
      <c r="O89" s="1082"/>
      <c r="P89" s="1010"/>
      <c r="Q89" s="1010"/>
      <c r="R89" s="1010"/>
      <c r="S89" s="1010"/>
      <c r="T89" s="1010"/>
      <c r="U89" s="1010"/>
      <c r="V89" s="1010"/>
      <c r="W89" s="1010"/>
      <c r="AG89" s="1010"/>
      <c r="AH89" s="1010"/>
      <c r="AI89" s="1010"/>
      <c r="AJ89" s="1010"/>
      <c r="AK89" s="1010"/>
      <c r="AL89" s="1010"/>
      <c r="AM89" s="1010"/>
      <c r="AN89" s="1010"/>
      <c r="AO89" s="1010"/>
      <c r="AP89" s="1010"/>
      <c r="AQ89" s="1010"/>
      <c r="AR89" s="1010"/>
      <c r="AS89" s="1010"/>
      <c r="AT89" s="1010"/>
      <c r="AU89" s="1010"/>
      <c r="AV89" s="1010"/>
    </row>
    <row r="90" spans="1:48" s="1074" customFormat="1">
      <c r="A90" s="1073"/>
      <c r="B90" s="1078" t="s">
        <v>45</v>
      </c>
      <c r="D90" s="1082">
        <f t="shared" ref="D90:L90" si="10">D100*D76</f>
        <v>411.41148047999997</v>
      </c>
      <c r="E90" s="1082">
        <f t="shared" si="10"/>
        <v>411.41148047999997</v>
      </c>
      <c r="F90" s="1082">
        <f t="shared" si="10"/>
        <v>537.99962831999994</v>
      </c>
      <c r="G90" s="1082">
        <f t="shared" si="10"/>
        <v>300.64685112000001</v>
      </c>
      <c r="H90" s="1082">
        <f t="shared" si="10"/>
        <v>812.27394863999996</v>
      </c>
      <c r="I90" s="1082">
        <f t="shared" si="10"/>
        <v>759.52888703999997</v>
      </c>
      <c r="J90" s="1082">
        <f t="shared" si="10"/>
        <v>3169.8080567999996</v>
      </c>
      <c r="K90" s="1082">
        <f t="shared" si="10"/>
        <v>3874.2098471999993</v>
      </c>
      <c r="L90" s="1082">
        <f t="shared" si="10"/>
        <v>0</v>
      </c>
      <c r="M90" s="1082"/>
      <c r="N90" s="1082"/>
      <c r="O90" s="1082"/>
      <c r="P90" s="1010"/>
      <c r="Q90" s="1010"/>
      <c r="R90" s="1010"/>
      <c r="S90" s="1010"/>
      <c r="T90" s="1010"/>
      <c r="U90" s="1010"/>
      <c r="V90" s="1010"/>
      <c r="W90" s="1010"/>
      <c r="AG90" s="1010"/>
      <c r="AH90" s="1010"/>
      <c r="AI90" s="1010"/>
      <c r="AJ90" s="1010"/>
      <c r="AK90" s="1010"/>
      <c r="AL90" s="1010"/>
      <c r="AM90" s="1010"/>
      <c r="AN90" s="1010"/>
      <c r="AO90" s="1010"/>
      <c r="AP90" s="1010"/>
      <c r="AQ90" s="1010"/>
      <c r="AR90" s="1010"/>
      <c r="AS90" s="1010"/>
      <c r="AT90" s="1010"/>
      <c r="AU90" s="1010"/>
      <c r="AV90" s="1010"/>
    </row>
    <row r="91" spans="1:48" s="1074" customFormat="1">
      <c r="A91" s="1073"/>
      <c r="B91" s="1078" t="s">
        <v>44</v>
      </c>
      <c r="D91" s="1082">
        <f t="shared" ref="D91:L91" si="11">D100*D77</f>
        <v>411.41148047999997</v>
      </c>
      <c r="E91" s="1082">
        <f t="shared" si="11"/>
        <v>479.98006055999997</v>
      </c>
      <c r="F91" s="1082">
        <f t="shared" si="11"/>
        <v>627.66623304000007</v>
      </c>
      <c r="G91" s="1082">
        <f t="shared" si="11"/>
        <v>701.50931928</v>
      </c>
      <c r="H91" s="1082">
        <f t="shared" si="11"/>
        <v>812.27394863999996</v>
      </c>
      <c r="I91" s="1082">
        <f t="shared" si="11"/>
        <v>590.74468992000004</v>
      </c>
      <c r="J91" s="1082">
        <f t="shared" si="11"/>
        <v>3698.1093995999995</v>
      </c>
      <c r="K91" s="1082">
        <f t="shared" si="11"/>
        <v>4519.9114884000001</v>
      </c>
      <c r="L91" s="1082">
        <f t="shared" si="11"/>
        <v>0</v>
      </c>
      <c r="M91" s="1082"/>
      <c r="N91" s="1082"/>
      <c r="O91" s="1082"/>
      <c r="P91" s="1010"/>
      <c r="Q91" s="1010"/>
      <c r="R91" s="1010"/>
      <c r="S91" s="1010"/>
      <c r="T91" s="1010"/>
      <c r="U91" s="1010"/>
    </row>
    <row r="92" spans="1:48" s="1074" customFormat="1">
      <c r="A92" s="1073"/>
      <c r="B92" s="1078" t="s">
        <v>43</v>
      </c>
      <c r="D92" s="1082">
        <f t="shared" ref="D92:L92" si="12">D100*D78</f>
        <v>548.54864063999992</v>
      </c>
      <c r="E92" s="1082">
        <f t="shared" si="12"/>
        <v>548.54864063999992</v>
      </c>
      <c r="F92" s="1082">
        <f t="shared" si="12"/>
        <v>717.33283775999996</v>
      </c>
      <c r="G92" s="1082">
        <f t="shared" si="12"/>
        <v>801.72493631999998</v>
      </c>
      <c r="H92" s="1082">
        <f t="shared" si="12"/>
        <v>696.2348131199999</v>
      </c>
      <c r="I92" s="1082">
        <f t="shared" si="12"/>
        <v>506.35259135999996</v>
      </c>
      <c r="J92" s="1082">
        <f t="shared" si="12"/>
        <v>4226.4107423999994</v>
      </c>
      <c r="K92" s="1082">
        <f t="shared" si="12"/>
        <v>5165.6131295999994</v>
      </c>
      <c r="L92" s="1082">
        <f t="shared" si="12"/>
        <v>0</v>
      </c>
      <c r="M92" s="1082"/>
      <c r="N92" s="1082"/>
      <c r="O92" s="1082"/>
      <c r="P92" s="1010"/>
      <c r="Q92" s="1010"/>
      <c r="R92" s="1010"/>
      <c r="S92" s="1010"/>
      <c r="T92" s="1010"/>
      <c r="U92" s="1010"/>
    </row>
    <row r="93" spans="1:48" s="1074" customFormat="1">
      <c r="A93" s="1073"/>
      <c r="B93" s="1078" t="s">
        <v>42</v>
      </c>
      <c r="D93" s="1082">
        <f t="shared" ref="D93:L93" si="13">D100*D79</f>
        <v>822.82296095999993</v>
      </c>
      <c r="E93" s="1082">
        <f t="shared" si="13"/>
        <v>754.25438087999987</v>
      </c>
      <c r="F93" s="1082">
        <f t="shared" si="13"/>
        <v>717.33283775999996</v>
      </c>
      <c r="G93" s="1082">
        <f t="shared" si="13"/>
        <v>1703.6654896800001</v>
      </c>
      <c r="H93" s="1082">
        <f t="shared" si="13"/>
        <v>580.19567759999995</v>
      </c>
      <c r="I93" s="1082">
        <f t="shared" si="13"/>
        <v>0</v>
      </c>
      <c r="J93" s="1082">
        <f t="shared" si="13"/>
        <v>6339.6161135999992</v>
      </c>
      <c r="K93" s="1082">
        <f t="shared" si="13"/>
        <v>6457.0164119999999</v>
      </c>
      <c r="L93" s="1082">
        <f t="shared" si="13"/>
        <v>0</v>
      </c>
      <c r="M93" s="1082"/>
      <c r="N93" s="1082"/>
      <c r="O93" s="1082"/>
      <c r="P93" s="1010"/>
      <c r="Q93" s="1010"/>
      <c r="R93" s="1010"/>
      <c r="S93" s="1010"/>
      <c r="T93" s="1010"/>
      <c r="U93" s="1010"/>
    </row>
    <row r="94" spans="1:48" s="1074" customFormat="1">
      <c r="A94" s="1073"/>
      <c r="B94" s="1078" t="s">
        <v>41</v>
      </c>
      <c r="D94" s="1082">
        <f t="shared" ref="D94:L94" si="14">D100*D80</f>
        <v>822.82296095999993</v>
      </c>
      <c r="E94" s="1082">
        <f t="shared" si="14"/>
        <v>822.82296095999993</v>
      </c>
      <c r="F94" s="1082">
        <f t="shared" si="14"/>
        <v>1972.66530384</v>
      </c>
      <c r="G94" s="1082">
        <f t="shared" si="14"/>
        <v>2204.7435748799999</v>
      </c>
      <c r="H94" s="1082">
        <f t="shared" si="14"/>
        <v>696.2348131199999</v>
      </c>
      <c r="I94" s="1082">
        <f t="shared" si="14"/>
        <v>0</v>
      </c>
      <c r="J94" s="1082">
        <f t="shared" si="14"/>
        <v>6339.6161135999992</v>
      </c>
      <c r="K94" s="1082">
        <f t="shared" si="14"/>
        <v>7102.7180531999993</v>
      </c>
      <c r="L94" s="1082">
        <f t="shared" si="14"/>
        <v>0</v>
      </c>
      <c r="M94" s="1082"/>
      <c r="N94" s="1082"/>
      <c r="O94" s="1082"/>
      <c r="P94" s="1010"/>
      <c r="Q94" s="1010"/>
      <c r="R94" s="1010"/>
      <c r="S94" s="1010"/>
      <c r="T94" s="1010"/>
      <c r="U94" s="1010"/>
    </row>
    <row r="95" spans="1:48" s="1074" customFormat="1">
      <c r="A95" s="1073"/>
      <c r="B95" s="1078" t="s">
        <v>40</v>
      </c>
      <c r="D95" s="1082">
        <f t="shared" ref="D95:L95" si="15">D100*D81</f>
        <v>822.82296095999993</v>
      </c>
      <c r="E95" s="1082">
        <f t="shared" si="15"/>
        <v>754.25438087999987</v>
      </c>
      <c r="F95" s="1082">
        <f t="shared" si="15"/>
        <v>1075.9992566399999</v>
      </c>
      <c r="G95" s="1082">
        <f t="shared" si="15"/>
        <v>2204.7435748799999</v>
      </c>
      <c r="H95" s="1082">
        <f t="shared" si="15"/>
        <v>812.27394863999996</v>
      </c>
      <c r="I95" s="1082">
        <f t="shared" si="15"/>
        <v>168.78419711999999</v>
      </c>
      <c r="J95" s="1082">
        <f t="shared" si="15"/>
        <v>6339.6161135999992</v>
      </c>
      <c r="K95" s="1082">
        <f t="shared" si="15"/>
        <v>7748.4196943999987</v>
      </c>
      <c r="L95" s="1082">
        <f t="shared" si="15"/>
        <v>0</v>
      </c>
      <c r="M95" s="1082"/>
      <c r="N95" s="1082"/>
      <c r="O95" s="1082"/>
      <c r="P95" s="1010"/>
      <c r="Q95" s="1010"/>
      <c r="R95" s="1010"/>
      <c r="S95" s="1010"/>
      <c r="T95" s="1010"/>
      <c r="U95" s="1010"/>
    </row>
    <row r="96" spans="1:48" s="1074" customFormat="1">
      <c r="A96" s="1073"/>
      <c r="B96" s="1078" t="s">
        <v>39</v>
      </c>
      <c r="D96" s="1082">
        <f t="shared" ref="D96:L96" si="16">D100*D82</f>
        <v>685.68580079999992</v>
      </c>
      <c r="E96" s="1082">
        <f t="shared" si="16"/>
        <v>685.68580079999992</v>
      </c>
      <c r="F96" s="1082">
        <f t="shared" si="16"/>
        <v>1075.9992566399999</v>
      </c>
      <c r="G96" s="1082">
        <f t="shared" si="16"/>
        <v>1403.01863856</v>
      </c>
      <c r="H96" s="1082">
        <f t="shared" si="16"/>
        <v>928.3130841599999</v>
      </c>
      <c r="I96" s="1082">
        <f t="shared" si="16"/>
        <v>506.35259135999996</v>
      </c>
      <c r="J96" s="1082">
        <f t="shared" si="16"/>
        <v>5283.0134279999993</v>
      </c>
      <c r="K96" s="1082">
        <f t="shared" si="16"/>
        <v>7748.4196943999987</v>
      </c>
      <c r="L96" s="1082">
        <f t="shared" si="16"/>
        <v>0</v>
      </c>
      <c r="M96" s="1082"/>
      <c r="N96" s="1082"/>
      <c r="O96" s="1082"/>
      <c r="P96" s="1010"/>
      <c r="Q96" s="1010"/>
      <c r="R96" s="1010"/>
      <c r="S96" s="1010"/>
      <c r="T96" s="1010"/>
      <c r="U96" s="1010"/>
    </row>
    <row r="97" spans="1:21" s="1074" customFormat="1">
      <c r="A97" s="1073"/>
      <c r="B97" s="1078" t="s">
        <v>38</v>
      </c>
      <c r="D97" s="1082">
        <f t="shared" ref="D97:L97" si="17">D100*D83</f>
        <v>685.68580079999992</v>
      </c>
      <c r="E97" s="1082">
        <f t="shared" si="17"/>
        <v>685.68580079999992</v>
      </c>
      <c r="F97" s="1082">
        <f t="shared" si="17"/>
        <v>986.33265191999999</v>
      </c>
      <c r="G97" s="1082">
        <f t="shared" si="17"/>
        <v>200.43123408</v>
      </c>
      <c r="H97" s="1082">
        <f t="shared" si="17"/>
        <v>1276.4304907199999</v>
      </c>
      <c r="I97" s="1082">
        <f t="shared" si="17"/>
        <v>928.3130841599999</v>
      </c>
      <c r="J97" s="1082">
        <f t="shared" si="17"/>
        <v>4754.7120851999989</v>
      </c>
      <c r="K97" s="1082">
        <f t="shared" si="17"/>
        <v>7102.7180531999993</v>
      </c>
      <c r="L97" s="1082">
        <f t="shared" si="17"/>
        <v>0</v>
      </c>
      <c r="M97" s="1082"/>
      <c r="N97" s="1082"/>
      <c r="O97" s="1082"/>
      <c r="P97" s="1010"/>
      <c r="Q97" s="1010"/>
      <c r="R97" s="1010"/>
      <c r="S97" s="1010"/>
      <c r="T97" s="1010"/>
      <c r="U97" s="1010"/>
    </row>
    <row r="98" spans="1:21" s="1074" customFormat="1">
      <c r="A98" s="1073"/>
      <c r="B98" s="1078" t="s">
        <v>37</v>
      </c>
      <c r="D98" s="1082">
        <f t="shared" ref="D98:L98" si="18">D100*D84</f>
        <v>411.41148047999997</v>
      </c>
      <c r="E98" s="1082">
        <f t="shared" si="18"/>
        <v>411.41148047999997</v>
      </c>
      <c r="F98" s="1082">
        <f t="shared" si="18"/>
        <v>268.99981415999997</v>
      </c>
      <c r="G98" s="1082">
        <f t="shared" si="18"/>
        <v>300.64685112000001</v>
      </c>
      <c r="H98" s="1082">
        <f t="shared" si="18"/>
        <v>1392.4696262399998</v>
      </c>
      <c r="I98" s="1082">
        <f t="shared" si="18"/>
        <v>1012.7051827199999</v>
      </c>
      <c r="J98" s="1082">
        <f t="shared" si="18"/>
        <v>3698.1093995999995</v>
      </c>
      <c r="K98" s="1082">
        <f t="shared" si="18"/>
        <v>4519.9114884000001</v>
      </c>
      <c r="L98" s="1082">
        <f t="shared" si="18"/>
        <v>0</v>
      </c>
      <c r="M98" s="1082"/>
      <c r="N98" s="1082"/>
      <c r="O98" s="1082"/>
      <c r="P98" s="1010"/>
      <c r="Q98" s="1010"/>
      <c r="R98" s="1010"/>
      <c r="S98" s="1010"/>
      <c r="T98" s="1010"/>
      <c r="U98" s="1010"/>
    </row>
    <row r="99" spans="1:21" s="1074" customFormat="1">
      <c r="A99" s="1073"/>
      <c r="B99" s="1078" t="s">
        <v>36</v>
      </c>
      <c r="D99" s="1082">
        <f t="shared" ref="D99:L99" si="19">D100*D85</f>
        <v>411.41148047999997</v>
      </c>
      <c r="E99" s="1082">
        <f t="shared" si="19"/>
        <v>479.98006055999997</v>
      </c>
      <c r="F99" s="1082">
        <f t="shared" si="19"/>
        <v>358.66641887999998</v>
      </c>
      <c r="G99" s="1082">
        <f t="shared" si="19"/>
        <v>0</v>
      </c>
      <c r="H99" s="1082">
        <f t="shared" si="19"/>
        <v>1392.4696262399998</v>
      </c>
      <c r="I99" s="1082">
        <f t="shared" si="19"/>
        <v>1519.0577740799999</v>
      </c>
      <c r="J99" s="1082">
        <f t="shared" si="19"/>
        <v>3698.1093995999995</v>
      </c>
      <c r="K99" s="1082">
        <f t="shared" si="19"/>
        <v>3874.2098471999993</v>
      </c>
      <c r="L99" s="1082">
        <f t="shared" si="19"/>
        <v>0</v>
      </c>
      <c r="M99" s="1082"/>
      <c r="N99" s="1082"/>
      <c r="O99" s="1082"/>
      <c r="P99" s="1010"/>
      <c r="Q99" s="1010"/>
      <c r="R99" s="1010"/>
      <c r="S99" s="1010"/>
      <c r="T99" s="1010"/>
      <c r="U99" s="1010"/>
    </row>
    <row r="100" spans="1:21" s="1074" customFormat="1">
      <c r="A100" s="1073"/>
      <c r="B100" s="1078" t="s">
        <v>412</v>
      </c>
      <c r="D100" s="1082">
        <f t="shared" ref="D100:L100" si="20">VLOOKUP(D71,TargetedMSMkt,IF(D72="[retail]",4,6),FALSE)</f>
        <v>6856.8580079999992</v>
      </c>
      <c r="E100" s="1082">
        <f t="shared" si="20"/>
        <v>6856.8580079999992</v>
      </c>
      <c r="F100" s="1082">
        <f t="shared" si="20"/>
        <v>8966.6604719999996</v>
      </c>
      <c r="G100" s="1082">
        <f t="shared" si="20"/>
        <v>10021.561704</v>
      </c>
      <c r="H100" s="1082">
        <f t="shared" si="20"/>
        <v>11603.913551999998</v>
      </c>
      <c r="I100" s="1082">
        <f t="shared" si="20"/>
        <v>8439.2098559999995</v>
      </c>
      <c r="J100" s="1082">
        <f t="shared" si="20"/>
        <v>52830.134279999991</v>
      </c>
      <c r="K100" s="1082">
        <f t="shared" si="20"/>
        <v>64570.164119999994</v>
      </c>
      <c r="L100" s="1082">
        <f t="shared" si="20"/>
        <v>0</v>
      </c>
      <c r="M100" s="1082"/>
      <c r="N100" s="1082"/>
      <c r="O100" s="1082"/>
      <c r="P100" s="1010"/>
      <c r="Q100" s="1010"/>
      <c r="R100" s="1010"/>
      <c r="S100" s="1010"/>
      <c r="T100" s="1010"/>
      <c r="U100" s="1010"/>
    </row>
    <row r="101" spans="1:21" s="1010" customFormat="1">
      <c r="A101" s="1073"/>
      <c r="B101" s="1077" t="s">
        <v>414</v>
      </c>
      <c r="D101" s="307" t="str">
        <f t="shared" ref="D101:L101" si="21">IF(D72="[wholesale]",D100/capacity,"")</f>
        <v/>
      </c>
      <c r="E101" s="307" t="str">
        <f t="shared" si="21"/>
        <v/>
      </c>
      <c r="F101" s="307" t="str">
        <f t="shared" si="21"/>
        <v/>
      </c>
      <c r="G101" s="307" t="str">
        <f t="shared" si="21"/>
        <v/>
      </c>
      <c r="H101" s="307" t="str">
        <f t="shared" si="21"/>
        <v/>
      </c>
      <c r="I101" s="307" t="str">
        <f t="shared" si="21"/>
        <v/>
      </c>
      <c r="J101" s="307">
        <f t="shared" si="21"/>
        <v>42.604946999999996</v>
      </c>
      <c r="K101" s="307">
        <f t="shared" si="21"/>
        <v>52.072712999999993</v>
      </c>
      <c r="L101" s="307" t="str">
        <f t="shared" si="21"/>
        <v/>
      </c>
      <c r="M101" s="307"/>
      <c r="N101" s="307"/>
      <c r="O101" s="307"/>
    </row>
    <row r="102" spans="1:21" s="1022" customFormat="1">
      <c r="A102" s="1083"/>
      <c r="B102" s="1084"/>
      <c r="C102" s="1021" t="s">
        <v>101</v>
      </c>
      <c r="D102" s="1080" t="s">
        <v>1606</v>
      </c>
      <c r="E102" s="1080"/>
      <c r="F102" s="1080"/>
      <c r="G102" s="1080"/>
      <c r="H102" s="1080"/>
      <c r="I102" s="1080"/>
      <c r="J102" s="1080"/>
      <c r="K102" s="1080"/>
      <c r="L102" s="1080"/>
      <c r="M102" s="1080"/>
      <c r="N102" s="1080"/>
      <c r="O102" s="1080"/>
      <c r="R102" s="1081"/>
      <c r="S102" s="1081"/>
    </row>
    <row r="103" spans="1:21" s="1010" customFormat="1">
      <c r="A103" s="304"/>
      <c r="B103" s="1077" t="s">
        <v>47</v>
      </c>
      <c r="C103" s="308">
        <f>SUM(D103:Z103)</f>
        <v>6.9999999999999991</v>
      </c>
      <c r="D103" s="309">
        <f t="shared" ref="D103:L103" si="22">ProductionFY1m(1,D71,VLOOKUP(D71,ProductsRangeMkt,3,FALSE),D88)</f>
        <v>0.26952014713258654</v>
      </c>
      <c r="E103" s="309">
        <f t="shared" si="22"/>
        <v>0.33908287757677741</v>
      </c>
      <c r="F103" s="309">
        <f t="shared" si="22"/>
        <v>0</v>
      </c>
      <c r="G103" s="309">
        <f t="shared" si="22"/>
        <v>0</v>
      </c>
      <c r="H103" s="309">
        <f t="shared" si="22"/>
        <v>1</v>
      </c>
      <c r="I103" s="309">
        <f t="shared" si="22"/>
        <v>1</v>
      </c>
      <c r="J103" s="309">
        <f t="shared" si="22"/>
        <v>1.7304798528674135</v>
      </c>
      <c r="K103" s="309">
        <f t="shared" si="22"/>
        <v>2.6609171224232222</v>
      </c>
      <c r="L103" s="309">
        <f t="shared" si="22"/>
        <v>0</v>
      </c>
      <c r="M103" s="309"/>
      <c r="N103" s="309"/>
      <c r="O103" s="309"/>
      <c r="R103" s="1086"/>
      <c r="S103" s="1086"/>
    </row>
    <row r="104" spans="1:21" s="1010" customFormat="1">
      <c r="A104" s="306"/>
      <c r="B104" s="1077" t="s">
        <v>46</v>
      </c>
      <c r="C104" s="308">
        <f t="shared" ref="C104:C114" si="23">SUM(D104:Z104)</f>
        <v>6.9999999999999991</v>
      </c>
      <c r="D104" s="309">
        <f t="shared" ref="D104:L104" si="24">ProductionFY1m(2,D71,VLOOKUP(D71,ProductsRangeMkt,3,FALSE),D89)</f>
        <v>0.26952014713258654</v>
      </c>
      <c r="E104" s="309">
        <f t="shared" si="24"/>
        <v>0.33908287757677741</v>
      </c>
      <c r="F104" s="309">
        <f t="shared" si="24"/>
        <v>0</v>
      </c>
      <c r="G104" s="309">
        <f t="shared" si="24"/>
        <v>0</v>
      </c>
      <c r="H104" s="309">
        <f t="shared" si="24"/>
        <v>1</v>
      </c>
      <c r="I104" s="309">
        <f t="shared" si="24"/>
        <v>1</v>
      </c>
      <c r="J104" s="309">
        <f t="shared" si="24"/>
        <v>1.7304798528674135</v>
      </c>
      <c r="K104" s="309">
        <f t="shared" si="24"/>
        <v>2.6609171224232222</v>
      </c>
      <c r="L104" s="309">
        <f t="shared" si="24"/>
        <v>0</v>
      </c>
      <c r="M104" s="309"/>
      <c r="N104" s="309"/>
      <c r="O104" s="309"/>
      <c r="R104" s="1086"/>
      <c r="S104" s="1086"/>
    </row>
    <row r="105" spans="1:21" s="1010" customFormat="1">
      <c r="A105" s="1074"/>
      <c r="B105" s="1078" t="s">
        <v>45</v>
      </c>
      <c r="C105" s="308">
        <f t="shared" si="23"/>
        <v>8</v>
      </c>
      <c r="D105" s="309">
        <f t="shared" ref="D105:L105" si="25">ProductionFY1m(3,D71,VLOOKUP(D71,ProductsRangeMkt,3,FALSE),D90)</f>
        <v>0.34464082098061577</v>
      </c>
      <c r="E105" s="309">
        <f t="shared" si="25"/>
        <v>0.28799428299190094</v>
      </c>
      <c r="F105" s="309">
        <f t="shared" si="25"/>
        <v>0</v>
      </c>
      <c r="G105" s="309">
        <f t="shared" si="25"/>
        <v>0</v>
      </c>
      <c r="H105" s="309">
        <f t="shared" si="25"/>
        <v>1</v>
      </c>
      <c r="I105" s="309">
        <f t="shared" si="25"/>
        <v>1</v>
      </c>
      <c r="J105" s="309">
        <f t="shared" si="25"/>
        <v>2.655359179019384</v>
      </c>
      <c r="K105" s="309">
        <f t="shared" si="25"/>
        <v>2.7120057170080991</v>
      </c>
      <c r="L105" s="309">
        <f t="shared" si="25"/>
        <v>0</v>
      </c>
      <c r="M105" s="309"/>
      <c r="N105" s="309"/>
      <c r="O105" s="309"/>
      <c r="R105" s="1086"/>
      <c r="S105" s="1086"/>
    </row>
    <row r="106" spans="1:21" s="1010" customFormat="1">
      <c r="A106" s="1074"/>
      <c r="B106" s="1078" t="s">
        <v>44</v>
      </c>
      <c r="C106" s="308">
        <f t="shared" si="23"/>
        <v>9</v>
      </c>
      <c r="D106" s="309">
        <f t="shared" ref="D106:L106" si="26">ProductionFY1m(4,D71,VLOOKUP(D71,ProductsRangeMkt,3,FALSE),D91)</f>
        <v>0.30033536206682404</v>
      </c>
      <c r="E106" s="309">
        <f t="shared" si="26"/>
        <v>0.38399237732253449</v>
      </c>
      <c r="F106" s="309">
        <f t="shared" si="26"/>
        <v>0</v>
      </c>
      <c r="G106" s="309">
        <f t="shared" si="26"/>
        <v>1</v>
      </c>
      <c r="H106" s="309">
        <f t="shared" si="26"/>
        <v>1</v>
      </c>
      <c r="I106" s="309">
        <f t="shared" si="26"/>
        <v>0</v>
      </c>
      <c r="J106" s="309">
        <f t="shared" si="26"/>
        <v>2.6996646379331759</v>
      </c>
      <c r="K106" s="309">
        <f t="shared" si="26"/>
        <v>3.6160076226774653</v>
      </c>
      <c r="L106" s="309">
        <f t="shared" si="26"/>
        <v>0</v>
      </c>
      <c r="M106" s="309"/>
      <c r="N106" s="309"/>
      <c r="O106" s="309"/>
      <c r="R106" s="1086"/>
      <c r="S106" s="1086"/>
    </row>
    <row r="107" spans="1:21" s="1010" customFormat="1">
      <c r="A107" s="1074"/>
      <c r="B107" s="1078" t="s">
        <v>43</v>
      </c>
      <c r="C107" s="308">
        <f t="shared" si="23"/>
        <v>10</v>
      </c>
      <c r="D107" s="309">
        <f t="shared" ref="D107:L107" si="27">ProductionFY1m(5,D71,VLOOKUP(D71,ProductsRangeMkt,3,FALSE),D92)</f>
        <v>0.45952109464082103</v>
      </c>
      <c r="E107" s="309">
        <f t="shared" si="27"/>
        <v>0.38399237732253455</v>
      </c>
      <c r="F107" s="309">
        <f t="shared" si="27"/>
        <v>1</v>
      </c>
      <c r="G107" s="309">
        <f t="shared" si="27"/>
        <v>1</v>
      </c>
      <c r="H107" s="309">
        <f t="shared" si="27"/>
        <v>0</v>
      </c>
      <c r="I107" s="309">
        <f t="shared" si="27"/>
        <v>0</v>
      </c>
      <c r="J107" s="309">
        <f t="shared" si="27"/>
        <v>3.5404789053591794</v>
      </c>
      <c r="K107" s="309">
        <f t="shared" si="27"/>
        <v>3.6160076226774658</v>
      </c>
      <c r="L107" s="309">
        <f t="shared" si="27"/>
        <v>0</v>
      </c>
      <c r="M107" s="309"/>
      <c r="N107" s="309"/>
      <c r="O107" s="309"/>
      <c r="R107" s="1086"/>
      <c r="S107" s="1086"/>
    </row>
    <row r="108" spans="1:21" s="1010" customFormat="1">
      <c r="B108" s="1078" t="s">
        <v>42</v>
      </c>
      <c r="C108" s="308">
        <f t="shared" si="23"/>
        <v>13</v>
      </c>
      <c r="D108" s="309">
        <f t="shared" ref="D108:L108" si="28">ProductionFY1m(6,D71,VLOOKUP(D71,ProductsRangeMkt,3,FALSE),D93)</f>
        <v>0.57440136830102617</v>
      </c>
      <c r="E108" s="309">
        <f t="shared" si="28"/>
        <v>0.62756293797041252</v>
      </c>
      <c r="F108" s="309">
        <f t="shared" si="28"/>
        <v>1</v>
      </c>
      <c r="G108" s="309">
        <f t="shared" si="28"/>
        <v>1</v>
      </c>
      <c r="H108" s="309">
        <f t="shared" si="28"/>
        <v>0</v>
      </c>
      <c r="I108" s="309">
        <f t="shared" si="28"/>
        <v>0</v>
      </c>
      <c r="J108" s="309">
        <f t="shared" si="28"/>
        <v>4.4255986316989739</v>
      </c>
      <c r="K108" s="309">
        <f t="shared" si="28"/>
        <v>5.3724370620295874</v>
      </c>
      <c r="L108" s="309">
        <f t="shared" si="28"/>
        <v>0</v>
      </c>
      <c r="M108" s="309"/>
      <c r="N108" s="309"/>
      <c r="O108" s="309"/>
      <c r="R108" s="1086"/>
      <c r="S108" s="1086"/>
    </row>
    <row r="109" spans="1:21" s="1010" customFormat="1">
      <c r="B109" s="1078" t="s">
        <v>41</v>
      </c>
      <c r="C109" s="308">
        <f t="shared" si="23"/>
        <v>15</v>
      </c>
      <c r="D109" s="309">
        <f t="shared" ref="D109:L109" si="29">ProductionFY1m(7,D71,VLOOKUP(D71,ProductsRangeMkt,3,FALSE),D94)</f>
        <v>0.57440136830102617</v>
      </c>
      <c r="E109" s="309">
        <f t="shared" si="29"/>
        <v>0.62291492239325053</v>
      </c>
      <c r="F109" s="309">
        <f t="shared" si="29"/>
        <v>2</v>
      </c>
      <c r="G109" s="309">
        <f t="shared" si="29"/>
        <v>2</v>
      </c>
      <c r="H109" s="309">
        <f t="shared" si="29"/>
        <v>0</v>
      </c>
      <c r="I109" s="309">
        <f t="shared" si="29"/>
        <v>0</v>
      </c>
      <c r="J109" s="309">
        <f t="shared" si="29"/>
        <v>4.4255986316989739</v>
      </c>
      <c r="K109" s="309">
        <f t="shared" si="29"/>
        <v>5.3770850776067496</v>
      </c>
      <c r="L109" s="309">
        <f t="shared" si="29"/>
        <v>0</v>
      </c>
      <c r="M109" s="309"/>
      <c r="N109" s="309"/>
      <c r="O109" s="309"/>
      <c r="R109" s="1086"/>
      <c r="S109" s="1086"/>
    </row>
    <row r="110" spans="1:21" s="1010" customFormat="1">
      <c r="B110" s="1078" t="s">
        <v>40</v>
      </c>
      <c r="C110" s="308">
        <f t="shared" si="23"/>
        <v>16</v>
      </c>
      <c r="D110" s="309">
        <f t="shared" ref="D110:L110" si="30">ProductionFY1m(8,D71,VLOOKUP(D71,ProductsRangeMkt,3,FALSE),D95)</f>
        <v>0.57440136830102617</v>
      </c>
      <c r="E110" s="309">
        <f t="shared" si="30"/>
        <v>0.62095531587057018</v>
      </c>
      <c r="F110" s="309">
        <f t="shared" si="30"/>
        <v>1</v>
      </c>
      <c r="G110" s="309">
        <f t="shared" si="30"/>
        <v>2</v>
      </c>
      <c r="H110" s="309">
        <f t="shared" si="30"/>
        <v>1</v>
      </c>
      <c r="I110" s="309">
        <f t="shared" si="30"/>
        <v>0</v>
      </c>
      <c r="J110" s="309">
        <f t="shared" si="30"/>
        <v>4.4255986316989739</v>
      </c>
      <c r="K110" s="309">
        <f t="shared" si="30"/>
        <v>6.3790446841294299</v>
      </c>
      <c r="L110" s="309">
        <f t="shared" si="30"/>
        <v>0</v>
      </c>
      <c r="M110" s="309"/>
      <c r="N110" s="309"/>
      <c r="O110" s="309"/>
      <c r="R110" s="1086"/>
      <c r="S110" s="1086"/>
    </row>
    <row r="111" spans="1:21" s="1010" customFormat="1">
      <c r="B111" s="1078" t="s">
        <v>39</v>
      </c>
      <c r="C111" s="308">
        <f t="shared" si="23"/>
        <v>15</v>
      </c>
      <c r="D111" s="309">
        <f t="shared" ref="D111:L111" si="31">ProductionFY1m(9,D71,VLOOKUP(D71,ProductsRangeMkt,3,FALSE),D96)</f>
        <v>0.57440136830102628</v>
      </c>
      <c r="E111" s="309">
        <f t="shared" si="31"/>
        <v>0.56909421020778705</v>
      </c>
      <c r="F111" s="309">
        <f t="shared" si="31"/>
        <v>1</v>
      </c>
      <c r="G111" s="309">
        <f t="shared" si="31"/>
        <v>1</v>
      </c>
      <c r="H111" s="309">
        <f t="shared" si="31"/>
        <v>1</v>
      </c>
      <c r="I111" s="309">
        <f t="shared" si="31"/>
        <v>0</v>
      </c>
      <c r="J111" s="309">
        <f t="shared" si="31"/>
        <v>4.4255986316989739</v>
      </c>
      <c r="K111" s="309">
        <f t="shared" si="31"/>
        <v>6.4309057897922139</v>
      </c>
      <c r="L111" s="309">
        <f t="shared" si="31"/>
        <v>0</v>
      </c>
      <c r="M111" s="309"/>
      <c r="N111" s="309"/>
      <c r="O111" s="309"/>
      <c r="R111" s="1086"/>
      <c r="S111" s="1086"/>
    </row>
    <row r="112" spans="1:21" s="1010" customFormat="1">
      <c r="B112" s="1078" t="s">
        <v>38</v>
      </c>
      <c r="C112" s="308">
        <f t="shared" si="23"/>
        <v>13</v>
      </c>
      <c r="D112" s="309">
        <f t="shared" ref="D112:L112" si="32">ProductionFY1m(10,D71,VLOOKUP(D71,ProductsRangeMkt,3,FALSE),D97)</f>
        <v>0.5041438623924942</v>
      </c>
      <c r="E112" s="309">
        <f t="shared" si="32"/>
        <v>0.52823593664664115</v>
      </c>
      <c r="F112" s="309">
        <f t="shared" si="32"/>
        <v>1</v>
      </c>
      <c r="G112" s="309">
        <f t="shared" si="32"/>
        <v>0</v>
      </c>
      <c r="H112" s="309">
        <f t="shared" si="32"/>
        <v>1</v>
      </c>
      <c r="I112" s="309">
        <f t="shared" si="32"/>
        <v>1</v>
      </c>
      <c r="J112" s="309">
        <f t="shared" si="32"/>
        <v>3.4958561376075057</v>
      </c>
      <c r="K112" s="309">
        <f t="shared" si="32"/>
        <v>5.4717640633533593</v>
      </c>
      <c r="L112" s="309">
        <f t="shared" si="32"/>
        <v>0</v>
      </c>
      <c r="M112" s="309"/>
      <c r="N112" s="309"/>
      <c r="O112" s="309"/>
      <c r="R112" s="1086"/>
      <c r="S112" s="1086"/>
    </row>
    <row r="113" spans="1:48" s="1010" customFormat="1">
      <c r="B113" s="1078" t="s">
        <v>37</v>
      </c>
      <c r="C113" s="308">
        <f t="shared" si="23"/>
        <v>9</v>
      </c>
      <c r="D113" s="309">
        <f t="shared" ref="D113:L113" si="33">ProductionFY1m(11,D71,VLOOKUP(D71,ProductsRangeMkt,3,FALSE),D98)</f>
        <v>0.30033536206682404</v>
      </c>
      <c r="E113" s="309">
        <f t="shared" si="33"/>
        <v>0.33371286616292306</v>
      </c>
      <c r="F113" s="309">
        <f t="shared" si="33"/>
        <v>0</v>
      </c>
      <c r="G113" s="309">
        <f t="shared" si="33"/>
        <v>0</v>
      </c>
      <c r="H113" s="309">
        <f t="shared" si="33"/>
        <v>1</v>
      </c>
      <c r="I113" s="309">
        <f t="shared" si="33"/>
        <v>1</v>
      </c>
      <c r="J113" s="309">
        <f t="shared" si="33"/>
        <v>2.6996646379331759</v>
      </c>
      <c r="K113" s="309">
        <f t="shared" si="33"/>
        <v>3.6662871338370766</v>
      </c>
      <c r="L113" s="309">
        <f t="shared" si="33"/>
        <v>0</v>
      </c>
      <c r="M113" s="309"/>
      <c r="N113" s="309"/>
      <c r="O113" s="309"/>
      <c r="R113" s="1086"/>
      <c r="S113" s="1086"/>
    </row>
    <row r="114" spans="1:48" s="1010" customFormat="1">
      <c r="B114" s="1078" t="s">
        <v>36</v>
      </c>
      <c r="C114" s="308">
        <f t="shared" si="23"/>
        <v>8</v>
      </c>
      <c r="D114" s="309">
        <f t="shared" ref="D114:L114" si="34">ProductionFY1m(12,D71,VLOOKUP(D71,ProductsRangeMkt,3,FALSE),D99)</f>
        <v>0.30033536206682404</v>
      </c>
      <c r="E114" s="309">
        <f t="shared" si="34"/>
        <v>0.33070219999218481</v>
      </c>
      <c r="F114" s="309">
        <f t="shared" si="34"/>
        <v>0</v>
      </c>
      <c r="G114" s="309">
        <f t="shared" si="34"/>
        <v>0</v>
      </c>
      <c r="H114" s="309">
        <f t="shared" si="34"/>
        <v>1</v>
      </c>
      <c r="I114" s="309">
        <f t="shared" si="34"/>
        <v>1</v>
      </c>
      <c r="J114" s="309">
        <f t="shared" si="34"/>
        <v>2.6996646379331759</v>
      </c>
      <c r="K114" s="309">
        <f t="shared" si="34"/>
        <v>2.6692978000078154</v>
      </c>
      <c r="L114" s="309">
        <f t="shared" si="34"/>
        <v>0</v>
      </c>
      <c r="M114" s="309"/>
      <c r="N114" s="309"/>
      <c r="O114" s="309"/>
      <c r="R114" s="1086"/>
      <c r="S114" s="1086"/>
    </row>
    <row r="115" spans="1:48" s="1010" customFormat="1">
      <c r="A115" s="1087" t="s">
        <v>416</v>
      </c>
      <c r="B115" s="1074"/>
      <c r="C115" s="1077" t="s">
        <v>85</v>
      </c>
      <c r="D115" s="1088">
        <f t="shared" ref="D115:L115" si="35">SUM(D88:D99)</f>
        <v>6856.8580079999992</v>
      </c>
      <c r="E115" s="1089">
        <f t="shared" si="35"/>
        <v>6856.8580079999992</v>
      </c>
      <c r="F115" s="1089">
        <f t="shared" si="35"/>
        <v>8966.6604720000014</v>
      </c>
      <c r="G115" s="1089">
        <f t="shared" si="35"/>
        <v>10021.561704000002</v>
      </c>
      <c r="H115" s="1089">
        <f t="shared" si="35"/>
        <v>11603.913551999996</v>
      </c>
      <c r="I115" s="1089">
        <f t="shared" si="35"/>
        <v>8439.2098559999977</v>
      </c>
      <c r="J115" s="1089">
        <f t="shared" si="35"/>
        <v>52830.134279999991</v>
      </c>
      <c r="K115" s="1089">
        <f t="shared" si="35"/>
        <v>64570.164119999994</v>
      </c>
      <c r="L115" s="1089">
        <f t="shared" si="35"/>
        <v>0</v>
      </c>
      <c r="M115" s="1089"/>
      <c r="N115" s="1089"/>
      <c r="O115" s="310"/>
      <c r="R115" s="1086"/>
      <c r="S115" s="1086"/>
    </row>
    <row r="116" spans="1:48" s="1010" customFormat="1">
      <c r="A116" s="1087" t="s">
        <v>417</v>
      </c>
      <c r="B116" s="1074"/>
      <c r="C116" s="1077" t="s">
        <v>85</v>
      </c>
      <c r="D116" s="1088">
        <f t="shared" ref="D116:L116" si="36">SUM(D103:D114)*capacity</f>
        <v>6256.9874632877645</v>
      </c>
      <c r="E116" s="1088">
        <f t="shared" si="36"/>
        <v>6655.4807457225252</v>
      </c>
      <c r="F116" s="1088">
        <f t="shared" si="36"/>
        <v>8680</v>
      </c>
      <c r="G116" s="1088">
        <f t="shared" si="36"/>
        <v>9920</v>
      </c>
      <c r="H116" s="1088">
        <f t="shared" si="36"/>
        <v>11160</v>
      </c>
      <c r="I116" s="1088">
        <f t="shared" si="36"/>
        <v>7440</v>
      </c>
      <c r="J116" s="1088">
        <f t="shared" si="36"/>
        <v>48303.012536712238</v>
      </c>
      <c r="K116" s="1088">
        <f t="shared" si="36"/>
        <v>62784.519254277482</v>
      </c>
      <c r="L116" s="1088">
        <f t="shared" si="36"/>
        <v>0</v>
      </c>
      <c r="M116" s="1088"/>
      <c r="N116" s="1088"/>
      <c r="O116" s="1088"/>
      <c r="R116" s="1086"/>
      <c r="S116" s="1086"/>
    </row>
    <row r="117" spans="1:48" s="1010" customFormat="1">
      <c r="A117" s="1087" t="s">
        <v>418</v>
      </c>
      <c r="B117" s="1074"/>
      <c r="C117" s="1077" t="s">
        <v>85</v>
      </c>
      <c r="D117" s="1088">
        <f t="shared" ref="D117:L117" si="37">D115-D116</f>
        <v>599.87054471223473</v>
      </c>
      <c r="E117" s="1089">
        <f t="shared" si="37"/>
        <v>201.37726227747407</v>
      </c>
      <c r="F117" s="1089">
        <f t="shared" si="37"/>
        <v>286.66047200000139</v>
      </c>
      <c r="G117" s="1089">
        <f t="shared" si="37"/>
        <v>101.56170400000155</v>
      </c>
      <c r="H117" s="1089">
        <f t="shared" si="37"/>
        <v>443.91355199999634</v>
      </c>
      <c r="I117" s="1089">
        <f t="shared" si="37"/>
        <v>999.20985599999767</v>
      </c>
      <c r="J117" s="1089">
        <f t="shared" si="37"/>
        <v>4527.1217432877529</v>
      </c>
      <c r="K117" s="1089">
        <f t="shared" si="37"/>
        <v>1785.6448657225119</v>
      </c>
      <c r="L117" s="1089">
        <f t="shared" si="37"/>
        <v>0</v>
      </c>
      <c r="M117" s="1089"/>
      <c r="N117" s="1089"/>
      <c r="O117" s="1089"/>
      <c r="R117" s="1086"/>
      <c r="S117" s="1086"/>
    </row>
    <row r="118" spans="1:48" s="1074" customFormat="1">
      <c r="A118" s="1073"/>
      <c r="B118" s="1075" t="s">
        <v>34</v>
      </c>
      <c r="C118" s="1075"/>
      <c r="D118" s="1090" t="s">
        <v>1607</v>
      </c>
      <c r="E118" s="1090"/>
      <c r="F118" s="1090"/>
      <c r="G118" s="1090"/>
      <c r="H118" s="1090"/>
      <c r="I118" s="1090"/>
      <c r="J118" s="1090"/>
      <c r="K118" s="1090"/>
      <c r="L118" s="1090"/>
      <c r="M118" s="1090"/>
      <c r="N118" s="1090"/>
      <c r="O118" s="1090"/>
      <c r="P118" s="1010"/>
      <c r="Q118" s="1010"/>
      <c r="R118" s="1010"/>
      <c r="S118" s="1010"/>
      <c r="T118" s="1010"/>
      <c r="U118" s="1010"/>
      <c r="V118" s="1010"/>
      <c r="W118" s="1010"/>
      <c r="AG118" s="1010"/>
      <c r="AH118" s="1010"/>
      <c r="AI118" s="1010"/>
      <c r="AJ118" s="1010"/>
      <c r="AK118" s="1010"/>
      <c r="AL118" s="1010"/>
      <c r="AM118" s="1010"/>
      <c r="AN118" s="1010"/>
      <c r="AO118" s="1010"/>
      <c r="AP118" s="1010"/>
      <c r="AQ118" s="1010"/>
      <c r="AR118" s="1010"/>
      <c r="AS118" s="1010"/>
      <c r="AT118" s="1010"/>
      <c r="AU118" s="1010"/>
      <c r="AV118" s="1010"/>
    </row>
    <row r="119" spans="1:48" s="1074" customFormat="1">
      <c r="A119" s="304"/>
      <c r="B119" s="1077" t="s">
        <v>47</v>
      </c>
      <c r="C119" s="1123"/>
      <c r="D119" s="188">
        <v>0.06</v>
      </c>
      <c r="E119" s="188">
        <v>0.06</v>
      </c>
      <c r="F119" s="188">
        <v>0</v>
      </c>
      <c r="G119" s="188">
        <v>0.03</v>
      </c>
      <c r="H119" s="188">
        <v>0.15</v>
      </c>
      <c r="I119" s="188">
        <v>0.18</v>
      </c>
      <c r="J119" s="188">
        <v>0</v>
      </c>
      <c r="K119" s="188">
        <v>0.06</v>
      </c>
      <c r="L119" s="325"/>
      <c r="M119" s="325"/>
      <c r="N119" s="325"/>
      <c r="O119" s="325"/>
      <c r="P119" s="1010"/>
      <c r="Q119" s="1010"/>
      <c r="R119" s="1010"/>
      <c r="S119" s="1010"/>
      <c r="T119" s="1010"/>
      <c r="U119" s="1010"/>
      <c r="V119" s="1010"/>
      <c r="W119" s="1010"/>
      <c r="AG119" s="1010"/>
      <c r="AH119" s="1010"/>
      <c r="AI119" s="1010"/>
      <c r="AJ119" s="1010"/>
      <c r="AK119" s="1010"/>
      <c r="AL119" s="1010"/>
      <c r="AM119" s="1010"/>
      <c r="AN119" s="1010"/>
      <c r="AO119" s="1010"/>
      <c r="AP119" s="1010"/>
      <c r="AQ119" s="1010"/>
      <c r="AR119" s="1010"/>
      <c r="AS119" s="1010"/>
      <c r="AT119" s="1010"/>
      <c r="AU119" s="1010"/>
      <c r="AV119" s="1010"/>
    </row>
    <row r="120" spans="1:48" s="1074" customFormat="1">
      <c r="A120" s="306"/>
      <c r="B120" s="1077" t="s">
        <v>46</v>
      </c>
      <c r="C120" s="1123"/>
      <c r="D120" s="188">
        <v>0.06</v>
      </c>
      <c r="E120" s="188">
        <v>0.06</v>
      </c>
      <c r="F120" s="188">
        <v>0.03</v>
      </c>
      <c r="G120" s="188">
        <v>0.05</v>
      </c>
      <c r="H120" s="188">
        <v>7.0000000000000007E-2</v>
      </c>
      <c r="I120" s="188">
        <v>0.11</v>
      </c>
      <c r="J120" s="188">
        <v>0.05</v>
      </c>
      <c r="K120" s="188">
        <v>0.06</v>
      </c>
      <c r="L120" s="325"/>
      <c r="M120" s="325"/>
      <c r="N120" s="325"/>
      <c r="O120" s="325"/>
      <c r="P120" s="1010"/>
      <c r="Q120" s="1010"/>
      <c r="R120" s="1010"/>
      <c r="S120" s="1010"/>
      <c r="T120" s="1010"/>
      <c r="U120" s="1010"/>
      <c r="V120" s="1010"/>
      <c r="W120" s="1010"/>
      <c r="AG120" s="1010"/>
      <c r="AH120" s="1010"/>
      <c r="AI120" s="1010"/>
      <c r="AJ120" s="1010"/>
      <c r="AK120" s="1010"/>
      <c r="AL120" s="1010"/>
      <c r="AM120" s="1010"/>
      <c r="AN120" s="1010"/>
      <c r="AO120" s="1010"/>
      <c r="AP120" s="1010"/>
      <c r="AQ120" s="1010"/>
      <c r="AR120" s="1010"/>
      <c r="AS120" s="1010"/>
      <c r="AT120" s="1010"/>
      <c r="AU120" s="1010"/>
      <c r="AV120" s="1010"/>
    </row>
    <row r="121" spans="1:48" s="1074" customFormat="1">
      <c r="B121" s="1078" t="s">
        <v>45</v>
      </c>
      <c r="C121" s="1123"/>
      <c r="D121" s="188">
        <v>0.06</v>
      </c>
      <c r="E121" s="188">
        <v>0.06</v>
      </c>
      <c r="F121" s="188">
        <v>0.06</v>
      </c>
      <c r="G121" s="188">
        <v>0.06</v>
      </c>
      <c r="H121" s="188">
        <v>7.0000000000000007E-2</v>
      </c>
      <c r="I121" s="188">
        <v>0.09</v>
      </c>
      <c r="J121" s="188">
        <v>0.06</v>
      </c>
      <c r="K121" s="188">
        <v>0.06</v>
      </c>
      <c r="L121" s="325"/>
      <c r="M121" s="325"/>
      <c r="N121" s="325"/>
      <c r="O121" s="325"/>
      <c r="P121" s="1010"/>
      <c r="Q121" s="1010"/>
      <c r="R121" s="1010"/>
      <c r="S121" s="1010"/>
      <c r="T121" s="1010"/>
      <c r="U121" s="1010"/>
      <c r="V121" s="1010"/>
      <c r="W121" s="1010"/>
      <c r="AG121" s="1010"/>
      <c r="AH121" s="1010"/>
      <c r="AI121" s="1010"/>
      <c r="AJ121" s="1010"/>
      <c r="AK121" s="1010"/>
      <c r="AL121" s="1010"/>
      <c r="AM121" s="1010"/>
      <c r="AN121" s="1010"/>
      <c r="AO121" s="1010"/>
      <c r="AP121" s="1010"/>
      <c r="AQ121" s="1010"/>
      <c r="AR121" s="1010"/>
      <c r="AS121" s="1010"/>
      <c r="AT121" s="1010"/>
      <c r="AU121" s="1010"/>
      <c r="AV121" s="1010"/>
    </row>
    <row r="122" spans="1:48" s="1074" customFormat="1">
      <c r="B122" s="1078" t="s">
        <v>44</v>
      </c>
      <c r="C122" s="1123"/>
      <c r="D122" s="188">
        <v>0.06</v>
      </c>
      <c r="E122" s="188">
        <v>7.0000000000000007E-2</v>
      </c>
      <c r="F122" s="188">
        <v>7.0000000000000007E-2</v>
      </c>
      <c r="G122" s="188">
        <v>7.0000000000000007E-2</v>
      </c>
      <c r="H122" s="188">
        <v>7.0000000000000007E-2</v>
      </c>
      <c r="I122" s="188">
        <v>7.0000000000000007E-2</v>
      </c>
      <c r="J122" s="188">
        <v>7.0000000000000007E-2</v>
      </c>
      <c r="K122" s="188">
        <v>7.0000000000000007E-2</v>
      </c>
      <c r="L122" s="325"/>
      <c r="M122" s="325"/>
      <c r="N122" s="325"/>
      <c r="O122" s="325"/>
      <c r="P122" s="1010"/>
      <c r="Q122" s="1010"/>
      <c r="R122" s="1010"/>
      <c r="S122" s="1010"/>
      <c r="T122" s="1010"/>
      <c r="U122" s="1010"/>
      <c r="V122" s="1010"/>
      <c r="W122" s="1010"/>
      <c r="AG122" s="1010"/>
      <c r="AH122" s="1010"/>
      <c r="AI122" s="1010"/>
      <c r="AJ122" s="1010"/>
      <c r="AK122" s="1010"/>
      <c r="AL122" s="1010"/>
      <c r="AM122" s="1010"/>
      <c r="AN122" s="1010"/>
      <c r="AO122" s="1010"/>
      <c r="AP122" s="1010"/>
      <c r="AQ122" s="1010"/>
      <c r="AR122" s="1010"/>
      <c r="AS122" s="1010"/>
      <c r="AT122" s="1010"/>
      <c r="AU122" s="1010"/>
      <c r="AV122" s="1010"/>
    </row>
    <row r="123" spans="1:48" s="1074" customFormat="1">
      <c r="B123" s="1078" t="s">
        <v>43</v>
      </c>
      <c r="C123" s="1123"/>
      <c r="D123" s="188">
        <v>0.08</v>
      </c>
      <c r="E123" s="188">
        <v>0.08</v>
      </c>
      <c r="F123" s="188">
        <v>0.08</v>
      </c>
      <c r="G123" s="188">
        <v>0.08</v>
      </c>
      <c r="H123" s="188">
        <v>0.06</v>
      </c>
      <c r="I123" s="188">
        <v>0.06</v>
      </c>
      <c r="J123" s="188">
        <v>0.08</v>
      </c>
      <c r="K123" s="188">
        <v>0.08</v>
      </c>
      <c r="L123" s="325"/>
      <c r="M123" s="325"/>
      <c r="N123" s="325"/>
      <c r="O123" s="325"/>
      <c r="P123" s="1010"/>
      <c r="Q123" s="1010"/>
      <c r="R123" s="1010"/>
      <c r="S123" s="1010"/>
      <c r="T123" s="1010"/>
      <c r="U123" s="1010"/>
      <c r="V123" s="1010"/>
      <c r="W123" s="1010"/>
      <c r="AG123" s="1010"/>
      <c r="AH123" s="1010"/>
      <c r="AI123" s="1010"/>
      <c r="AJ123" s="1010"/>
      <c r="AK123" s="1010"/>
      <c r="AL123" s="1010"/>
      <c r="AM123" s="1010"/>
      <c r="AN123" s="1010"/>
      <c r="AO123" s="1010"/>
      <c r="AP123" s="1010"/>
      <c r="AQ123" s="1010"/>
      <c r="AR123" s="1010"/>
      <c r="AS123" s="1010"/>
      <c r="AT123" s="1010"/>
      <c r="AU123" s="1010"/>
      <c r="AV123" s="1010"/>
    </row>
    <row r="124" spans="1:48" s="1074" customFormat="1">
      <c r="A124" s="1010"/>
      <c r="B124" s="1078" t="s">
        <v>42</v>
      </c>
      <c r="C124" s="1123"/>
      <c r="D124" s="188">
        <v>0.12</v>
      </c>
      <c r="E124" s="188">
        <v>0.11</v>
      </c>
      <c r="F124" s="188">
        <v>0.08</v>
      </c>
      <c r="G124" s="188">
        <v>0.09</v>
      </c>
      <c r="H124" s="188">
        <v>0.03</v>
      </c>
      <c r="I124" s="188">
        <v>0</v>
      </c>
      <c r="J124" s="188">
        <v>0.09</v>
      </c>
      <c r="K124" s="188">
        <v>0.11</v>
      </c>
      <c r="L124" s="325"/>
      <c r="M124" s="325"/>
      <c r="N124" s="325"/>
      <c r="O124" s="325"/>
      <c r="P124" s="1010"/>
      <c r="Q124" s="1010"/>
      <c r="R124" s="1010"/>
      <c r="S124" s="1010"/>
      <c r="T124" s="1010"/>
      <c r="U124" s="1010"/>
      <c r="V124" s="1010"/>
      <c r="W124" s="1010"/>
      <c r="X124" s="1010"/>
      <c r="Y124" s="1010"/>
      <c r="Z124" s="1010"/>
      <c r="AA124" s="1010"/>
      <c r="AB124" s="1010"/>
      <c r="AC124" s="1010"/>
      <c r="AD124" s="1010"/>
      <c r="AE124" s="1010"/>
      <c r="AF124" s="1010"/>
      <c r="AG124" s="1010"/>
      <c r="AH124" s="1010"/>
      <c r="AI124" s="1010"/>
      <c r="AJ124" s="1010"/>
      <c r="AK124" s="1010"/>
      <c r="AL124" s="1010"/>
      <c r="AM124" s="1010"/>
      <c r="AN124" s="1010"/>
      <c r="AO124" s="1010"/>
      <c r="AP124" s="1010"/>
      <c r="AQ124" s="1010"/>
      <c r="AR124" s="1010"/>
      <c r="AS124" s="1010"/>
      <c r="AT124" s="1010"/>
      <c r="AU124" s="1010"/>
      <c r="AV124" s="1010"/>
    </row>
    <row r="125" spans="1:48" s="1074" customFormat="1">
      <c r="A125" s="1010"/>
      <c r="B125" s="1078" t="s">
        <v>41</v>
      </c>
      <c r="C125" s="1123"/>
      <c r="D125" s="188">
        <v>0.12</v>
      </c>
      <c r="E125" s="188">
        <v>0.12</v>
      </c>
      <c r="F125" s="188">
        <v>0.21</v>
      </c>
      <c r="G125" s="188">
        <v>0.16</v>
      </c>
      <c r="H125" s="188">
        <v>0.03</v>
      </c>
      <c r="I125" s="188">
        <v>0</v>
      </c>
      <c r="J125" s="188">
        <v>0.18</v>
      </c>
      <c r="K125" s="188">
        <v>0.11</v>
      </c>
      <c r="L125" s="325"/>
      <c r="M125" s="325"/>
      <c r="N125" s="325"/>
      <c r="O125" s="325"/>
      <c r="P125" s="1010"/>
      <c r="Q125" s="1010"/>
      <c r="R125" s="1010"/>
      <c r="S125" s="1010"/>
      <c r="T125" s="1010"/>
      <c r="U125" s="1010"/>
      <c r="V125" s="1010"/>
      <c r="W125" s="1010"/>
      <c r="X125" s="1010"/>
      <c r="Y125" s="1010"/>
      <c r="Z125" s="1010"/>
      <c r="AA125" s="1010"/>
      <c r="AB125" s="1010"/>
      <c r="AC125" s="1010"/>
      <c r="AD125" s="1010"/>
      <c r="AE125" s="1010"/>
      <c r="AF125" s="1010"/>
      <c r="AG125" s="1010"/>
      <c r="AH125" s="1010"/>
      <c r="AI125" s="1010"/>
      <c r="AJ125" s="1010"/>
      <c r="AK125" s="1010"/>
      <c r="AL125" s="1010"/>
      <c r="AM125" s="1010"/>
      <c r="AN125" s="1010"/>
      <c r="AO125" s="1010"/>
      <c r="AP125" s="1010"/>
      <c r="AQ125" s="1010"/>
      <c r="AR125" s="1010"/>
      <c r="AS125" s="1010"/>
      <c r="AT125" s="1010"/>
      <c r="AU125" s="1010"/>
      <c r="AV125" s="1010"/>
    </row>
    <row r="126" spans="1:48" s="1074" customFormat="1">
      <c r="A126" s="1010"/>
      <c r="B126" s="1078" t="s">
        <v>40</v>
      </c>
      <c r="C126" s="1123"/>
      <c r="D126" s="188">
        <v>0.12</v>
      </c>
      <c r="E126" s="188">
        <v>0.11</v>
      </c>
      <c r="F126" s="188">
        <v>0.2</v>
      </c>
      <c r="G126" s="188">
        <v>0.12</v>
      </c>
      <c r="H126" s="188">
        <v>7.0000000000000007E-2</v>
      </c>
      <c r="I126" s="188">
        <v>0.02</v>
      </c>
      <c r="J126" s="188">
        <v>0.16</v>
      </c>
      <c r="K126" s="188">
        <v>0.11</v>
      </c>
      <c r="L126" s="325"/>
      <c r="M126" s="325"/>
      <c r="N126" s="325"/>
      <c r="O126" s="325"/>
      <c r="P126" s="1010"/>
      <c r="Q126" s="1010"/>
      <c r="R126" s="1010"/>
      <c r="S126" s="1010"/>
      <c r="T126" s="1010"/>
      <c r="U126" s="1010"/>
      <c r="V126" s="1010"/>
      <c r="W126" s="1010"/>
      <c r="X126" s="1010"/>
      <c r="Y126" s="1010"/>
      <c r="Z126" s="1010"/>
      <c r="AA126" s="1010"/>
      <c r="AB126" s="1010"/>
      <c r="AC126" s="1010"/>
      <c r="AD126" s="1010"/>
      <c r="AE126" s="1010"/>
      <c r="AF126" s="1010"/>
      <c r="AG126" s="1010"/>
      <c r="AH126" s="1010"/>
      <c r="AI126" s="1010"/>
      <c r="AJ126" s="1010"/>
      <c r="AK126" s="1010"/>
      <c r="AL126" s="1010"/>
      <c r="AM126" s="1010"/>
      <c r="AN126" s="1010"/>
      <c r="AO126" s="1010"/>
      <c r="AP126" s="1010"/>
      <c r="AQ126" s="1010"/>
      <c r="AR126" s="1010"/>
      <c r="AS126" s="1010"/>
      <c r="AT126" s="1010"/>
      <c r="AU126" s="1010"/>
      <c r="AV126" s="1010"/>
    </row>
    <row r="127" spans="1:48" s="1074" customFormat="1">
      <c r="A127" s="1010"/>
      <c r="B127" s="1078" t="s">
        <v>39</v>
      </c>
      <c r="C127" s="1123"/>
      <c r="D127" s="188">
        <v>0.1</v>
      </c>
      <c r="E127" s="188">
        <v>0.1</v>
      </c>
      <c r="F127" s="188">
        <v>0.12</v>
      </c>
      <c r="G127" s="188">
        <v>0.12</v>
      </c>
      <c r="H127" s="188">
        <v>0.08</v>
      </c>
      <c r="I127" s="188">
        <v>0.06</v>
      </c>
      <c r="J127" s="188">
        <v>0.12</v>
      </c>
      <c r="K127" s="188">
        <v>0.11</v>
      </c>
      <c r="L127" s="325"/>
      <c r="M127" s="325"/>
      <c r="N127" s="325"/>
      <c r="O127" s="325"/>
      <c r="P127" s="1010"/>
      <c r="Q127" s="1010"/>
      <c r="R127" s="1010"/>
      <c r="S127" s="1010"/>
      <c r="T127" s="1010"/>
      <c r="U127" s="1010"/>
      <c r="V127" s="1010"/>
      <c r="W127" s="1010"/>
      <c r="X127" s="1010"/>
      <c r="Y127" s="1010"/>
      <c r="Z127" s="1010"/>
      <c r="AA127" s="1010"/>
      <c r="AB127" s="1010"/>
      <c r="AC127" s="1010"/>
      <c r="AD127" s="1010"/>
      <c r="AE127" s="1010"/>
      <c r="AF127" s="1010"/>
      <c r="AG127" s="1010"/>
      <c r="AH127" s="1010"/>
      <c r="AI127" s="1010"/>
      <c r="AJ127" s="1010"/>
      <c r="AK127" s="1010"/>
      <c r="AL127" s="1010"/>
      <c r="AM127" s="1010"/>
      <c r="AN127" s="1010"/>
      <c r="AO127" s="1010"/>
      <c r="AP127" s="1010"/>
      <c r="AQ127" s="1010"/>
      <c r="AR127" s="1010"/>
      <c r="AS127" s="1010"/>
      <c r="AT127" s="1010"/>
      <c r="AU127" s="1010"/>
      <c r="AV127" s="1010"/>
    </row>
    <row r="128" spans="1:48" s="1074" customFormat="1">
      <c r="A128" s="1010"/>
      <c r="B128" s="1078" t="s">
        <v>38</v>
      </c>
      <c r="C128" s="1123"/>
      <c r="D128" s="188">
        <v>0.1</v>
      </c>
      <c r="E128" s="188">
        <v>0.1</v>
      </c>
      <c r="F128" s="188">
        <v>0.11</v>
      </c>
      <c r="G128" s="188">
        <v>0.12</v>
      </c>
      <c r="H128" s="188">
        <v>0.11</v>
      </c>
      <c r="I128" s="188">
        <v>0.11</v>
      </c>
      <c r="J128" s="188">
        <v>0.12</v>
      </c>
      <c r="K128" s="188">
        <v>0.1</v>
      </c>
      <c r="L128" s="325"/>
      <c r="M128" s="325"/>
      <c r="N128" s="325"/>
      <c r="O128" s="325"/>
      <c r="P128" s="1010"/>
      <c r="Q128" s="1010"/>
      <c r="R128" s="1010"/>
      <c r="S128" s="1010"/>
      <c r="T128" s="1010"/>
      <c r="U128" s="1010"/>
      <c r="V128" s="1010"/>
      <c r="W128" s="1010"/>
      <c r="X128" s="1010"/>
      <c r="Y128" s="1010"/>
      <c r="Z128" s="1010"/>
      <c r="AA128" s="1010"/>
      <c r="AB128" s="1010"/>
      <c r="AC128" s="1010"/>
      <c r="AD128" s="1010"/>
      <c r="AE128" s="1010"/>
      <c r="AF128" s="1010"/>
      <c r="AG128" s="1010"/>
      <c r="AH128" s="1010"/>
      <c r="AI128" s="1010"/>
      <c r="AJ128" s="1010"/>
      <c r="AK128" s="1010"/>
      <c r="AL128" s="1010"/>
      <c r="AM128" s="1010"/>
      <c r="AN128" s="1010"/>
      <c r="AO128" s="1010"/>
      <c r="AP128" s="1010"/>
      <c r="AQ128" s="1010"/>
      <c r="AR128" s="1010"/>
      <c r="AS128" s="1010"/>
      <c r="AT128" s="1010"/>
      <c r="AU128" s="1010"/>
      <c r="AV128" s="1010"/>
    </row>
    <row r="129" spans="1:48" s="1074" customFormat="1">
      <c r="A129" s="1010"/>
      <c r="B129" s="1078" t="s">
        <v>37</v>
      </c>
      <c r="C129" s="1123"/>
      <c r="D129" s="188">
        <v>0.06</v>
      </c>
      <c r="E129" s="188">
        <v>0.06</v>
      </c>
      <c r="F129" s="188">
        <v>0.03</v>
      </c>
      <c r="G129" s="188">
        <v>7.0000000000000007E-2</v>
      </c>
      <c r="H129" s="188">
        <v>0.12</v>
      </c>
      <c r="I129" s="188">
        <v>0.12</v>
      </c>
      <c r="J129" s="188">
        <v>7.0000000000000007E-2</v>
      </c>
      <c r="K129" s="188">
        <v>0.06</v>
      </c>
      <c r="L129" s="325"/>
      <c r="M129" s="325"/>
      <c r="N129" s="325"/>
      <c r="O129" s="325"/>
      <c r="P129" s="1010"/>
      <c r="Q129" s="1010"/>
      <c r="R129" s="1010"/>
      <c r="S129" s="1010"/>
      <c r="T129" s="1010"/>
      <c r="U129" s="1010"/>
      <c r="V129" s="1010"/>
      <c r="W129" s="1010"/>
      <c r="X129" s="1010"/>
      <c r="Y129" s="1010"/>
      <c r="Z129" s="1010"/>
      <c r="AA129" s="1010"/>
      <c r="AB129" s="1010"/>
      <c r="AC129" s="1010"/>
      <c r="AD129" s="1010"/>
      <c r="AE129" s="1010"/>
      <c r="AF129" s="1010"/>
      <c r="AG129" s="1010"/>
      <c r="AH129" s="1010"/>
      <c r="AI129" s="1010"/>
      <c r="AJ129" s="1010"/>
      <c r="AK129" s="1010"/>
      <c r="AL129" s="1010"/>
      <c r="AM129" s="1010"/>
      <c r="AN129" s="1010"/>
      <c r="AO129" s="1010"/>
      <c r="AP129" s="1010"/>
      <c r="AQ129" s="1010"/>
      <c r="AR129" s="1010"/>
      <c r="AS129" s="1010"/>
      <c r="AT129" s="1010"/>
      <c r="AU129" s="1010"/>
      <c r="AV129" s="1010"/>
    </row>
    <row r="130" spans="1:48" s="1074" customFormat="1">
      <c r="A130" s="1010"/>
      <c r="B130" s="1078" t="s">
        <v>36</v>
      </c>
      <c r="C130" s="1123"/>
      <c r="D130" s="188">
        <v>0.06</v>
      </c>
      <c r="E130" s="188">
        <v>7.0000000000000007E-2</v>
      </c>
      <c r="F130" s="188">
        <v>0.01</v>
      </c>
      <c r="G130" s="188">
        <v>0.03</v>
      </c>
      <c r="H130" s="188">
        <v>0.14000000000000001</v>
      </c>
      <c r="I130" s="188">
        <v>0.18</v>
      </c>
      <c r="J130" s="188">
        <v>0</v>
      </c>
      <c r="K130" s="188">
        <v>7.0000000000000007E-2</v>
      </c>
      <c r="L130" s="325"/>
      <c r="M130" s="325"/>
      <c r="N130" s="325"/>
      <c r="O130" s="325"/>
      <c r="P130" s="1010"/>
      <c r="Q130" s="1010"/>
      <c r="R130" s="1010"/>
      <c r="S130" s="1010"/>
      <c r="T130" s="1010"/>
      <c r="U130" s="1010"/>
      <c r="V130" s="1010"/>
      <c r="W130" s="1010"/>
      <c r="X130" s="1010"/>
      <c r="Y130" s="1010"/>
      <c r="Z130" s="1010"/>
      <c r="AA130" s="1010"/>
      <c r="AB130" s="1010"/>
      <c r="AC130" s="1010"/>
      <c r="AD130" s="1010"/>
      <c r="AE130" s="1010"/>
      <c r="AF130" s="1010"/>
      <c r="AG130" s="1010"/>
      <c r="AH130" s="1010"/>
      <c r="AI130" s="1010"/>
      <c r="AJ130" s="1010"/>
      <c r="AK130" s="1010"/>
      <c r="AL130" s="1010"/>
      <c r="AM130" s="1010"/>
      <c r="AN130" s="1010"/>
      <c r="AO130" s="1010"/>
      <c r="AP130" s="1010"/>
      <c r="AQ130" s="1010"/>
      <c r="AR130" s="1010"/>
      <c r="AS130" s="1010"/>
      <c r="AT130" s="1010"/>
      <c r="AU130" s="1010"/>
      <c r="AV130" s="1010"/>
    </row>
    <row r="131" spans="1:48" s="1074" customFormat="1">
      <c r="A131" s="1010"/>
      <c r="B131" s="1078" t="s">
        <v>412</v>
      </c>
      <c r="D131" s="1079">
        <f t="shared" ref="D131:L131" si="38">SUM(D119:D130)</f>
        <v>1</v>
      </c>
      <c r="E131" s="1079">
        <f t="shared" si="38"/>
        <v>1</v>
      </c>
      <c r="F131" s="1079">
        <f t="shared" si="38"/>
        <v>1</v>
      </c>
      <c r="G131" s="1079">
        <f t="shared" si="38"/>
        <v>1</v>
      </c>
      <c r="H131" s="1079">
        <f t="shared" si="38"/>
        <v>1</v>
      </c>
      <c r="I131" s="1079">
        <f t="shared" si="38"/>
        <v>1</v>
      </c>
      <c r="J131" s="1079">
        <f t="shared" si="38"/>
        <v>1</v>
      </c>
      <c r="K131" s="1079">
        <f t="shared" si="38"/>
        <v>1</v>
      </c>
      <c r="L131" s="1079">
        <f t="shared" si="38"/>
        <v>0</v>
      </c>
      <c r="M131" s="1079"/>
      <c r="N131" s="1079"/>
      <c r="O131" s="1079"/>
      <c r="P131" s="1010"/>
      <c r="Q131" s="1010"/>
      <c r="R131" s="1010"/>
      <c r="S131" s="1010"/>
      <c r="T131" s="1010"/>
      <c r="U131" s="1010"/>
      <c r="V131" s="1010"/>
      <c r="W131" s="1010"/>
      <c r="X131" s="1010"/>
      <c r="Y131" s="1010"/>
      <c r="Z131" s="1010"/>
      <c r="AA131" s="1010"/>
      <c r="AB131" s="1010"/>
      <c r="AC131" s="1010"/>
      <c r="AD131" s="1010"/>
      <c r="AE131" s="1010"/>
      <c r="AF131" s="1010"/>
      <c r="AG131" s="1010"/>
      <c r="AH131" s="1010"/>
      <c r="AI131" s="1010"/>
      <c r="AJ131" s="1010"/>
      <c r="AK131" s="1010"/>
      <c r="AL131" s="1010"/>
      <c r="AM131" s="1010"/>
      <c r="AN131" s="1010"/>
      <c r="AO131" s="1010"/>
      <c r="AP131" s="1010"/>
      <c r="AQ131" s="1010"/>
      <c r="AR131" s="1010"/>
      <c r="AS131" s="1010"/>
      <c r="AT131" s="1010"/>
      <c r="AU131" s="1010"/>
      <c r="AV131" s="1010"/>
    </row>
    <row r="132" spans="1:48" s="1074" customFormat="1">
      <c r="A132" s="1010"/>
      <c r="B132" s="1078"/>
      <c r="D132" s="1080" t="s">
        <v>1605</v>
      </c>
      <c r="E132" s="1080"/>
      <c r="F132" s="1080"/>
      <c r="G132" s="1080"/>
      <c r="H132" s="1080"/>
      <c r="I132" s="1080"/>
      <c r="J132" s="1080"/>
      <c r="K132" s="1080"/>
      <c r="L132" s="1080"/>
      <c r="M132" s="1080"/>
      <c r="N132" s="1080"/>
      <c r="O132" s="1080"/>
      <c r="P132" s="1010"/>
      <c r="Q132" s="1010"/>
      <c r="R132" s="1010"/>
      <c r="S132" s="1010"/>
      <c r="T132" s="1010"/>
      <c r="U132" s="1010"/>
      <c r="V132" s="1010"/>
      <c r="W132" s="1010"/>
      <c r="X132" s="1010"/>
      <c r="Y132" s="1010"/>
      <c r="Z132" s="1010"/>
      <c r="AA132" s="1010"/>
      <c r="AB132" s="1010"/>
      <c r="AC132" s="1010"/>
      <c r="AD132" s="1010"/>
      <c r="AE132" s="1010"/>
      <c r="AF132" s="1010"/>
      <c r="AG132" s="1010"/>
      <c r="AH132" s="1010"/>
      <c r="AI132" s="1010"/>
      <c r="AJ132" s="1010"/>
      <c r="AK132" s="1010"/>
      <c r="AL132" s="1010"/>
      <c r="AM132" s="1010"/>
      <c r="AN132" s="1010"/>
      <c r="AO132" s="1010"/>
      <c r="AP132" s="1010"/>
      <c r="AQ132" s="1010"/>
      <c r="AR132" s="1010"/>
      <c r="AS132" s="1010"/>
      <c r="AT132" s="1010"/>
      <c r="AU132" s="1010"/>
      <c r="AV132" s="1010"/>
    </row>
    <row r="133" spans="1:48" s="1010" customFormat="1">
      <c r="A133" s="1073"/>
      <c r="B133" s="1077" t="s">
        <v>47</v>
      </c>
      <c r="D133" s="1082">
        <f t="shared" ref="D133:L133" si="39">D119*D145</f>
        <v>445.01793335999997</v>
      </c>
      <c r="E133" s="1082">
        <f t="shared" si="39"/>
        <v>445.01793335999997</v>
      </c>
      <c r="F133" s="1082">
        <f t="shared" si="39"/>
        <v>0</v>
      </c>
      <c r="G133" s="1082">
        <f t="shared" si="39"/>
        <v>325.20541283999995</v>
      </c>
      <c r="H133" s="1082">
        <f t="shared" si="39"/>
        <v>1882.7681795999999</v>
      </c>
      <c r="I133" s="1082">
        <f t="shared" si="39"/>
        <v>1643.1431385599999</v>
      </c>
      <c r="J133" s="1082">
        <f t="shared" si="39"/>
        <v>0</v>
      </c>
      <c r="K133" s="1082">
        <f t="shared" si="39"/>
        <v>3870.9496425600005</v>
      </c>
      <c r="L133" s="1082">
        <f t="shared" si="39"/>
        <v>0</v>
      </c>
      <c r="M133" s="1082"/>
      <c r="N133" s="1082"/>
      <c r="O133" s="1082"/>
    </row>
    <row r="134" spans="1:48" s="1010" customFormat="1">
      <c r="A134" s="1073"/>
      <c r="B134" s="1077" t="s">
        <v>46</v>
      </c>
      <c r="D134" s="1082">
        <f t="shared" ref="D134:L134" si="40">D120*D145</f>
        <v>445.01793335999997</v>
      </c>
      <c r="E134" s="1082">
        <f t="shared" si="40"/>
        <v>445.01793335999997</v>
      </c>
      <c r="F134" s="1082">
        <f t="shared" si="40"/>
        <v>290.97326412000001</v>
      </c>
      <c r="G134" s="1082">
        <f t="shared" si="40"/>
        <v>542.00902140000005</v>
      </c>
      <c r="H134" s="1082">
        <f t="shared" si="40"/>
        <v>878.62515048000012</v>
      </c>
      <c r="I134" s="1082">
        <f t="shared" si="40"/>
        <v>1004.1430291199999</v>
      </c>
      <c r="J134" s="1082">
        <f t="shared" si="40"/>
        <v>2977.6535712000004</v>
      </c>
      <c r="K134" s="1082">
        <f t="shared" si="40"/>
        <v>3870.9496425600005</v>
      </c>
      <c r="L134" s="1082">
        <f t="shared" si="40"/>
        <v>0</v>
      </c>
      <c r="M134" s="1082"/>
      <c r="N134" s="1082"/>
      <c r="O134" s="1082"/>
    </row>
    <row r="135" spans="1:48" s="1010" customFormat="1">
      <c r="A135" s="1073"/>
      <c r="B135" s="1078" t="s">
        <v>45</v>
      </c>
      <c r="D135" s="1082">
        <f t="shared" ref="D135:L135" si="41">D121*D145</f>
        <v>445.01793335999997</v>
      </c>
      <c r="E135" s="1082">
        <f t="shared" si="41"/>
        <v>445.01793335999997</v>
      </c>
      <c r="F135" s="1082">
        <f t="shared" si="41"/>
        <v>581.94652824000002</v>
      </c>
      <c r="G135" s="1082">
        <f t="shared" si="41"/>
        <v>650.4108256799999</v>
      </c>
      <c r="H135" s="1082">
        <f t="shared" si="41"/>
        <v>878.62515048000012</v>
      </c>
      <c r="I135" s="1082">
        <f t="shared" si="41"/>
        <v>821.57156927999995</v>
      </c>
      <c r="J135" s="1082">
        <f t="shared" si="41"/>
        <v>3573.1842854400002</v>
      </c>
      <c r="K135" s="1082">
        <f t="shared" si="41"/>
        <v>3870.9496425600005</v>
      </c>
      <c r="L135" s="1082">
        <f t="shared" si="41"/>
        <v>0</v>
      </c>
      <c r="M135" s="1082"/>
      <c r="N135" s="1082"/>
      <c r="O135" s="1082"/>
    </row>
    <row r="136" spans="1:48" s="1010" customFormat="1">
      <c r="A136" s="1073"/>
      <c r="B136" s="1078" t="s">
        <v>44</v>
      </c>
      <c r="D136" s="1082">
        <f t="shared" ref="D136:L136" si="42">D122*D145</f>
        <v>445.01793335999997</v>
      </c>
      <c r="E136" s="1082">
        <f t="shared" si="42"/>
        <v>519.18758892000005</v>
      </c>
      <c r="F136" s="1082">
        <f t="shared" si="42"/>
        <v>678.93761628000016</v>
      </c>
      <c r="G136" s="1082">
        <f t="shared" si="42"/>
        <v>758.81262996000009</v>
      </c>
      <c r="H136" s="1082">
        <f t="shared" si="42"/>
        <v>878.62515048000012</v>
      </c>
      <c r="I136" s="1082">
        <f t="shared" si="42"/>
        <v>639.00010944000007</v>
      </c>
      <c r="J136" s="1082">
        <f t="shared" si="42"/>
        <v>4168.7149996800008</v>
      </c>
      <c r="K136" s="1082">
        <f t="shared" si="42"/>
        <v>4516.1079163200011</v>
      </c>
      <c r="L136" s="1082">
        <f t="shared" si="42"/>
        <v>0</v>
      </c>
      <c r="M136" s="1082"/>
      <c r="N136" s="1082"/>
      <c r="O136" s="1082"/>
    </row>
    <row r="137" spans="1:48" s="1010" customFormat="1">
      <c r="A137" s="1036"/>
      <c r="B137" s="1078" t="s">
        <v>43</v>
      </c>
      <c r="D137" s="1082">
        <f t="shared" ref="D137:L137" si="43">D123*D145</f>
        <v>593.35724448000008</v>
      </c>
      <c r="E137" s="1082">
        <f t="shared" si="43"/>
        <v>593.35724448000008</v>
      </c>
      <c r="F137" s="1082">
        <f t="shared" si="43"/>
        <v>775.92870432000018</v>
      </c>
      <c r="G137" s="1082">
        <f t="shared" si="43"/>
        <v>867.21443423999995</v>
      </c>
      <c r="H137" s="1082">
        <f t="shared" si="43"/>
        <v>753.10727183999995</v>
      </c>
      <c r="I137" s="1082">
        <f t="shared" si="43"/>
        <v>547.71437951999997</v>
      </c>
      <c r="J137" s="1082">
        <f t="shared" si="43"/>
        <v>4764.2457139200005</v>
      </c>
      <c r="K137" s="1082">
        <f t="shared" si="43"/>
        <v>5161.2661900800003</v>
      </c>
      <c r="L137" s="1082">
        <f t="shared" si="43"/>
        <v>0</v>
      </c>
      <c r="M137" s="1082"/>
      <c r="N137" s="1082"/>
      <c r="O137" s="1082"/>
    </row>
    <row r="138" spans="1:48" s="1010" customFormat="1">
      <c r="A138" s="1091"/>
      <c r="B138" s="1078" t="s">
        <v>42</v>
      </c>
      <c r="D138" s="1082">
        <f t="shared" ref="D138:L138" si="44">D124*D145</f>
        <v>890.03586671999994</v>
      </c>
      <c r="E138" s="1082">
        <f t="shared" si="44"/>
        <v>815.86621116000003</v>
      </c>
      <c r="F138" s="1082">
        <f t="shared" si="44"/>
        <v>775.92870432000018</v>
      </c>
      <c r="G138" s="1082">
        <f t="shared" si="44"/>
        <v>975.61623851999991</v>
      </c>
      <c r="H138" s="1082">
        <f t="shared" si="44"/>
        <v>376.55363591999998</v>
      </c>
      <c r="I138" s="1082">
        <f t="shared" si="44"/>
        <v>0</v>
      </c>
      <c r="J138" s="1082">
        <f t="shared" si="44"/>
        <v>5359.7764281600003</v>
      </c>
      <c r="K138" s="1082">
        <f t="shared" si="44"/>
        <v>7096.7410113600008</v>
      </c>
      <c r="L138" s="1082">
        <f t="shared" si="44"/>
        <v>0</v>
      </c>
      <c r="M138" s="1082"/>
      <c r="N138" s="1082"/>
      <c r="O138" s="1082"/>
    </row>
    <row r="139" spans="1:48" s="1010" customFormat="1">
      <c r="A139" s="1091"/>
      <c r="B139" s="1078" t="s">
        <v>41</v>
      </c>
      <c r="D139" s="1082">
        <f t="shared" ref="D139:L139" si="45">D125*D145</f>
        <v>890.03586671999994</v>
      </c>
      <c r="E139" s="1082">
        <f t="shared" si="45"/>
        <v>890.03586671999994</v>
      </c>
      <c r="F139" s="1082">
        <f t="shared" si="45"/>
        <v>2036.8128488400002</v>
      </c>
      <c r="G139" s="1082">
        <f t="shared" si="45"/>
        <v>1734.4288684799999</v>
      </c>
      <c r="H139" s="1082">
        <f t="shared" si="45"/>
        <v>376.55363591999998</v>
      </c>
      <c r="I139" s="1082">
        <f t="shared" si="45"/>
        <v>0</v>
      </c>
      <c r="J139" s="1082">
        <f t="shared" si="45"/>
        <v>10719.552856320001</v>
      </c>
      <c r="K139" s="1082">
        <f t="shared" si="45"/>
        <v>7096.7410113600008</v>
      </c>
      <c r="L139" s="1082">
        <f t="shared" si="45"/>
        <v>0</v>
      </c>
      <c r="M139" s="1082"/>
      <c r="N139" s="1082"/>
      <c r="O139" s="1082"/>
    </row>
    <row r="140" spans="1:48" s="1010" customFormat="1">
      <c r="A140" s="1091"/>
      <c r="B140" s="1078" t="s">
        <v>40</v>
      </c>
      <c r="D140" s="1082">
        <f t="shared" ref="D140:L140" si="46">D126*D145</f>
        <v>890.03586671999994</v>
      </c>
      <c r="E140" s="1082">
        <f t="shared" si="46"/>
        <v>815.86621116000003</v>
      </c>
      <c r="F140" s="1082">
        <f t="shared" si="46"/>
        <v>1939.8217608000004</v>
      </c>
      <c r="G140" s="1082">
        <f t="shared" si="46"/>
        <v>1300.8216513599998</v>
      </c>
      <c r="H140" s="1082">
        <f t="shared" si="46"/>
        <v>878.62515048000012</v>
      </c>
      <c r="I140" s="1082">
        <f t="shared" si="46"/>
        <v>182.57145983999999</v>
      </c>
      <c r="J140" s="1082">
        <f t="shared" si="46"/>
        <v>9528.4914278400011</v>
      </c>
      <c r="K140" s="1082">
        <f t="shared" si="46"/>
        <v>7096.7410113600008</v>
      </c>
      <c r="L140" s="1082">
        <f t="shared" si="46"/>
        <v>0</v>
      </c>
      <c r="M140" s="1082"/>
      <c r="N140" s="1082"/>
      <c r="O140" s="1082"/>
    </row>
    <row r="141" spans="1:48" s="1010" customFormat="1">
      <c r="A141" s="1092"/>
      <c r="B141" s="1078" t="s">
        <v>39</v>
      </c>
      <c r="D141" s="1082">
        <f t="shared" ref="D141:L141" si="47">D127*D145</f>
        <v>741.69655560000001</v>
      </c>
      <c r="E141" s="1082">
        <f t="shared" si="47"/>
        <v>741.69655560000001</v>
      </c>
      <c r="F141" s="1082">
        <f t="shared" si="47"/>
        <v>1163.89305648</v>
      </c>
      <c r="G141" s="1082">
        <f t="shared" si="47"/>
        <v>1300.8216513599998</v>
      </c>
      <c r="H141" s="1082">
        <f t="shared" si="47"/>
        <v>1004.1430291200001</v>
      </c>
      <c r="I141" s="1082">
        <f t="shared" si="47"/>
        <v>547.71437951999997</v>
      </c>
      <c r="J141" s="1082">
        <f t="shared" si="47"/>
        <v>7146.3685708800003</v>
      </c>
      <c r="K141" s="1082">
        <f t="shared" si="47"/>
        <v>7096.7410113600008</v>
      </c>
      <c r="L141" s="1082">
        <f t="shared" si="47"/>
        <v>0</v>
      </c>
      <c r="M141" s="1082"/>
      <c r="N141" s="1082"/>
      <c r="O141" s="1082"/>
    </row>
    <row r="142" spans="1:48" s="1010" customFormat="1">
      <c r="A142" s="1092"/>
      <c r="B142" s="1078" t="s">
        <v>38</v>
      </c>
      <c r="D142" s="1082">
        <f t="shared" ref="D142:L142" si="48">D128*D145</f>
        <v>741.69655560000001</v>
      </c>
      <c r="E142" s="1082">
        <f t="shared" si="48"/>
        <v>741.69655560000001</v>
      </c>
      <c r="F142" s="1082">
        <f t="shared" si="48"/>
        <v>1066.9019684400002</v>
      </c>
      <c r="G142" s="1082">
        <f t="shared" si="48"/>
        <v>1300.8216513599998</v>
      </c>
      <c r="H142" s="1082">
        <f t="shared" si="48"/>
        <v>1380.69666504</v>
      </c>
      <c r="I142" s="1082">
        <f t="shared" si="48"/>
        <v>1004.1430291199999</v>
      </c>
      <c r="J142" s="1082">
        <f t="shared" si="48"/>
        <v>7146.3685708800003</v>
      </c>
      <c r="K142" s="1082">
        <f t="shared" si="48"/>
        <v>6451.5827376000016</v>
      </c>
      <c r="L142" s="1082">
        <f t="shared" si="48"/>
        <v>0</v>
      </c>
      <c r="M142" s="1082"/>
      <c r="N142" s="1082"/>
      <c r="O142" s="1082"/>
    </row>
    <row r="143" spans="1:48" s="1010" customFormat="1">
      <c r="A143" s="1092"/>
      <c r="B143" s="1078" t="s">
        <v>37</v>
      </c>
      <c r="D143" s="1082">
        <f t="shared" ref="D143:L143" si="49">D129*D145</f>
        <v>445.01793335999997</v>
      </c>
      <c r="E143" s="1082">
        <f t="shared" si="49"/>
        <v>445.01793335999997</v>
      </c>
      <c r="F143" s="1082">
        <f t="shared" si="49"/>
        <v>290.97326412000001</v>
      </c>
      <c r="G143" s="1082">
        <f t="shared" si="49"/>
        <v>758.81262996000009</v>
      </c>
      <c r="H143" s="1082">
        <f t="shared" si="49"/>
        <v>1506.2145436799999</v>
      </c>
      <c r="I143" s="1082">
        <f t="shared" si="49"/>
        <v>1095.4287590399999</v>
      </c>
      <c r="J143" s="1082">
        <f t="shared" si="49"/>
        <v>4168.7149996800008</v>
      </c>
      <c r="K143" s="1082">
        <f t="shared" si="49"/>
        <v>3870.9496425600005</v>
      </c>
      <c r="L143" s="1082">
        <f t="shared" si="49"/>
        <v>0</v>
      </c>
      <c r="M143" s="1082"/>
      <c r="N143" s="1082"/>
      <c r="O143" s="1082"/>
    </row>
    <row r="144" spans="1:48" s="1074" customFormat="1">
      <c r="A144" s="1092"/>
      <c r="B144" s="1078" t="s">
        <v>36</v>
      </c>
      <c r="D144" s="1082">
        <f t="shared" ref="D144:L144" si="50">D130*D145</f>
        <v>445.01793335999997</v>
      </c>
      <c r="E144" s="1082">
        <f t="shared" si="50"/>
        <v>519.18758892000005</v>
      </c>
      <c r="F144" s="1082">
        <f t="shared" si="50"/>
        <v>96.991088040000022</v>
      </c>
      <c r="G144" s="1082">
        <f t="shared" si="50"/>
        <v>325.20541283999995</v>
      </c>
      <c r="H144" s="1082">
        <f t="shared" si="50"/>
        <v>1757.2503009600002</v>
      </c>
      <c r="I144" s="1082">
        <f t="shared" si="50"/>
        <v>1643.1431385599999</v>
      </c>
      <c r="J144" s="1082">
        <f t="shared" si="50"/>
        <v>0</v>
      </c>
      <c r="K144" s="1082">
        <f t="shared" si="50"/>
        <v>4516.1079163200011</v>
      </c>
      <c r="L144" s="1082">
        <f t="shared" si="50"/>
        <v>0</v>
      </c>
      <c r="M144" s="1082"/>
      <c r="N144" s="1082"/>
      <c r="O144" s="1082"/>
      <c r="P144" s="1010"/>
      <c r="Q144" s="1010"/>
      <c r="R144" s="1010"/>
      <c r="S144" s="1010"/>
      <c r="T144" s="1010"/>
      <c r="U144" s="1010"/>
    </row>
    <row r="145" spans="1:21" s="1074" customFormat="1">
      <c r="A145" s="1092"/>
      <c r="B145" s="1078" t="s">
        <v>412</v>
      </c>
      <c r="D145" s="1082">
        <f t="shared" ref="D145:L145" si="51">VLOOKUP(D71,TargetedMSMkt,IF(D72="[retail]",8,10),FALSE)</f>
        <v>7416.9655560000001</v>
      </c>
      <c r="E145" s="1082">
        <f t="shared" si="51"/>
        <v>7416.9655560000001</v>
      </c>
      <c r="F145" s="1082">
        <f t="shared" si="51"/>
        <v>9699.1088040000013</v>
      </c>
      <c r="G145" s="1082">
        <f t="shared" si="51"/>
        <v>10840.180428</v>
      </c>
      <c r="H145" s="1082">
        <f t="shared" si="51"/>
        <v>12551.787864</v>
      </c>
      <c r="I145" s="1082">
        <f t="shared" si="51"/>
        <v>9128.5729919999994</v>
      </c>
      <c r="J145" s="1082">
        <f t="shared" si="51"/>
        <v>59553.071424000002</v>
      </c>
      <c r="K145" s="1082">
        <f t="shared" si="51"/>
        <v>64515.827376000008</v>
      </c>
      <c r="L145" s="1082">
        <f t="shared" si="51"/>
        <v>0</v>
      </c>
      <c r="M145" s="1082"/>
      <c r="N145" s="1082"/>
      <c r="O145" s="1082"/>
      <c r="P145" s="1010"/>
      <c r="Q145" s="1010"/>
      <c r="R145" s="1010"/>
      <c r="S145" s="1010"/>
      <c r="T145" s="1010"/>
      <c r="U145" s="1010"/>
    </row>
    <row r="146" spans="1:21" s="1074" customFormat="1">
      <c r="A146" s="1073"/>
      <c r="B146" s="1077" t="s">
        <v>414</v>
      </c>
      <c r="D146" s="307" t="str">
        <f t="shared" ref="D146:L146" si="52">IF(D72="[wholesale]",D145/capacity,"")</f>
        <v/>
      </c>
      <c r="E146" s="307" t="str">
        <f t="shared" si="52"/>
        <v/>
      </c>
      <c r="F146" s="307" t="str">
        <f t="shared" si="52"/>
        <v/>
      </c>
      <c r="G146" s="307" t="str">
        <f t="shared" si="52"/>
        <v/>
      </c>
      <c r="H146" s="307" t="str">
        <f t="shared" si="52"/>
        <v/>
      </c>
      <c r="I146" s="307" t="str">
        <f t="shared" si="52"/>
        <v/>
      </c>
      <c r="J146" s="307">
        <f t="shared" si="52"/>
        <v>48.026670503225809</v>
      </c>
      <c r="K146" s="307">
        <f t="shared" si="52"/>
        <v>52.028893045161297</v>
      </c>
      <c r="L146" s="307" t="str">
        <f t="shared" si="52"/>
        <v/>
      </c>
      <c r="M146" s="307"/>
      <c r="N146" s="307"/>
      <c r="O146" s="307"/>
      <c r="P146" s="1010"/>
      <c r="Q146" s="1010"/>
      <c r="R146" s="1010"/>
      <c r="S146" s="1010"/>
      <c r="T146" s="1010"/>
      <c r="U146" s="1010"/>
    </row>
    <row r="147" spans="1:21" s="1010" customFormat="1">
      <c r="A147" s="1073"/>
      <c r="B147" s="1077"/>
      <c r="C147" s="1093" t="s">
        <v>101</v>
      </c>
      <c r="D147" s="1080" t="s">
        <v>1606</v>
      </c>
      <c r="E147" s="1080"/>
      <c r="F147" s="1080"/>
      <c r="G147" s="1080"/>
      <c r="H147" s="1080"/>
      <c r="I147" s="1080"/>
      <c r="J147" s="1080"/>
      <c r="K147" s="1080"/>
      <c r="L147" s="1080"/>
      <c r="M147" s="1080"/>
      <c r="N147" s="1080"/>
      <c r="O147" s="1080"/>
      <c r="P147" s="1086"/>
      <c r="R147" s="1086"/>
      <c r="S147" s="1086"/>
    </row>
    <row r="148" spans="1:21" s="1010" customFormat="1">
      <c r="A148" s="304"/>
      <c r="B148" s="1077" t="s">
        <v>47</v>
      </c>
      <c r="C148" s="308">
        <f t="shared" ref="C148:C159" si="53">SUM(D148:Z148)</f>
        <v>5</v>
      </c>
      <c r="D148" s="311">
        <f t="shared" ref="D148:L148" si="54">ProductionFY2m(1,D71,VLOOKUP(D71,ProductsRangeMkt,3,FALSE),D133)</f>
        <v>0</v>
      </c>
      <c r="E148" s="311">
        <f t="shared" si="54"/>
        <v>0.30932896890343692</v>
      </c>
      <c r="F148" s="311">
        <f t="shared" si="54"/>
        <v>0</v>
      </c>
      <c r="G148" s="311">
        <f t="shared" si="54"/>
        <v>0</v>
      </c>
      <c r="H148" s="311">
        <f t="shared" si="54"/>
        <v>1</v>
      </c>
      <c r="I148" s="311">
        <f t="shared" si="54"/>
        <v>1</v>
      </c>
      <c r="J148" s="311">
        <f t="shared" si="54"/>
        <v>0</v>
      </c>
      <c r="K148" s="311">
        <f t="shared" si="54"/>
        <v>2.6906710310965627</v>
      </c>
      <c r="L148" s="311">
        <f t="shared" si="54"/>
        <v>0</v>
      </c>
      <c r="M148" s="311"/>
      <c r="N148" s="311"/>
      <c r="O148" s="311"/>
      <c r="P148" s="1086"/>
      <c r="R148" s="1086"/>
      <c r="S148" s="1086"/>
    </row>
    <row r="149" spans="1:21" s="1010" customFormat="1">
      <c r="A149" s="306"/>
      <c r="B149" s="1077" t="s">
        <v>46</v>
      </c>
      <c r="C149" s="308">
        <f t="shared" si="53"/>
        <v>7</v>
      </c>
      <c r="D149" s="311">
        <f t="shared" ref="D149:L149" si="55">ProductionFY2m(2,D71,VLOOKUP(D71,ProductsRangeMkt,3,FALSE),D134)</f>
        <v>0.26004127639307822</v>
      </c>
      <c r="E149" s="311">
        <f t="shared" si="55"/>
        <v>0.30932896890343692</v>
      </c>
      <c r="F149" s="311">
        <f t="shared" si="55"/>
        <v>0</v>
      </c>
      <c r="G149" s="311">
        <f t="shared" si="55"/>
        <v>0</v>
      </c>
      <c r="H149" s="311">
        <f t="shared" si="55"/>
        <v>1</v>
      </c>
      <c r="I149" s="311">
        <f t="shared" si="55"/>
        <v>1</v>
      </c>
      <c r="J149" s="311">
        <f t="shared" si="55"/>
        <v>1.7399587236069218</v>
      </c>
      <c r="K149" s="311">
        <f t="shared" si="55"/>
        <v>2.6906710310965627</v>
      </c>
      <c r="L149" s="311">
        <f t="shared" si="55"/>
        <v>0</v>
      </c>
      <c r="M149" s="311"/>
      <c r="N149" s="311"/>
      <c r="O149" s="311"/>
      <c r="P149" s="1086"/>
      <c r="R149" s="1086"/>
      <c r="S149" s="1086"/>
    </row>
    <row r="150" spans="1:21" s="1010" customFormat="1">
      <c r="A150" s="1074"/>
      <c r="B150" s="1078" t="s">
        <v>45</v>
      </c>
      <c r="C150" s="308">
        <f t="shared" si="53"/>
        <v>9</v>
      </c>
      <c r="D150" s="311">
        <f t="shared" ref="D150:L150" si="56">ProductionFY2m(3,D71,VLOOKUP(D71,ProductsRangeMkt,3,FALSE),D135)</f>
        <v>0.33225152129817442</v>
      </c>
      <c r="E150" s="311">
        <f t="shared" si="56"/>
        <v>0.30932896890343692</v>
      </c>
      <c r="F150" s="311">
        <f t="shared" si="56"/>
        <v>0</v>
      </c>
      <c r="G150" s="311">
        <f t="shared" si="56"/>
        <v>1</v>
      </c>
      <c r="H150" s="311">
        <f t="shared" si="56"/>
        <v>1</v>
      </c>
      <c r="I150" s="311">
        <f t="shared" si="56"/>
        <v>1</v>
      </c>
      <c r="J150" s="311">
        <f t="shared" si="56"/>
        <v>2.6677484787018257</v>
      </c>
      <c r="K150" s="311">
        <f t="shared" si="56"/>
        <v>2.6906710310965627</v>
      </c>
      <c r="L150" s="311">
        <f t="shared" si="56"/>
        <v>0</v>
      </c>
      <c r="M150" s="311"/>
      <c r="N150" s="311"/>
      <c r="O150" s="311"/>
      <c r="P150" s="1086"/>
      <c r="R150" s="1086"/>
      <c r="S150" s="1086"/>
    </row>
    <row r="151" spans="1:21" s="1010" customFormat="1">
      <c r="A151" s="1074"/>
      <c r="B151" s="1078" t="s">
        <v>44</v>
      </c>
      <c r="C151" s="308">
        <f t="shared" si="53"/>
        <v>10</v>
      </c>
      <c r="D151" s="311">
        <f t="shared" ref="D151:L151" si="57">ProductionFY2m(4,D71,VLOOKUP(D71,ProductsRangeMkt,3,FALSE),D136)</f>
        <v>0.2893652102225886</v>
      </c>
      <c r="E151" s="311">
        <f t="shared" si="57"/>
        <v>0.41243862520458258</v>
      </c>
      <c r="F151" s="311">
        <f t="shared" si="57"/>
        <v>0</v>
      </c>
      <c r="G151" s="311">
        <f t="shared" si="57"/>
        <v>1</v>
      </c>
      <c r="H151" s="311">
        <f t="shared" si="57"/>
        <v>1</v>
      </c>
      <c r="I151" s="311">
        <f t="shared" si="57"/>
        <v>1</v>
      </c>
      <c r="J151" s="311">
        <f t="shared" si="57"/>
        <v>2.7106347897774117</v>
      </c>
      <c r="K151" s="311">
        <f t="shared" si="57"/>
        <v>3.5875613747954174</v>
      </c>
      <c r="L151" s="311">
        <f t="shared" si="57"/>
        <v>0</v>
      </c>
      <c r="M151" s="311"/>
      <c r="N151" s="311"/>
      <c r="O151" s="311"/>
      <c r="P151" s="1086"/>
      <c r="R151" s="1086"/>
      <c r="S151" s="1086"/>
    </row>
    <row r="152" spans="1:21" s="1010" customFormat="1">
      <c r="A152" s="1074"/>
      <c r="B152" s="1078" t="s">
        <v>43</v>
      </c>
      <c r="C152" s="308">
        <f t="shared" si="53"/>
        <v>11</v>
      </c>
      <c r="D152" s="311">
        <f t="shared" ref="D152:L152" si="58">ProductionFY2m(5,D71,VLOOKUP(D71,ProductsRangeMkt,3,FALSE),D137)</f>
        <v>0.44300202839756592</v>
      </c>
      <c r="E152" s="311">
        <f t="shared" si="58"/>
        <v>0.41243862520458269</v>
      </c>
      <c r="F152" s="311">
        <f t="shared" si="58"/>
        <v>1</v>
      </c>
      <c r="G152" s="311">
        <f t="shared" si="58"/>
        <v>1</v>
      </c>
      <c r="H152" s="311">
        <f t="shared" si="58"/>
        <v>1</v>
      </c>
      <c r="I152" s="311">
        <f t="shared" si="58"/>
        <v>0</v>
      </c>
      <c r="J152" s="311">
        <f t="shared" si="58"/>
        <v>3.556997971602434</v>
      </c>
      <c r="K152" s="311">
        <f t="shared" si="58"/>
        <v>3.5875613747954174</v>
      </c>
      <c r="L152" s="311">
        <f t="shared" si="58"/>
        <v>0</v>
      </c>
      <c r="M152" s="311"/>
      <c r="N152" s="311"/>
      <c r="O152" s="311"/>
      <c r="P152" s="1086"/>
      <c r="R152" s="1086"/>
      <c r="S152" s="1086"/>
    </row>
    <row r="153" spans="1:21" s="1010" customFormat="1">
      <c r="B153" s="1078" t="s">
        <v>42</v>
      </c>
      <c r="C153" s="308">
        <f t="shared" si="53"/>
        <v>13</v>
      </c>
      <c r="D153" s="311">
        <f t="shared" ref="D153:L153" si="59">ProductionFY2m(6,D71,VLOOKUP(D71,ProductsRangeMkt,3,FALSE),D138)</f>
        <v>0.7120500782472613</v>
      </c>
      <c r="E153" s="311">
        <f t="shared" si="59"/>
        <v>0.61865793780687395</v>
      </c>
      <c r="F153" s="311">
        <f t="shared" si="59"/>
        <v>1</v>
      </c>
      <c r="G153" s="311">
        <f t="shared" si="59"/>
        <v>1</v>
      </c>
      <c r="H153" s="311">
        <f t="shared" si="59"/>
        <v>0</v>
      </c>
      <c r="I153" s="311">
        <f t="shared" si="59"/>
        <v>0</v>
      </c>
      <c r="J153" s="311">
        <f t="shared" si="59"/>
        <v>4.2879499217527384</v>
      </c>
      <c r="K153" s="311">
        <f t="shared" si="59"/>
        <v>5.3813420621931263</v>
      </c>
      <c r="L153" s="311">
        <f t="shared" si="59"/>
        <v>0</v>
      </c>
      <c r="M153" s="311"/>
      <c r="N153" s="311"/>
      <c r="O153" s="311"/>
      <c r="P153" s="1086"/>
      <c r="R153" s="1086"/>
      <c r="S153" s="1086"/>
    </row>
    <row r="154" spans="1:21" s="1010" customFormat="1">
      <c r="B154" s="1078" t="s">
        <v>41</v>
      </c>
      <c r="C154" s="308">
        <f t="shared" si="53"/>
        <v>18</v>
      </c>
      <c r="D154" s="311">
        <f t="shared" ref="D154:L154" si="60">ProductionFY2m(7,D71,VLOOKUP(D71,ProductsRangeMkt,3,FALSE),D139)</f>
        <v>0.68997472620050537</v>
      </c>
      <c r="E154" s="311">
        <f t="shared" si="60"/>
        <v>0.66863207547169801</v>
      </c>
      <c r="F154" s="311">
        <f t="shared" si="60"/>
        <v>2</v>
      </c>
      <c r="G154" s="311">
        <f t="shared" si="60"/>
        <v>1</v>
      </c>
      <c r="H154" s="311">
        <f t="shared" si="60"/>
        <v>0</v>
      </c>
      <c r="I154" s="311">
        <f t="shared" si="60"/>
        <v>0</v>
      </c>
      <c r="J154" s="311">
        <f t="shared" si="60"/>
        <v>8.3100252737994946</v>
      </c>
      <c r="K154" s="311">
        <f t="shared" si="60"/>
        <v>5.3313679245283021</v>
      </c>
      <c r="L154" s="311">
        <f t="shared" si="60"/>
        <v>0</v>
      </c>
      <c r="M154" s="311"/>
      <c r="N154" s="311"/>
      <c r="O154" s="311"/>
      <c r="P154" s="1086"/>
      <c r="R154" s="1086"/>
      <c r="S154" s="1086"/>
    </row>
    <row r="155" spans="1:21" s="1010" customFormat="1">
      <c r="B155" s="1078" t="s">
        <v>40</v>
      </c>
      <c r="C155" s="308">
        <f t="shared" si="53"/>
        <v>18</v>
      </c>
      <c r="D155" s="311">
        <f t="shared" ref="D155:L155" si="61">ProductionFY2m(8,D71,VLOOKUP(D71,ProductsRangeMkt,3,FALSE),D140)</f>
        <v>0.68342547199332415</v>
      </c>
      <c r="E155" s="311">
        <f t="shared" si="61"/>
        <v>0.61865793780687395</v>
      </c>
      <c r="F155" s="311">
        <f t="shared" si="61"/>
        <v>2</v>
      </c>
      <c r="G155" s="311">
        <f t="shared" si="61"/>
        <v>1</v>
      </c>
      <c r="H155" s="311">
        <f t="shared" si="61"/>
        <v>1</v>
      </c>
      <c r="I155" s="311">
        <f t="shared" si="61"/>
        <v>0</v>
      </c>
      <c r="J155" s="311">
        <f t="shared" si="61"/>
        <v>7.3165745280066758</v>
      </c>
      <c r="K155" s="311">
        <f t="shared" si="61"/>
        <v>5.3813420621931263</v>
      </c>
      <c r="L155" s="311">
        <f t="shared" si="61"/>
        <v>0</v>
      </c>
      <c r="M155" s="311"/>
      <c r="N155" s="311"/>
      <c r="O155" s="311"/>
      <c r="P155" s="1086"/>
      <c r="R155" s="1086"/>
      <c r="S155" s="1086"/>
    </row>
    <row r="156" spans="1:21" s="1010" customFormat="1">
      <c r="B156" s="1078" t="s">
        <v>39</v>
      </c>
      <c r="C156" s="308">
        <f t="shared" si="53"/>
        <v>15</v>
      </c>
      <c r="D156" s="311">
        <f t="shared" ref="D156:L156" si="62">ProductionFY2m(9,D71,VLOOKUP(D71,ProductsRangeMkt,3,FALSE),D141)</f>
        <v>0.56416615003099813</v>
      </c>
      <c r="E156" s="311">
        <f t="shared" si="62"/>
        <v>0.56773805947732048</v>
      </c>
      <c r="F156" s="311">
        <f t="shared" si="62"/>
        <v>1</v>
      </c>
      <c r="G156" s="311">
        <f t="shared" si="62"/>
        <v>1</v>
      </c>
      <c r="H156" s="311">
        <f t="shared" si="62"/>
        <v>1</v>
      </c>
      <c r="I156" s="311">
        <f t="shared" si="62"/>
        <v>0</v>
      </c>
      <c r="J156" s="311">
        <f t="shared" si="62"/>
        <v>5.4358338499690024</v>
      </c>
      <c r="K156" s="311">
        <f t="shared" si="62"/>
        <v>5.4322619405226789</v>
      </c>
      <c r="L156" s="311">
        <f t="shared" si="62"/>
        <v>0</v>
      </c>
      <c r="M156" s="311"/>
      <c r="N156" s="311"/>
      <c r="O156" s="311"/>
      <c r="P156" s="1086"/>
      <c r="R156" s="1086"/>
      <c r="S156" s="1086"/>
    </row>
    <row r="157" spans="1:21" s="1010" customFormat="1">
      <c r="B157" s="1078" t="s">
        <v>38</v>
      </c>
      <c r="C157" s="308">
        <f t="shared" si="53"/>
        <v>16</v>
      </c>
      <c r="D157" s="311">
        <f t="shared" ref="D157:L157" si="63">ProductionFY2m(10,D71,VLOOKUP(D71,ProductsRangeMkt,3,FALSE),D142)</f>
        <v>0.56416615003099813</v>
      </c>
      <c r="E157" s="311">
        <f t="shared" si="63"/>
        <v>0.61865793780687384</v>
      </c>
      <c r="F157" s="311">
        <f t="shared" si="63"/>
        <v>1</v>
      </c>
      <c r="G157" s="311">
        <f t="shared" si="63"/>
        <v>1</v>
      </c>
      <c r="H157" s="311">
        <f t="shared" si="63"/>
        <v>1</v>
      </c>
      <c r="I157" s="311">
        <f t="shared" si="63"/>
        <v>1</v>
      </c>
      <c r="J157" s="311">
        <f t="shared" si="63"/>
        <v>5.4358338499690024</v>
      </c>
      <c r="K157" s="311">
        <f t="shared" si="63"/>
        <v>5.3813420621931263</v>
      </c>
      <c r="L157" s="311">
        <f t="shared" si="63"/>
        <v>0</v>
      </c>
      <c r="M157" s="311"/>
      <c r="N157" s="311"/>
      <c r="O157" s="311"/>
      <c r="P157" s="1086"/>
      <c r="R157" s="1086"/>
      <c r="S157" s="1086"/>
    </row>
    <row r="158" spans="1:21" s="1010" customFormat="1">
      <c r="B158" s="1078" t="s">
        <v>37</v>
      </c>
      <c r="C158" s="308">
        <f t="shared" si="53"/>
        <v>9</v>
      </c>
      <c r="D158" s="311">
        <f t="shared" ref="D158:L158" si="64">ProductionFY2m(11,D71,VLOOKUP(D71,ProductsRangeMkt,3,FALSE),D143)</f>
        <v>0.2893652102225886</v>
      </c>
      <c r="E158" s="311">
        <f t="shared" si="64"/>
        <v>0.30932896890343692</v>
      </c>
      <c r="F158" s="311">
        <f t="shared" si="64"/>
        <v>0</v>
      </c>
      <c r="G158" s="311">
        <f t="shared" si="64"/>
        <v>1</v>
      </c>
      <c r="H158" s="311">
        <f t="shared" si="64"/>
        <v>1</v>
      </c>
      <c r="I158" s="311">
        <f t="shared" si="64"/>
        <v>1</v>
      </c>
      <c r="J158" s="311">
        <f t="shared" si="64"/>
        <v>2.7106347897774117</v>
      </c>
      <c r="K158" s="311">
        <f t="shared" si="64"/>
        <v>2.6906710310965627</v>
      </c>
      <c r="L158" s="311">
        <f t="shared" si="64"/>
        <v>0</v>
      </c>
      <c r="M158" s="311"/>
      <c r="N158" s="311"/>
      <c r="O158" s="311"/>
      <c r="P158" s="1086"/>
      <c r="R158" s="1086"/>
      <c r="S158" s="1086"/>
    </row>
    <row r="159" spans="1:21" s="1010" customFormat="1">
      <c r="B159" s="1078" t="s">
        <v>36</v>
      </c>
      <c r="C159" s="308">
        <f t="shared" si="53"/>
        <v>6</v>
      </c>
      <c r="D159" s="311">
        <f t="shared" ref="D159:L159" si="65">ProductionFY2m(12,D71,VLOOKUP(D71,ProductsRangeMkt,3,FALSE),D144)</f>
        <v>0</v>
      </c>
      <c r="E159" s="311">
        <f t="shared" si="65"/>
        <v>0.41243862520458258</v>
      </c>
      <c r="F159" s="311">
        <f t="shared" si="65"/>
        <v>0</v>
      </c>
      <c r="G159" s="311">
        <f t="shared" si="65"/>
        <v>0</v>
      </c>
      <c r="H159" s="311">
        <f t="shared" si="65"/>
        <v>1</v>
      </c>
      <c r="I159" s="311">
        <f t="shared" si="65"/>
        <v>1</v>
      </c>
      <c r="J159" s="311">
        <f t="shared" si="65"/>
        <v>0</v>
      </c>
      <c r="K159" s="311">
        <f t="shared" si="65"/>
        <v>3.5875613747954174</v>
      </c>
      <c r="L159" s="311">
        <f t="shared" si="65"/>
        <v>0</v>
      </c>
      <c r="M159" s="311"/>
      <c r="N159" s="311"/>
      <c r="O159" s="311"/>
      <c r="P159" s="1086"/>
      <c r="R159" s="1086"/>
      <c r="S159" s="1086"/>
    </row>
    <row r="160" spans="1:21" s="1074" customFormat="1">
      <c r="A160" s="1087" t="s">
        <v>416</v>
      </c>
      <c r="C160" s="1077" t="s">
        <v>85</v>
      </c>
      <c r="D160" s="1088">
        <f t="shared" ref="D160:L160" si="66">SUM(D133:D144)</f>
        <v>7416.9655559999992</v>
      </c>
      <c r="E160" s="1089">
        <f t="shared" si="66"/>
        <v>7416.9655560000001</v>
      </c>
      <c r="F160" s="1089">
        <f t="shared" si="66"/>
        <v>9699.1088040000031</v>
      </c>
      <c r="G160" s="1089">
        <f t="shared" si="66"/>
        <v>10840.180428</v>
      </c>
      <c r="H160" s="1089">
        <f t="shared" si="66"/>
        <v>12551.787864</v>
      </c>
      <c r="I160" s="1089">
        <f t="shared" si="66"/>
        <v>9128.5729920000012</v>
      </c>
      <c r="J160" s="1089">
        <f t="shared" si="66"/>
        <v>59553.071424000009</v>
      </c>
      <c r="K160" s="1089">
        <f t="shared" si="66"/>
        <v>64515.827376000001</v>
      </c>
      <c r="L160" s="1089">
        <f t="shared" si="66"/>
        <v>0</v>
      </c>
      <c r="M160" s="1089"/>
      <c r="N160" s="1089"/>
      <c r="O160" s="310"/>
      <c r="P160" s="1086"/>
      <c r="Q160" s="1010"/>
      <c r="R160" s="1086"/>
      <c r="S160" s="1086"/>
    </row>
    <row r="161" spans="1:48" s="1074" customFormat="1">
      <c r="A161" s="1087" t="s">
        <v>417</v>
      </c>
      <c r="C161" s="1077" t="s">
        <v>85</v>
      </c>
      <c r="D161" s="1088">
        <f t="shared" ref="D161:L161" si="67">SUM(D148:D159)*capacity</f>
        <v>5986.4817005659825</v>
      </c>
      <c r="E161" s="1088">
        <f t="shared" si="67"/>
        <v>6903.0498675004474</v>
      </c>
      <c r="F161" s="1088">
        <f t="shared" si="67"/>
        <v>9920</v>
      </c>
      <c r="G161" s="1088">
        <f t="shared" si="67"/>
        <v>11160</v>
      </c>
      <c r="H161" s="1088">
        <f t="shared" si="67"/>
        <v>12400</v>
      </c>
      <c r="I161" s="1088">
        <f t="shared" si="67"/>
        <v>8680</v>
      </c>
      <c r="J161" s="1088">
        <f t="shared" si="67"/>
        <v>54773.518299434007</v>
      </c>
      <c r="K161" s="1088">
        <f t="shared" si="67"/>
        <v>60056.950132499551</v>
      </c>
      <c r="L161" s="1088">
        <f t="shared" si="67"/>
        <v>0</v>
      </c>
      <c r="M161" s="1088"/>
      <c r="N161" s="1088"/>
      <c r="O161" s="1088"/>
      <c r="P161" s="1086"/>
      <c r="Q161" s="1010"/>
      <c r="R161" s="1086"/>
      <c r="S161" s="1086"/>
    </row>
    <row r="162" spans="1:48" s="1074" customFormat="1">
      <c r="A162" s="1087" t="s">
        <v>418</v>
      </c>
      <c r="C162" s="1077" t="s">
        <v>85</v>
      </c>
      <c r="D162" s="1088">
        <f t="shared" ref="D162:L162" si="68">D160-D161</f>
        <v>1430.4838554340167</v>
      </c>
      <c r="E162" s="1089">
        <f t="shared" si="68"/>
        <v>513.91568849955274</v>
      </c>
      <c r="F162" s="1089">
        <f t="shared" si="68"/>
        <v>-220.89119599999685</v>
      </c>
      <c r="G162" s="1089">
        <f t="shared" si="68"/>
        <v>-319.81957200000033</v>
      </c>
      <c r="H162" s="1089">
        <f t="shared" si="68"/>
        <v>151.7878639999999</v>
      </c>
      <c r="I162" s="1089">
        <f t="shared" si="68"/>
        <v>448.57299200000125</v>
      </c>
      <c r="J162" s="1089">
        <f t="shared" si="68"/>
        <v>4779.5531245660022</v>
      </c>
      <c r="K162" s="1089">
        <f t="shared" si="68"/>
        <v>4458.8772435004503</v>
      </c>
      <c r="L162" s="1089">
        <f t="shared" si="68"/>
        <v>0</v>
      </c>
      <c r="M162" s="1089"/>
      <c r="N162" s="1089"/>
      <c r="O162" s="1089"/>
      <c r="P162" s="1086"/>
      <c r="Q162" s="1010"/>
      <c r="R162" s="1086"/>
      <c r="S162" s="1086"/>
    </row>
    <row r="163" spans="1:48" s="1074" customFormat="1">
      <c r="A163" s="1073"/>
      <c r="B163" s="1075" t="s">
        <v>33</v>
      </c>
      <c r="C163" s="1075"/>
      <c r="D163" s="1076" t="s">
        <v>1607</v>
      </c>
      <c r="E163" s="1076"/>
      <c r="F163" s="1076"/>
      <c r="G163" s="1076"/>
      <c r="H163" s="1076"/>
      <c r="I163" s="1076"/>
      <c r="J163" s="1076"/>
      <c r="K163" s="1076"/>
      <c r="L163" s="1076"/>
      <c r="M163" s="1076"/>
      <c r="N163" s="1076"/>
      <c r="O163" s="1076"/>
      <c r="P163" s="1010"/>
      <c r="Q163" s="1010"/>
      <c r="R163" s="1010"/>
      <c r="S163" s="1010"/>
      <c r="T163" s="1010"/>
      <c r="U163" s="1010"/>
      <c r="V163" s="1010"/>
      <c r="W163" s="1010"/>
      <c r="X163" s="1010"/>
      <c r="Y163" s="1010"/>
      <c r="Z163" s="1010"/>
      <c r="AA163" s="1010"/>
      <c r="AB163" s="1010"/>
      <c r="AC163" s="1010"/>
      <c r="AD163" s="1010"/>
      <c r="AE163" s="1010"/>
      <c r="AF163" s="1010"/>
      <c r="AG163" s="1010"/>
      <c r="AH163" s="1010"/>
      <c r="AI163" s="1010"/>
      <c r="AJ163" s="1010"/>
      <c r="AK163" s="1010"/>
      <c r="AL163" s="1010"/>
      <c r="AM163" s="1010"/>
      <c r="AN163" s="1010"/>
      <c r="AO163" s="1010"/>
      <c r="AP163" s="1010"/>
      <c r="AQ163" s="1010"/>
      <c r="AR163" s="1010"/>
      <c r="AS163" s="1010"/>
      <c r="AT163" s="1010"/>
      <c r="AU163" s="1010"/>
      <c r="AV163" s="1010"/>
    </row>
    <row r="164" spans="1:48" s="1074" customFormat="1">
      <c r="A164" s="304"/>
      <c r="B164" s="1077" t="s">
        <v>47</v>
      </c>
      <c r="C164" s="1123"/>
      <c r="D164" s="188">
        <v>0.06</v>
      </c>
      <c r="E164" s="188">
        <v>0.06</v>
      </c>
      <c r="F164" s="188">
        <v>0.05</v>
      </c>
      <c r="G164" s="188">
        <v>0.05</v>
      </c>
      <c r="H164" s="188">
        <v>0.12</v>
      </c>
      <c r="I164" s="188">
        <v>0.18</v>
      </c>
      <c r="J164" s="188">
        <v>0.05</v>
      </c>
      <c r="K164" s="188">
        <v>0.05</v>
      </c>
      <c r="L164" s="325"/>
      <c r="M164" s="325"/>
      <c r="N164" s="325"/>
      <c r="O164" s="325"/>
      <c r="P164" s="1010"/>
      <c r="Q164" s="1010"/>
      <c r="R164" s="1010"/>
      <c r="S164" s="1010"/>
      <c r="T164" s="1010"/>
      <c r="U164" s="1010"/>
      <c r="V164" s="1010"/>
      <c r="W164" s="1010"/>
      <c r="X164" s="1010"/>
      <c r="Y164" s="1010"/>
      <c r="Z164" s="1010"/>
      <c r="AA164" s="1010"/>
      <c r="AB164" s="1010"/>
      <c r="AC164" s="1010"/>
      <c r="AD164" s="1010"/>
      <c r="AE164" s="1010"/>
      <c r="AF164" s="1010"/>
      <c r="AG164" s="1010"/>
      <c r="AH164" s="1010"/>
      <c r="AI164" s="1010"/>
      <c r="AJ164" s="1010"/>
      <c r="AK164" s="1010"/>
      <c r="AL164" s="1010"/>
      <c r="AM164" s="1010"/>
      <c r="AN164" s="1010"/>
      <c r="AO164" s="1010"/>
      <c r="AP164" s="1010"/>
      <c r="AQ164" s="1010"/>
      <c r="AR164" s="1010"/>
      <c r="AS164" s="1010"/>
      <c r="AT164" s="1010"/>
      <c r="AU164" s="1010"/>
      <c r="AV164" s="1010"/>
    </row>
    <row r="165" spans="1:48" s="1074" customFormat="1">
      <c r="A165" s="306"/>
      <c r="B165" s="1077" t="s">
        <v>46</v>
      </c>
      <c r="C165" s="1123"/>
      <c r="D165" s="188">
        <v>0.06</v>
      </c>
      <c r="E165" s="188">
        <v>0.06</v>
      </c>
      <c r="F165" s="188">
        <v>0.05</v>
      </c>
      <c r="G165" s="188">
        <v>0.05</v>
      </c>
      <c r="H165" s="188">
        <v>7.0000000000000007E-2</v>
      </c>
      <c r="I165" s="188">
        <v>0.14000000000000001</v>
      </c>
      <c r="J165" s="188">
        <v>0.05</v>
      </c>
      <c r="K165" s="188">
        <v>0.05</v>
      </c>
      <c r="L165" s="325"/>
      <c r="M165" s="325"/>
      <c r="N165" s="325"/>
      <c r="O165" s="325"/>
      <c r="P165" s="1010"/>
      <c r="Q165" s="1010"/>
      <c r="R165" s="1010"/>
      <c r="S165" s="1010"/>
      <c r="T165" s="1010"/>
      <c r="U165" s="1010"/>
      <c r="V165" s="1010"/>
      <c r="W165" s="1010"/>
      <c r="X165" s="1010"/>
      <c r="Y165" s="1010"/>
      <c r="Z165" s="1010"/>
      <c r="AA165" s="1010"/>
      <c r="AB165" s="1010"/>
      <c r="AC165" s="1010"/>
      <c r="AD165" s="1010"/>
      <c r="AE165" s="1010"/>
      <c r="AF165" s="1010"/>
      <c r="AG165" s="1010"/>
      <c r="AH165" s="1010"/>
      <c r="AI165" s="1010"/>
      <c r="AJ165" s="1010"/>
      <c r="AK165" s="1010"/>
      <c r="AL165" s="1010"/>
      <c r="AM165" s="1010"/>
      <c r="AN165" s="1010"/>
      <c r="AO165" s="1010"/>
      <c r="AP165" s="1010"/>
      <c r="AQ165" s="1010"/>
      <c r="AR165" s="1010"/>
      <c r="AS165" s="1010"/>
      <c r="AT165" s="1010"/>
      <c r="AU165" s="1010"/>
      <c r="AV165" s="1010"/>
    </row>
    <row r="166" spans="1:48" s="1074" customFormat="1">
      <c r="B166" s="1078" t="s">
        <v>45</v>
      </c>
      <c r="C166" s="1123"/>
      <c r="D166" s="188">
        <v>0.06</v>
      </c>
      <c r="E166" s="188">
        <v>0.06</v>
      </c>
      <c r="F166" s="188">
        <v>0.06</v>
      </c>
      <c r="G166" s="188">
        <v>0.06</v>
      </c>
      <c r="H166" s="188">
        <v>7.0000000000000007E-2</v>
      </c>
      <c r="I166" s="188">
        <v>0.09</v>
      </c>
      <c r="J166" s="188">
        <v>0.06</v>
      </c>
      <c r="K166" s="188">
        <v>0.06</v>
      </c>
      <c r="L166" s="325"/>
      <c r="M166" s="325"/>
      <c r="N166" s="325"/>
      <c r="O166" s="325"/>
      <c r="P166" s="1010"/>
      <c r="Q166" s="1010"/>
      <c r="R166" s="1010"/>
      <c r="S166" s="1010"/>
      <c r="T166" s="1010"/>
      <c r="U166" s="1010"/>
      <c r="V166" s="1010"/>
      <c r="W166" s="1010"/>
      <c r="X166" s="1010"/>
      <c r="Y166" s="1010"/>
      <c r="Z166" s="1010"/>
      <c r="AA166" s="1010"/>
      <c r="AB166" s="1010"/>
      <c r="AC166" s="1010"/>
      <c r="AD166" s="1010"/>
      <c r="AE166" s="1010"/>
      <c r="AF166" s="1010"/>
      <c r="AG166" s="1010"/>
      <c r="AH166" s="1010"/>
      <c r="AI166" s="1010"/>
      <c r="AJ166" s="1010"/>
      <c r="AK166" s="1010"/>
      <c r="AL166" s="1010"/>
      <c r="AM166" s="1010"/>
      <c r="AN166" s="1010"/>
      <c r="AO166" s="1010"/>
      <c r="AP166" s="1010"/>
      <c r="AQ166" s="1010"/>
      <c r="AR166" s="1010"/>
      <c r="AS166" s="1010"/>
      <c r="AT166" s="1010"/>
      <c r="AU166" s="1010"/>
      <c r="AV166" s="1010"/>
    </row>
    <row r="167" spans="1:48" s="1074" customFormat="1">
      <c r="B167" s="1078" t="s">
        <v>44</v>
      </c>
      <c r="C167" s="1123"/>
      <c r="D167" s="188">
        <v>0.06</v>
      </c>
      <c r="E167" s="188">
        <v>7.0000000000000007E-2</v>
      </c>
      <c r="F167" s="188">
        <v>7.0000000000000007E-2</v>
      </c>
      <c r="G167" s="188">
        <v>7.0000000000000007E-2</v>
      </c>
      <c r="H167" s="188">
        <v>7.0000000000000007E-2</v>
      </c>
      <c r="I167" s="188">
        <v>7.0000000000000007E-2</v>
      </c>
      <c r="J167" s="188">
        <v>7.0000000000000007E-2</v>
      </c>
      <c r="K167" s="188">
        <v>7.0000000000000007E-2</v>
      </c>
      <c r="L167" s="325"/>
      <c r="M167" s="325"/>
      <c r="N167" s="325"/>
      <c r="O167" s="325"/>
      <c r="P167" s="1010"/>
      <c r="Q167" s="1010"/>
      <c r="R167" s="1010"/>
      <c r="S167" s="1010"/>
      <c r="T167" s="1010"/>
      <c r="U167" s="1010"/>
      <c r="V167" s="1010"/>
      <c r="W167" s="1010"/>
      <c r="X167" s="1010"/>
      <c r="Y167" s="1010"/>
      <c r="Z167" s="1010"/>
      <c r="AA167" s="1010"/>
      <c r="AB167" s="1010"/>
      <c r="AC167" s="1010"/>
      <c r="AD167" s="1010"/>
      <c r="AE167" s="1010"/>
      <c r="AF167" s="1010"/>
      <c r="AG167" s="1010"/>
      <c r="AH167" s="1010"/>
      <c r="AI167" s="1010"/>
      <c r="AJ167" s="1010"/>
      <c r="AK167" s="1010"/>
      <c r="AL167" s="1010"/>
      <c r="AM167" s="1010"/>
      <c r="AN167" s="1010"/>
      <c r="AO167" s="1010"/>
      <c r="AP167" s="1010"/>
      <c r="AQ167" s="1010"/>
      <c r="AR167" s="1010"/>
      <c r="AS167" s="1010"/>
      <c r="AT167" s="1010"/>
      <c r="AU167" s="1010"/>
      <c r="AV167" s="1010"/>
    </row>
    <row r="168" spans="1:48" s="1074" customFormat="1">
      <c r="B168" s="1078" t="s">
        <v>43</v>
      </c>
      <c r="C168" s="1123"/>
      <c r="D168" s="188">
        <v>0.08</v>
      </c>
      <c r="E168" s="188">
        <v>0.08</v>
      </c>
      <c r="F168" s="188">
        <v>0.08</v>
      </c>
      <c r="G168" s="188">
        <v>0.08</v>
      </c>
      <c r="H168" s="188">
        <v>0.06</v>
      </c>
      <c r="I168" s="188">
        <v>0.03</v>
      </c>
      <c r="J168" s="188">
        <v>0.08</v>
      </c>
      <c r="K168" s="188">
        <v>0.08</v>
      </c>
      <c r="L168" s="325"/>
      <c r="M168" s="325"/>
      <c r="N168" s="325"/>
      <c r="O168" s="325"/>
      <c r="P168" s="1010"/>
      <c r="Q168" s="1010"/>
      <c r="R168" s="1010"/>
      <c r="S168" s="1010"/>
      <c r="T168" s="1010"/>
      <c r="U168" s="1010"/>
      <c r="V168" s="1010"/>
      <c r="W168" s="1010"/>
      <c r="X168" s="1010"/>
      <c r="Y168" s="1010"/>
      <c r="Z168" s="1010"/>
      <c r="AA168" s="1010"/>
      <c r="AB168" s="1010"/>
      <c r="AC168" s="1010"/>
      <c r="AD168" s="1010"/>
      <c r="AE168" s="1010"/>
      <c r="AF168" s="1010"/>
      <c r="AG168" s="1010"/>
      <c r="AH168" s="1010"/>
      <c r="AI168" s="1010"/>
      <c r="AJ168" s="1010"/>
      <c r="AK168" s="1010"/>
      <c r="AL168" s="1010"/>
      <c r="AM168" s="1010"/>
      <c r="AN168" s="1010"/>
      <c r="AO168" s="1010"/>
      <c r="AP168" s="1010"/>
      <c r="AQ168" s="1010"/>
      <c r="AR168" s="1010"/>
      <c r="AS168" s="1010"/>
      <c r="AT168" s="1010"/>
      <c r="AU168" s="1010"/>
      <c r="AV168" s="1010"/>
    </row>
    <row r="169" spans="1:48" s="1074" customFormat="1">
      <c r="A169" s="1010"/>
      <c r="B169" s="1078" t="s">
        <v>42</v>
      </c>
      <c r="C169" s="1123"/>
      <c r="D169" s="188">
        <v>0.12</v>
      </c>
      <c r="E169" s="188">
        <v>0.11</v>
      </c>
      <c r="F169" s="188">
        <v>0.08</v>
      </c>
      <c r="G169" s="188">
        <v>0.1</v>
      </c>
      <c r="H169" s="188">
        <v>0.05</v>
      </c>
      <c r="I169" s="188">
        <v>0</v>
      </c>
      <c r="J169" s="188">
        <v>0.12</v>
      </c>
      <c r="K169" s="188">
        <v>0.1</v>
      </c>
      <c r="L169" s="325"/>
      <c r="M169" s="325"/>
      <c r="N169" s="325"/>
      <c r="O169" s="325"/>
      <c r="P169" s="1010"/>
      <c r="Q169" s="1010"/>
      <c r="R169" s="1010"/>
      <c r="S169" s="1010"/>
      <c r="T169" s="1010"/>
      <c r="U169" s="1010"/>
      <c r="V169" s="1010"/>
      <c r="W169" s="1010"/>
      <c r="X169" s="1010"/>
      <c r="Y169" s="1010"/>
      <c r="Z169" s="1010"/>
      <c r="AA169" s="1010"/>
      <c r="AB169" s="1010"/>
      <c r="AC169" s="1010"/>
      <c r="AD169" s="1010"/>
      <c r="AE169" s="1010"/>
      <c r="AF169" s="1010"/>
      <c r="AG169" s="1010"/>
      <c r="AH169" s="1010"/>
      <c r="AI169" s="1010"/>
      <c r="AJ169" s="1010"/>
      <c r="AK169" s="1010"/>
      <c r="AL169" s="1010"/>
      <c r="AM169" s="1010"/>
      <c r="AN169" s="1010"/>
      <c r="AO169" s="1010"/>
      <c r="AP169" s="1010"/>
      <c r="AQ169" s="1010"/>
      <c r="AR169" s="1010"/>
      <c r="AS169" s="1010"/>
      <c r="AT169" s="1010"/>
      <c r="AU169" s="1010"/>
      <c r="AV169" s="1010"/>
    </row>
    <row r="170" spans="1:48" s="1074" customFormat="1">
      <c r="A170" s="1010"/>
      <c r="B170" s="1078" t="s">
        <v>41</v>
      </c>
      <c r="C170" s="1123"/>
      <c r="D170" s="188">
        <v>0.12</v>
      </c>
      <c r="E170" s="188">
        <v>0.12</v>
      </c>
      <c r="F170" s="188">
        <v>0.12</v>
      </c>
      <c r="G170" s="188">
        <v>0.1</v>
      </c>
      <c r="H170" s="188">
        <v>0.06</v>
      </c>
      <c r="I170" s="188">
        <v>0</v>
      </c>
      <c r="J170" s="188">
        <v>0.12</v>
      </c>
      <c r="K170" s="188">
        <v>0.11</v>
      </c>
      <c r="L170" s="325"/>
      <c r="M170" s="325"/>
      <c r="N170" s="325"/>
      <c r="O170" s="325"/>
      <c r="P170" s="1010"/>
      <c r="Q170" s="1010"/>
      <c r="R170" s="1010"/>
      <c r="S170" s="1010"/>
      <c r="T170" s="1010"/>
      <c r="U170" s="1010"/>
      <c r="V170" s="1010"/>
      <c r="W170" s="1010"/>
      <c r="X170" s="1010"/>
      <c r="Y170" s="1010"/>
      <c r="Z170" s="1010"/>
      <c r="AA170" s="1010"/>
      <c r="AB170" s="1010"/>
      <c r="AC170" s="1010"/>
      <c r="AD170" s="1010"/>
      <c r="AE170" s="1010"/>
      <c r="AF170" s="1010"/>
      <c r="AG170" s="1010"/>
      <c r="AH170" s="1010"/>
      <c r="AI170" s="1010"/>
      <c r="AJ170" s="1010"/>
      <c r="AK170" s="1010"/>
      <c r="AL170" s="1010"/>
      <c r="AM170" s="1010"/>
      <c r="AN170" s="1010"/>
      <c r="AO170" s="1010"/>
      <c r="AP170" s="1010"/>
      <c r="AQ170" s="1010"/>
      <c r="AR170" s="1010"/>
      <c r="AS170" s="1010"/>
      <c r="AT170" s="1010"/>
      <c r="AU170" s="1010"/>
      <c r="AV170" s="1010"/>
    </row>
    <row r="171" spans="1:48" s="1074" customFormat="1">
      <c r="A171" s="1010"/>
      <c r="B171" s="1078" t="s">
        <v>40</v>
      </c>
      <c r="C171" s="1123"/>
      <c r="D171" s="188">
        <v>0.12</v>
      </c>
      <c r="E171" s="188">
        <v>0.11</v>
      </c>
      <c r="F171" s="188">
        <v>0.12</v>
      </c>
      <c r="G171" s="188">
        <v>0.12</v>
      </c>
      <c r="H171" s="188">
        <v>7.0000000000000007E-2</v>
      </c>
      <c r="I171" s="188">
        <v>0</v>
      </c>
      <c r="J171" s="188">
        <v>0.12</v>
      </c>
      <c r="K171" s="188">
        <v>0.12</v>
      </c>
      <c r="L171" s="325"/>
      <c r="M171" s="325"/>
      <c r="N171" s="325"/>
      <c r="O171" s="325"/>
      <c r="P171" s="1010"/>
      <c r="Q171" s="1010"/>
      <c r="R171" s="1010"/>
      <c r="S171" s="1010"/>
      <c r="T171" s="1010"/>
      <c r="U171" s="1010"/>
      <c r="V171" s="1010"/>
      <c r="W171" s="1010"/>
      <c r="X171" s="1010"/>
      <c r="Y171" s="1010"/>
      <c r="Z171" s="1010"/>
      <c r="AA171" s="1010"/>
      <c r="AB171" s="1010"/>
      <c r="AC171" s="1010"/>
      <c r="AD171" s="1010"/>
      <c r="AE171" s="1010"/>
      <c r="AF171" s="1010"/>
      <c r="AG171" s="1010"/>
      <c r="AH171" s="1010"/>
      <c r="AI171" s="1010"/>
      <c r="AJ171" s="1010"/>
      <c r="AK171" s="1010"/>
      <c r="AL171" s="1010"/>
      <c r="AM171" s="1010"/>
      <c r="AN171" s="1010"/>
      <c r="AO171" s="1010"/>
      <c r="AP171" s="1010"/>
      <c r="AQ171" s="1010"/>
      <c r="AR171" s="1010"/>
      <c r="AS171" s="1010"/>
      <c r="AT171" s="1010"/>
      <c r="AU171" s="1010"/>
      <c r="AV171" s="1010"/>
    </row>
    <row r="172" spans="1:48" s="1074" customFormat="1">
      <c r="A172" s="1010"/>
      <c r="B172" s="1078" t="s">
        <v>39</v>
      </c>
      <c r="C172" s="1123"/>
      <c r="D172" s="188">
        <v>0.1</v>
      </c>
      <c r="E172" s="188">
        <v>0.1</v>
      </c>
      <c r="F172" s="188">
        <v>0.12</v>
      </c>
      <c r="G172" s="188">
        <v>0.12</v>
      </c>
      <c r="H172" s="188">
        <v>0.08</v>
      </c>
      <c r="I172" s="188">
        <v>0.06</v>
      </c>
      <c r="J172" s="188">
        <v>0.1</v>
      </c>
      <c r="K172" s="188">
        <v>0.12</v>
      </c>
      <c r="L172" s="325"/>
      <c r="M172" s="325"/>
      <c r="N172" s="325"/>
      <c r="O172" s="325"/>
      <c r="P172" s="1010"/>
      <c r="Q172" s="1010"/>
      <c r="R172" s="1010"/>
      <c r="S172" s="1010"/>
      <c r="T172" s="1010"/>
      <c r="U172" s="1010"/>
      <c r="V172" s="1010"/>
      <c r="W172" s="1010"/>
      <c r="X172" s="1010"/>
      <c r="Y172" s="1010"/>
      <c r="Z172" s="1010"/>
      <c r="AA172" s="1010"/>
      <c r="AB172" s="1010"/>
      <c r="AC172" s="1010"/>
      <c r="AD172" s="1010"/>
      <c r="AE172" s="1010"/>
      <c r="AF172" s="1010"/>
      <c r="AG172" s="1010"/>
      <c r="AH172" s="1010"/>
      <c r="AI172" s="1010"/>
      <c r="AJ172" s="1010"/>
      <c r="AK172" s="1010"/>
      <c r="AL172" s="1010"/>
      <c r="AM172" s="1010"/>
      <c r="AN172" s="1010"/>
      <c r="AO172" s="1010"/>
      <c r="AP172" s="1010"/>
      <c r="AQ172" s="1010"/>
      <c r="AR172" s="1010"/>
      <c r="AS172" s="1010"/>
      <c r="AT172" s="1010"/>
      <c r="AU172" s="1010"/>
      <c r="AV172" s="1010"/>
    </row>
    <row r="173" spans="1:48" s="1074" customFormat="1">
      <c r="A173" s="1010"/>
      <c r="B173" s="1078" t="s">
        <v>38</v>
      </c>
      <c r="C173" s="1123"/>
      <c r="D173" s="188">
        <v>0.1</v>
      </c>
      <c r="E173" s="188">
        <v>0.1</v>
      </c>
      <c r="F173" s="188">
        <v>0.11</v>
      </c>
      <c r="G173" s="188">
        <v>0.11</v>
      </c>
      <c r="H173" s="188">
        <v>0.11</v>
      </c>
      <c r="I173" s="188">
        <v>0.11</v>
      </c>
      <c r="J173" s="188">
        <v>0.09</v>
      </c>
      <c r="K173" s="188">
        <v>0.11</v>
      </c>
      <c r="L173" s="325"/>
      <c r="M173" s="325"/>
      <c r="N173" s="325"/>
      <c r="O173" s="325"/>
      <c r="P173" s="1010"/>
      <c r="Q173" s="1010"/>
      <c r="R173" s="1010"/>
      <c r="S173" s="1010"/>
      <c r="T173" s="1010"/>
      <c r="U173" s="1010"/>
      <c r="V173" s="1010"/>
      <c r="W173" s="1010"/>
      <c r="X173" s="1010"/>
      <c r="Y173" s="1010"/>
      <c r="Z173" s="1010"/>
      <c r="AA173" s="1010"/>
      <c r="AB173" s="1010"/>
      <c r="AC173" s="1010"/>
      <c r="AD173" s="1010"/>
      <c r="AE173" s="1010"/>
      <c r="AF173" s="1010"/>
      <c r="AG173" s="1010"/>
      <c r="AH173" s="1010"/>
      <c r="AI173" s="1010"/>
      <c r="AJ173" s="1010"/>
      <c r="AK173" s="1010"/>
      <c r="AL173" s="1010"/>
      <c r="AM173" s="1010"/>
      <c r="AN173" s="1010"/>
      <c r="AO173" s="1010"/>
      <c r="AP173" s="1010"/>
      <c r="AQ173" s="1010"/>
      <c r="AR173" s="1010"/>
      <c r="AS173" s="1010"/>
      <c r="AT173" s="1010"/>
      <c r="AU173" s="1010"/>
      <c r="AV173" s="1010"/>
    </row>
    <row r="174" spans="1:48" s="1074" customFormat="1">
      <c r="A174" s="1010"/>
      <c r="B174" s="1078" t="s">
        <v>37</v>
      </c>
      <c r="C174" s="1123"/>
      <c r="D174" s="188">
        <v>0.06</v>
      </c>
      <c r="E174" s="188">
        <v>0.06</v>
      </c>
      <c r="F174" s="188">
        <v>7.0000000000000007E-2</v>
      </c>
      <c r="G174" s="188">
        <v>7.0000000000000007E-2</v>
      </c>
      <c r="H174" s="188">
        <v>0.12</v>
      </c>
      <c r="I174" s="188">
        <v>0.14000000000000001</v>
      </c>
      <c r="J174" s="188">
        <v>7.0000000000000007E-2</v>
      </c>
      <c r="K174" s="188">
        <v>7.0000000000000007E-2</v>
      </c>
      <c r="L174" s="325"/>
      <c r="M174" s="325"/>
      <c r="N174" s="325"/>
      <c r="O174" s="325"/>
      <c r="P174" s="1010"/>
      <c r="Q174" s="1010"/>
      <c r="R174" s="1010"/>
      <c r="S174" s="1010"/>
      <c r="T174" s="1010"/>
      <c r="U174" s="1010"/>
      <c r="V174" s="1010"/>
      <c r="W174" s="1010"/>
      <c r="X174" s="1010"/>
      <c r="Y174" s="1010"/>
      <c r="Z174" s="1010"/>
      <c r="AA174" s="1010"/>
      <c r="AB174" s="1010"/>
      <c r="AC174" s="1010"/>
      <c r="AD174" s="1010"/>
      <c r="AE174" s="1010"/>
      <c r="AF174" s="1010"/>
      <c r="AG174" s="1010"/>
      <c r="AH174" s="1010"/>
      <c r="AI174" s="1010"/>
      <c r="AJ174" s="1010"/>
      <c r="AK174" s="1010"/>
      <c r="AL174" s="1010"/>
      <c r="AM174" s="1010"/>
      <c r="AN174" s="1010"/>
      <c r="AO174" s="1010"/>
      <c r="AP174" s="1010"/>
      <c r="AQ174" s="1010"/>
      <c r="AR174" s="1010"/>
      <c r="AS174" s="1010"/>
      <c r="AT174" s="1010"/>
      <c r="AU174" s="1010"/>
      <c r="AV174" s="1010"/>
    </row>
    <row r="175" spans="1:48" s="1074" customFormat="1">
      <c r="A175" s="1010"/>
      <c r="B175" s="1078" t="s">
        <v>36</v>
      </c>
      <c r="C175" s="1123"/>
      <c r="D175" s="188">
        <v>0.06</v>
      </c>
      <c r="E175" s="188">
        <v>7.0000000000000007E-2</v>
      </c>
      <c r="F175" s="188">
        <v>7.0000000000000007E-2</v>
      </c>
      <c r="G175" s="188">
        <v>7.0000000000000007E-2</v>
      </c>
      <c r="H175" s="188">
        <v>0.12</v>
      </c>
      <c r="I175" s="188">
        <v>0.18</v>
      </c>
      <c r="J175" s="188">
        <v>7.0000000000000007E-2</v>
      </c>
      <c r="K175" s="188">
        <v>0.06</v>
      </c>
      <c r="L175" s="325"/>
      <c r="M175" s="325"/>
      <c r="N175" s="325"/>
      <c r="O175" s="325"/>
      <c r="P175" s="1010"/>
      <c r="Q175" s="1010"/>
      <c r="R175" s="1010"/>
      <c r="S175" s="1010"/>
      <c r="T175" s="1010"/>
      <c r="U175" s="1010"/>
      <c r="V175" s="1010"/>
      <c r="W175" s="1010"/>
      <c r="X175" s="1010"/>
      <c r="Y175" s="1010"/>
      <c r="Z175" s="1010"/>
      <c r="AA175" s="1010"/>
      <c r="AB175" s="1010"/>
      <c r="AC175" s="1010"/>
      <c r="AD175" s="1010"/>
      <c r="AE175" s="1010"/>
      <c r="AF175" s="1010"/>
      <c r="AG175" s="1010"/>
      <c r="AH175" s="1010"/>
      <c r="AI175" s="1010"/>
      <c r="AJ175" s="1010"/>
      <c r="AK175" s="1010"/>
      <c r="AL175" s="1010"/>
      <c r="AM175" s="1010"/>
      <c r="AN175" s="1010"/>
      <c r="AO175" s="1010"/>
      <c r="AP175" s="1010"/>
      <c r="AQ175" s="1010"/>
      <c r="AR175" s="1010"/>
      <c r="AS175" s="1010"/>
      <c r="AT175" s="1010"/>
      <c r="AU175" s="1010"/>
      <c r="AV175" s="1010"/>
    </row>
    <row r="176" spans="1:48" s="1074" customFormat="1">
      <c r="A176" s="1010"/>
      <c r="B176" s="1078" t="s">
        <v>412</v>
      </c>
      <c r="D176" s="1079">
        <f t="shared" ref="D176:L176" si="69">SUM(D164:D175)</f>
        <v>1</v>
      </c>
      <c r="E176" s="1079">
        <f t="shared" si="69"/>
        <v>1</v>
      </c>
      <c r="F176" s="1079">
        <f t="shared" si="69"/>
        <v>1</v>
      </c>
      <c r="G176" s="1079">
        <f t="shared" si="69"/>
        <v>1</v>
      </c>
      <c r="H176" s="1079">
        <f t="shared" si="69"/>
        <v>1</v>
      </c>
      <c r="I176" s="1079">
        <f t="shared" si="69"/>
        <v>1</v>
      </c>
      <c r="J176" s="1079">
        <f t="shared" si="69"/>
        <v>1</v>
      </c>
      <c r="K176" s="1079">
        <f t="shared" si="69"/>
        <v>1</v>
      </c>
      <c r="L176" s="1079">
        <f t="shared" si="69"/>
        <v>0</v>
      </c>
      <c r="M176" s="1079"/>
      <c r="N176" s="1079"/>
      <c r="O176" s="1079"/>
      <c r="P176" s="1010"/>
      <c r="Q176" s="1010"/>
      <c r="R176" s="1010"/>
      <c r="S176" s="1010"/>
      <c r="T176" s="1010"/>
      <c r="U176" s="1010"/>
      <c r="V176" s="1010"/>
      <c r="W176" s="1010"/>
      <c r="X176" s="1010"/>
      <c r="Y176" s="1010"/>
      <c r="Z176" s="1010"/>
      <c r="AA176" s="1010"/>
      <c r="AB176" s="1010"/>
      <c r="AC176" s="1010"/>
      <c r="AD176" s="1010"/>
      <c r="AE176" s="1010"/>
      <c r="AF176" s="1010"/>
      <c r="AG176" s="1010"/>
      <c r="AH176" s="1010"/>
      <c r="AI176" s="1010"/>
      <c r="AJ176" s="1010"/>
      <c r="AK176" s="1010"/>
      <c r="AL176" s="1010"/>
      <c r="AM176" s="1010"/>
      <c r="AN176" s="1010"/>
      <c r="AO176" s="1010"/>
      <c r="AP176" s="1010"/>
      <c r="AQ176" s="1010"/>
      <c r="AR176" s="1010"/>
      <c r="AS176" s="1010"/>
      <c r="AT176" s="1010"/>
      <c r="AU176" s="1010"/>
      <c r="AV176" s="1010"/>
    </row>
    <row r="177" spans="1:48" s="1074" customFormat="1">
      <c r="A177" s="1010"/>
      <c r="B177" s="1078"/>
      <c r="D177" s="1080" t="s">
        <v>1605</v>
      </c>
      <c r="E177" s="1080"/>
      <c r="F177" s="1080"/>
      <c r="G177" s="1080"/>
      <c r="H177" s="1080"/>
      <c r="I177" s="1080"/>
      <c r="J177" s="1080"/>
      <c r="K177" s="1080"/>
      <c r="L177" s="1080"/>
      <c r="M177" s="1080"/>
      <c r="N177" s="1080"/>
      <c r="O177" s="1080"/>
      <c r="P177" s="1010"/>
      <c r="Q177" s="1010"/>
      <c r="R177" s="1010"/>
      <c r="S177" s="1010"/>
      <c r="T177" s="1010"/>
      <c r="U177" s="1010"/>
      <c r="V177" s="1010"/>
      <c r="W177" s="1010"/>
      <c r="X177" s="1010"/>
      <c r="Y177" s="1010"/>
      <c r="Z177" s="1010"/>
      <c r="AA177" s="1010"/>
      <c r="AB177" s="1010"/>
      <c r="AC177" s="1010"/>
      <c r="AD177" s="1010"/>
      <c r="AE177" s="1010"/>
      <c r="AF177" s="1010"/>
      <c r="AG177" s="1010"/>
      <c r="AH177" s="1010"/>
      <c r="AI177" s="1010"/>
      <c r="AJ177" s="1010"/>
      <c r="AK177" s="1010"/>
      <c r="AL177" s="1010"/>
      <c r="AM177" s="1010"/>
      <c r="AN177" s="1010"/>
      <c r="AO177" s="1010"/>
      <c r="AP177" s="1010"/>
      <c r="AQ177" s="1010"/>
      <c r="AR177" s="1010"/>
      <c r="AS177" s="1010"/>
      <c r="AT177" s="1010"/>
      <c r="AU177" s="1010"/>
      <c r="AV177" s="1010"/>
    </row>
    <row r="178" spans="1:48" s="1074" customFormat="1">
      <c r="A178" s="1092"/>
      <c r="B178" s="1077" t="s">
        <v>47</v>
      </c>
      <c r="D178" s="1082">
        <f t="shared" ref="D178:L178" si="70">D190*D164</f>
        <v>493.18004736000006</v>
      </c>
      <c r="E178" s="1082">
        <f t="shared" si="70"/>
        <v>493.18004736000006</v>
      </c>
      <c r="F178" s="1082">
        <f t="shared" si="70"/>
        <v>537.43979520000016</v>
      </c>
      <c r="G178" s="1082">
        <f t="shared" si="70"/>
        <v>600.66800640000008</v>
      </c>
      <c r="H178" s="1082">
        <f t="shared" si="70"/>
        <v>1669.22477568</v>
      </c>
      <c r="I178" s="1082">
        <f t="shared" si="70"/>
        <v>1820.9724825600001</v>
      </c>
      <c r="J178" s="1082">
        <f t="shared" si="70"/>
        <v>3358.9987199999996</v>
      </c>
      <c r="K178" s="1082">
        <f t="shared" si="70"/>
        <v>3358.9987199999996</v>
      </c>
      <c r="L178" s="1082">
        <f t="shared" si="70"/>
        <v>0</v>
      </c>
      <c r="M178" s="1082"/>
      <c r="N178" s="1082"/>
      <c r="O178" s="1082"/>
      <c r="P178" s="1010"/>
      <c r="Q178" s="1010"/>
      <c r="R178" s="1010"/>
      <c r="S178" s="1010"/>
      <c r="T178" s="1010"/>
      <c r="U178" s="1010"/>
    </row>
    <row r="179" spans="1:48" s="1074" customFormat="1">
      <c r="A179" s="1092"/>
      <c r="B179" s="1077" t="s">
        <v>46</v>
      </c>
      <c r="D179" s="1082">
        <f t="shared" ref="D179:L179" si="71">D190*D165</f>
        <v>493.18004736000006</v>
      </c>
      <c r="E179" s="1082">
        <f t="shared" si="71"/>
        <v>493.18004736000006</v>
      </c>
      <c r="F179" s="1082">
        <f t="shared" si="71"/>
        <v>537.43979520000016</v>
      </c>
      <c r="G179" s="1082">
        <f t="shared" si="71"/>
        <v>600.66800640000008</v>
      </c>
      <c r="H179" s="1082">
        <f t="shared" si="71"/>
        <v>973.71445248000009</v>
      </c>
      <c r="I179" s="1082">
        <f t="shared" si="71"/>
        <v>1416.3119308800003</v>
      </c>
      <c r="J179" s="1082">
        <f t="shared" si="71"/>
        <v>3358.9987199999996</v>
      </c>
      <c r="K179" s="1082">
        <f t="shared" si="71"/>
        <v>3358.9987199999996</v>
      </c>
      <c r="L179" s="1082">
        <f t="shared" si="71"/>
        <v>0</v>
      </c>
      <c r="M179" s="1082"/>
      <c r="N179" s="1082"/>
      <c r="O179" s="1082"/>
      <c r="P179" s="1010"/>
      <c r="Q179" s="1010"/>
      <c r="R179" s="1010"/>
      <c r="S179" s="1010"/>
      <c r="T179" s="1010"/>
      <c r="U179" s="1010"/>
    </row>
    <row r="180" spans="1:48" s="1074" customFormat="1">
      <c r="A180" s="1092"/>
      <c r="B180" s="1078" t="s">
        <v>45</v>
      </c>
      <c r="D180" s="1082">
        <f t="shared" ref="D180:L180" si="72">D190*D166</f>
        <v>493.18004736000006</v>
      </c>
      <c r="E180" s="1082">
        <f t="shared" si="72"/>
        <v>493.18004736000006</v>
      </c>
      <c r="F180" s="1082">
        <f t="shared" si="72"/>
        <v>644.92775424000013</v>
      </c>
      <c r="G180" s="1082">
        <f t="shared" si="72"/>
        <v>720.80160767999996</v>
      </c>
      <c r="H180" s="1082">
        <f t="shared" si="72"/>
        <v>973.71445248000009</v>
      </c>
      <c r="I180" s="1082">
        <f t="shared" si="72"/>
        <v>910.48624128000006</v>
      </c>
      <c r="J180" s="1082">
        <f t="shared" si="72"/>
        <v>4030.7984639999995</v>
      </c>
      <c r="K180" s="1082">
        <f t="shared" si="72"/>
        <v>4030.7984639999995</v>
      </c>
      <c r="L180" s="1082">
        <f t="shared" si="72"/>
        <v>0</v>
      </c>
      <c r="M180" s="1082"/>
      <c r="N180" s="1082"/>
      <c r="O180" s="1082"/>
      <c r="P180" s="1010"/>
      <c r="Q180" s="1010"/>
      <c r="R180" s="1010"/>
      <c r="S180" s="1010"/>
      <c r="T180" s="1010"/>
      <c r="U180" s="1010"/>
    </row>
    <row r="181" spans="1:48" s="1074" customFormat="1">
      <c r="A181" s="1092"/>
      <c r="B181" s="1078" t="s">
        <v>44</v>
      </c>
      <c r="D181" s="1082">
        <f t="shared" ref="D181:L181" si="73">D190*D167</f>
        <v>493.18004736000006</v>
      </c>
      <c r="E181" s="1082">
        <f t="shared" si="73"/>
        <v>575.37672192000014</v>
      </c>
      <c r="F181" s="1082">
        <f t="shared" si="73"/>
        <v>752.4157132800002</v>
      </c>
      <c r="G181" s="1082">
        <f t="shared" si="73"/>
        <v>840.93520896000007</v>
      </c>
      <c r="H181" s="1082">
        <f t="shared" si="73"/>
        <v>973.71445248000009</v>
      </c>
      <c r="I181" s="1082">
        <f t="shared" si="73"/>
        <v>708.15596544000016</v>
      </c>
      <c r="J181" s="1082">
        <f t="shared" si="73"/>
        <v>4702.5982079999994</v>
      </c>
      <c r="K181" s="1082">
        <f t="shared" si="73"/>
        <v>4702.5982079999994</v>
      </c>
      <c r="L181" s="1082">
        <f t="shared" si="73"/>
        <v>0</v>
      </c>
      <c r="M181" s="1082"/>
      <c r="N181" s="1082"/>
      <c r="O181" s="1082"/>
      <c r="P181" s="1010"/>
      <c r="Q181" s="1010"/>
      <c r="R181" s="1010"/>
      <c r="S181" s="1010"/>
      <c r="T181" s="1010"/>
      <c r="U181" s="1010"/>
    </row>
    <row r="182" spans="1:48" s="1074" customFormat="1">
      <c r="A182" s="1092"/>
      <c r="B182" s="1078" t="s">
        <v>43</v>
      </c>
      <c r="D182" s="1082">
        <f t="shared" ref="D182:L182" si="74">D190*D168</f>
        <v>657.57339648000004</v>
      </c>
      <c r="E182" s="1082">
        <f t="shared" si="74"/>
        <v>657.57339648000004</v>
      </c>
      <c r="F182" s="1082">
        <f t="shared" si="74"/>
        <v>859.90367232000017</v>
      </c>
      <c r="G182" s="1082">
        <f t="shared" si="74"/>
        <v>961.06881024000006</v>
      </c>
      <c r="H182" s="1082">
        <f t="shared" si="74"/>
        <v>834.61238784</v>
      </c>
      <c r="I182" s="1082">
        <f t="shared" si="74"/>
        <v>303.49541376000002</v>
      </c>
      <c r="J182" s="1082">
        <f t="shared" si="74"/>
        <v>5374.3979519999993</v>
      </c>
      <c r="K182" s="1082">
        <f t="shared" si="74"/>
        <v>5374.3979519999993</v>
      </c>
      <c r="L182" s="1082">
        <f t="shared" si="74"/>
        <v>0</v>
      </c>
      <c r="M182" s="1082"/>
      <c r="N182" s="1082"/>
      <c r="O182" s="1082"/>
      <c r="P182" s="1010"/>
      <c r="Q182" s="1010"/>
      <c r="R182" s="1010"/>
      <c r="S182" s="1010"/>
      <c r="T182" s="1010"/>
      <c r="U182" s="1010"/>
    </row>
    <row r="183" spans="1:48" s="1074" customFormat="1">
      <c r="A183" s="1092"/>
      <c r="B183" s="1078" t="s">
        <v>42</v>
      </c>
      <c r="D183" s="1082">
        <f t="shared" ref="D183:L183" si="75">D190*D169</f>
        <v>986.36009472000012</v>
      </c>
      <c r="E183" s="1082">
        <f t="shared" si="75"/>
        <v>904.1634201600001</v>
      </c>
      <c r="F183" s="1082">
        <f t="shared" si="75"/>
        <v>859.90367232000017</v>
      </c>
      <c r="G183" s="1082">
        <f t="shared" si="75"/>
        <v>1201.3360128000002</v>
      </c>
      <c r="H183" s="1082">
        <f t="shared" si="75"/>
        <v>695.51032320000013</v>
      </c>
      <c r="I183" s="1082">
        <f t="shared" si="75"/>
        <v>0</v>
      </c>
      <c r="J183" s="1082">
        <f t="shared" si="75"/>
        <v>8061.596927999999</v>
      </c>
      <c r="K183" s="1082">
        <f t="shared" si="75"/>
        <v>6717.9974399999992</v>
      </c>
      <c r="L183" s="1082">
        <f t="shared" si="75"/>
        <v>0</v>
      </c>
      <c r="M183" s="1082"/>
      <c r="N183" s="1082"/>
      <c r="O183" s="1082"/>
      <c r="P183" s="1010"/>
      <c r="Q183" s="1010"/>
      <c r="R183" s="1010"/>
      <c r="S183" s="1010"/>
      <c r="T183" s="1010"/>
      <c r="U183" s="1010"/>
    </row>
    <row r="184" spans="1:48" s="1074" customFormat="1">
      <c r="A184" s="1092"/>
      <c r="B184" s="1078" t="s">
        <v>41</v>
      </c>
      <c r="D184" s="1082">
        <f t="shared" ref="D184:L184" si="76">D190*D170</f>
        <v>986.36009472000012</v>
      </c>
      <c r="E184" s="1082">
        <f t="shared" si="76"/>
        <v>986.36009472000012</v>
      </c>
      <c r="F184" s="1082">
        <f t="shared" si="76"/>
        <v>1289.8555084800003</v>
      </c>
      <c r="G184" s="1082">
        <f t="shared" si="76"/>
        <v>1201.3360128000002</v>
      </c>
      <c r="H184" s="1082">
        <f t="shared" si="76"/>
        <v>834.61238784</v>
      </c>
      <c r="I184" s="1082">
        <f t="shared" si="76"/>
        <v>0</v>
      </c>
      <c r="J184" s="1082">
        <f t="shared" si="76"/>
        <v>8061.596927999999</v>
      </c>
      <c r="K184" s="1082">
        <f t="shared" si="76"/>
        <v>7389.7971839999991</v>
      </c>
      <c r="L184" s="1082">
        <f t="shared" si="76"/>
        <v>0</v>
      </c>
      <c r="M184" s="1082"/>
      <c r="N184" s="1082"/>
      <c r="O184" s="1082"/>
      <c r="P184" s="1010"/>
      <c r="Q184" s="1010"/>
      <c r="R184" s="1010"/>
      <c r="S184" s="1010"/>
      <c r="T184" s="1010"/>
      <c r="U184" s="1010"/>
    </row>
    <row r="185" spans="1:48" s="1074" customFormat="1">
      <c r="A185" s="1092"/>
      <c r="B185" s="1078" t="s">
        <v>40</v>
      </c>
      <c r="D185" s="1082">
        <f t="shared" ref="D185:L185" si="77">D190*D171</f>
        <v>986.36009472000012</v>
      </c>
      <c r="E185" s="1082">
        <f t="shared" si="77"/>
        <v>904.1634201600001</v>
      </c>
      <c r="F185" s="1082">
        <f t="shared" si="77"/>
        <v>1289.8555084800003</v>
      </c>
      <c r="G185" s="1082">
        <f t="shared" si="77"/>
        <v>1441.6032153599999</v>
      </c>
      <c r="H185" s="1082">
        <f t="shared" si="77"/>
        <v>973.71445248000009</v>
      </c>
      <c r="I185" s="1082">
        <f t="shared" si="77"/>
        <v>0</v>
      </c>
      <c r="J185" s="1082">
        <f t="shared" si="77"/>
        <v>8061.596927999999</v>
      </c>
      <c r="K185" s="1082">
        <f t="shared" si="77"/>
        <v>8061.596927999999</v>
      </c>
      <c r="L185" s="1082">
        <f t="shared" si="77"/>
        <v>0</v>
      </c>
      <c r="M185" s="1082"/>
      <c r="N185" s="1082"/>
      <c r="O185" s="1082"/>
      <c r="P185" s="307"/>
      <c r="Q185" s="307"/>
      <c r="R185" s="307"/>
      <c r="S185" s="307"/>
      <c r="T185" s="307"/>
      <c r="U185" s="307"/>
    </row>
    <row r="186" spans="1:48" s="1074" customFormat="1">
      <c r="A186" s="1092"/>
      <c r="B186" s="1078" t="s">
        <v>39</v>
      </c>
      <c r="D186" s="1082">
        <f t="shared" ref="D186:L186" si="78">D190*D172</f>
        <v>821.96674560000019</v>
      </c>
      <c r="E186" s="1082">
        <f t="shared" si="78"/>
        <v>821.96674560000019</v>
      </c>
      <c r="F186" s="1082">
        <f t="shared" si="78"/>
        <v>1289.8555084800003</v>
      </c>
      <c r="G186" s="1082">
        <f t="shared" si="78"/>
        <v>1441.6032153599999</v>
      </c>
      <c r="H186" s="1082">
        <f t="shared" si="78"/>
        <v>1112.8165171200001</v>
      </c>
      <c r="I186" s="1082">
        <f t="shared" si="78"/>
        <v>606.99082752000004</v>
      </c>
      <c r="J186" s="1082">
        <f t="shared" si="78"/>
        <v>6717.9974399999992</v>
      </c>
      <c r="K186" s="1082">
        <f t="shared" si="78"/>
        <v>8061.596927999999</v>
      </c>
      <c r="L186" s="1082">
        <f t="shared" si="78"/>
        <v>0</v>
      </c>
      <c r="M186" s="1082"/>
      <c r="N186" s="1082"/>
      <c r="O186" s="1082"/>
      <c r="P186" s="307"/>
      <c r="Q186" s="307"/>
      <c r="R186" s="307"/>
      <c r="S186" s="307"/>
      <c r="T186" s="307"/>
      <c r="U186" s="307"/>
    </row>
    <row r="187" spans="1:48" s="1074" customFormat="1">
      <c r="A187" s="1092"/>
      <c r="B187" s="1078" t="s">
        <v>38</v>
      </c>
      <c r="D187" s="1082">
        <f t="shared" ref="D187:L187" si="79">D190*D173</f>
        <v>821.96674560000019</v>
      </c>
      <c r="E187" s="1082">
        <f t="shared" si="79"/>
        <v>821.96674560000019</v>
      </c>
      <c r="F187" s="1082">
        <f t="shared" si="79"/>
        <v>1182.3675494400002</v>
      </c>
      <c r="G187" s="1082">
        <f t="shared" si="79"/>
        <v>1321.4696140799999</v>
      </c>
      <c r="H187" s="1082">
        <f t="shared" si="79"/>
        <v>1530.12271104</v>
      </c>
      <c r="I187" s="1082">
        <f t="shared" si="79"/>
        <v>1112.8165171200001</v>
      </c>
      <c r="J187" s="1082">
        <f t="shared" si="79"/>
        <v>6046.1976959999993</v>
      </c>
      <c r="K187" s="1082">
        <f t="shared" si="79"/>
        <v>7389.7971839999991</v>
      </c>
      <c r="L187" s="1082">
        <f t="shared" si="79"/>
        <v>0</v>
      </c>
      <c r="M187" s="1082"/>
      <c r="N187" s="1082"/>
      <c r="O187" s="1082"/>
      <c r="P187" s="307"/>
      <c r="Q187" s="307"/>
      <c r="R187" s="307"/>
      <c r="S187" s="307"/>
      <c r="T187" s="307"/>
      <c r="U187" s="307"/>
    </row>
    <row r="188" spans="1:48" s="1010" customFormat="1">
      <c r="A188" s="1092"/>
      <c r="B188" s="1078" t="s">
        <v>37</v>
      </c>
      <c r="D188" s="1082">
        <f t="shared" ref="D188:L188" si="80">D190*D174</f>
        <v>493.18004736000006</v>
      </c>
      <c r="E188" s="1082">
        <f t="shared" si="80"/>
        <v>493.18004736000006</v>
      </c>
      <c r="F188" s="1082">
        <f t="shared" si="80"/>
        <v>752.4157132800002</v>
      </c>
      <c r="G188" s="1082">
        <f t="shared" si="80"/>
        <v>840.93520896000007</v>
      </c>
      <c r="H188" s="1082">
        <f t="shared" si="80"/>
        <v>1669.22477568</v>
      </c>
      <c r="I188" s="1082">
        <f t="shared" si="80"/>
        <v>1416.3119308800003</v>
      </c>
      <c r="J188" s="1082">
        <f t="shared" si="80"/>
        <v>4702.5982079999994</v>
      </c>
      <c r="K188" s="1082">
        <f t="shared" si="80"/>
        <v>4702.5982079999994</v>
      </c>
      <c r="L188" s="1082">
        <f t="shared" si="80"/>
        <v>0</v>
      </c>
      <c r="M188" s="1082"/>
      <c r="N188" s="1082"/>
      <c r="O188" s="1082"/>
      <c r="P188" s="307"/>
      <c r="Q188" s="307"/>
      <c r="R188" s="307"/>
      <c r="S188" s="307"/>
      <c r="T188" s="307"/>
      <c r="U188" s="307"/>
    </row>
    <row r="189" spans="1:48" s="1010" customFormat="1">
      <c r="A189" s="1092"/>
      <c r="B189" s="1078" t="s">
        <v>36</v>
      </c>
      <c r="D189" s="1082">
        <f t="shared" ref="D189:L189" si="81">D190*D175</f>
        <v>493.18004736000006</v>
      </c>
      <c r="E189" s="1082">
        <f t="shared" si="81"/>
        <v>575.37672192000014</v>
      </c>
      <c r="F189" s="1082">
        <f t="shared" si="81"/>
        <v>752.4157132800002</v>
      </c>
      <c r="G189" s="1082">
        <f t="shared" si="81"/>
        <v>840.93520896000007</v>
      </c>
      <c r="H189" s="1082">
        <f t="shared" si="81"/>
        <v>1669.22477568</v>
      </c>
      <c r="I189" s="1082">
        <f t="shared" si="81"/>
        <v>1820.9724825600001</v>
      </c>
      <c r="J189" s="1082">
        <f t="shared" si="81"/>
        <v>4702.5982079999994</v>
      </c>
      <c r="K189" s="1082">
        <f t="shared" si="81"/>
        <v>4030.7984639999995</v>
      </c>
      <c r="L189" s="1082">
        <f t="shared" si="81"/>
        <v>0</v>
      </c>
      <c r="M189" s="1082"/>
      <c r="N189" s="1082"/>
      <c r="O189" s="1082"/>
      <c r="P189" s="307"/>
      <c r="Q189" s="307"/>
      <c r="R189" s="307"/>
      <c r="S189" s="307"/>
      <c r="T189" s="307"/>
      <c r="U189" s="307"/>
    </row>
    <row r="190" spans="1:48" s="1074" customFormat="1">
      <c r="A190" s="1092"/>
      <c r="B190" s="1078" t="s">
        <v>412</v>
      </c>
      <c r="D190" s="1082">
        <f t="shared" ref="D190:L190" si="82">VLOOKUP(D71,TargetedMSMkt,IF(D72="[retail]",12,14),FALSE)</f>
        <v>8219.667456000001</v>
      </c>
      <c r="E190" s="1082">
        <f t="shared" si="82"/>
        <v>8219.667456000001</v>
      </c>
      <c r="F190" s="1082">
        <f t="shared" si="82"/>
        <v>10748.795904000002</v>
      </c>
      <c r="G190" s="1082">
        <f t="shared" si="82"/>
        <v>12013.360128</v>
      </c>
      <c r="H190" s="1082">
        <f t="shared" si="82"/>
        <v>13910.206464000001</v>
      </c>
      <c r="I190" s="1082">
        <f t="shared" si="82"/>
        <v>10116.513792000002</v>
      </c>
      <c r="J190" s="1082">
        <f t="shared" si="82"/>
        <v>67179.974399999992</v>
      </c>
      <c r="K190" s="1082">
        <f t="shared" si="82"/>
        <v>67179.974399999992</v>
      </c>
      <c r="L190" s="1082">
        <f t="shared" si="82"/>
        <v>0</v>
      </c>
      <c r="M190" s="1082"/>
      <c r="N190" s="1082"/>
      <c r="O190" s="1082"/>
      <c r="P190" s="307"/>
      <c r="Q190" s="307"/>
      <c r="R190" s="307"/>
      <c r="S190" s="307"/>
      <c r="T190" s="307"/>
      <c r="U190" s="307"/>
    </row>
    <row r="191" spans="1:48" s="1010" customFormat="1">
      <c r="A191" s="1073"/>
      <c r="B191" s="1077" t="s">
        <v>414</v>
      </c>
      <c r="D191" s="307" t="str">
        <f t="shared" ref="D191:L191" si="83">IF(D72="[wholesale]",D190/capacity,"")</f>
        <v/>
      </c>
      <c r="E191" s="307" t="str">
        <f t="shared" si="83"/>
        <v/>
      </c>
      <c r="F191" s="307" t="str">
        <f t="shared" si="83"/>
        <v/>
      </c>
      <c r="G191" s="307" t="str">
        <f t="shared" si="83"/>
        <v/>
      </c>
      <c r="H191" s="307" t="str">
        <f t="shared" si="83"/>
        <v/>
      </c>
      <c r="I191" s="307" t="str">
        <f t="shared" si="83"/>
        <v/>
      </c>
      <c r="J191" s="307">
        <f t="shared" si="83"/>
        <v>54.177398709677412</v>
      </c>
      <c r="K191" s="307">
        <f t="shared" si="83"/>
        <v>54.177398709677412</v>
      </c>
      <c r="L191" s="307" t="str">
        <f t="shared" si="83"/>
        <v/>
      </c>
      <c r="M191" s="307"/>
      <c r="N191" s="307"/>
      <c r="O191" s="307"/>
      <c r="P191" s="1086"/>
      <c r="R191" s="1086"/>
      <c r="S191" s="1086"/>
      <c r="T191" s="1074"/>
      <c r="U191" s="1074"/>
    </row>
    <row r="192" spans="1:48" s="1010" customFormat="1">
      <c r="A192" s="1073"/>
      <c r="B192" s="1077"/>
      <c r="C192" s="1093" t="s">
        <v>101</v>
      </c>
      <c r="D192" s="1080" t="s">
        <v>1606</v>
      </c>
      <c r="E192" s="1080"/>
      <c r="F192" s="1080"/>
      <c r="G192" s="1080"/>
      <c r="H192" s="1080"/>
      <c r="I192" s="1080"/>
      <c r="J192" s="1080"/>
      <c r="K192" s="1080"/>
      <c r="L192" s="1080"/>
      <c r="M192" s="1080"/>
      <c r="N192" s="1080"/>
      <c r="O192" s="1080"/>
      <c r="P192" s="1086"/>
      <c r="R192" s="1086"/>
      <c r="S192" s="1086"/>
    </row>
    <row r="193" spans="1:21" s="1010" customFormat="1">
      <c r="A193" s="304"/>
      <c r="B193" s="1077" t="s">
        <v>47</v>
      </c>
      <c r="C193" s="308">
        <f t="shared" ref="C193:C204" si="84">SUM(D193:Z193)</f>
        <v>8</v>
      </c>
      <c r="D193" s="309">
        <f t="shared" ref="D193:L193" si="85">ProductionFY3m(1,D71,VLOOKUP(D71,ProductsRangeMkt,3,FALSE),D178)</f>
        <v>0.38407878539187534</v>
      </c>
      <c r="E193" s="309">
        <f t="shared" si="85"/>
        <v>0.38407878539187534</v>
      </c>
      <c r="F193" s="309">
        <f t="shared" si="85"/>
        <v>0</v>
      </c>
      <c r="G193" s="309">
        <f t="shared" si="85"/>
        <v>0</v>
      </c>
      <c r="H193" s="309">
        <f t="shared" si="85"/>
        <v>1</v>
      </c>
      <c r="I193" s="309">
        <f t="shared" si="85"/>
        <v>1</v>
      </c>
      <c r="J193" s="309">
        <f t="shared" si="85"/>
        <v>2.6159212146081248</v>
      </c>
      <c r="K193" s="309">
        <f t="shared" si="85"/>
        <v>2.6159212146081248</v>
      </c>
      <c r="L193" s="309">
        <f t="shared" si="85"/>
        <v>0</v>
      </c>
      <c r="M193" s="309"/>
      <c r="N193" s="309"/>
      <c r="O193" s="309"/>
      <c r="P193" s="1086"/>
      <c r="R193" s="1086"/>
      <c r="S193" s="1086"/>
    </row>
    <row r="194" spans="1:21" s="1010" customFormat="1">
      <c r="A194" s="306"/>
      <c r="B194" s="1077" t="s">
        <v>46</v>
      </c>
      <c r="C194" s="308">
        <f t="shared" si="84"/>
        <v>8</v>
      </c>
      <c r="D194" s="309">
        <f t="shared" ref="D194:L194" si="86">ProductionFY3m(2,D71,VLOOKUP(D71,ProductsRangeMkt,3,FALSE),D179)</f>
        <v>0.38407878539187534</v>
      </c>
      <c r="E194" s="309">
        <f t="shared" si="86"/>
        <v>0.38407878539187534</v>
      </c>
      <c r="F194" s="309">
        <f t="shared" si="86"/>
        <v>0</v>
      </c>
      <c r="G194" s="309">
        <f t="shared" si="86"/>
        <v>0</v>
      </c>
      <c r="H194" s="309">
        <f t="shared" si="86"/>
        <v>1</v>
      </c>
      <c r="I194" s="309">
        <f t="shared" si="86"/>
        <v>1</v>
      </c>
      <c r="J194" s="309">
        <f t="shared" si="86"/>
        <v>2.6159212146081248</v>
      </c>
      <c r="K194" s="309">
        <f t="shared" si="86"/>
        <v>2.6159212146081248</v>
      </c>
      <c r="L194" s="309">
        <f t="shared" si="86"/>
        <v>0</v>
      </c>
      <c r="M194" s="309"/>
      <c r="N194" s="309"/>
      <c r="O194" s="309"/>
      <c r="P194" s="1086"/>
      <c r="R194" s="1086"/>
      <c r="S194" s="1086"/>
    </row>
    <row r="195" spans="1:21" s="1010" customFormat="1">
      <c r="A195" s="1074"/>
      <c r="B195" s="1078" t="s">
        <v>45</v>
      </c>
      <c r="C195" s="308">
        <f t="shared" si="84"/>
        <v>9</v>
      </c>
      <c r="D195" s="309">
        <f t="shared" ref="D195:L195" si="87">ProductionFY3m(3,D71,VLOOKUP(D71,ProductsRangeMkt,3,FALSE),D180)</f>
        <v>0.3270440251572328</v>
      </c>
      <c r="E195" s="309">
        <f t="shared" si="87"/>
        <v>0.3270440251572328</v>
      </c>
      <c r="F195" s="309">
        <f t="shared" si="87"/>
        <v>0</v>
      </c>
      <c r="G195" s="309">
        <f t="shared" si="87"/>
        <v>1</v>
      </c>
      <c r="H195" s="309">
        <f t="shared" si="87"/>
        <v>1</v>
      </c>
      <c r="I195" s="309">
        <f t="shared" si="87"/>
        <v>1</v>
      </c>
      <c r="J195" s="309">
        <f t="shared" si="87"/>
        <v>2.6729559748427674</v>
      </c>
      <c r="K195" s="309">
        <f t="shared" si="87"/>
        <v>2.6729559748427674</v>
      </c>
      <c r="L195" s="309">
        <f t="shared" si="87"/>
        <v>0</v>
      </c>
      <c r="M195" s="309"/>
      <c r="N195" s="309"/>
      <c r="O195" s="309"/>
      <c r="P195" s="1086"/>
      <c r="R195" s="1086"/>
      <c r="S195" s="1086"/>
    </row>
    <row r="196" spans="1:21" s="1010" customFormat="1">
      <c r="A196" s="1074"/>
      <c r="B196" s="1078" t="s">
        <v>44</v>
      </c>
      <c r="C196" s="308">
        <f t="shared" si="84"/>
        <v>12</v>
      </c>
      <c r="D196" s="309">
        <f t="shared" ref="D196:L196" si="88">ProductionFY3m(4,D71,VLOOKUP(D71,ProductsRangeMkt,3,FALSE),D181)</f>
        <v>0.37967751749315498</v>
      </c>
      <c r="E196" s="309">
        <f t="shared" si="88"/>
        <v>0.43605870020964377</v>
      </c>
      <c r="F196" s="309">
        <f t="shared" si="88"/>
        <v>1</v>
      </c>
      <c r="G196" s="309">
        <f t="shared" si="88"/>
        <v>1</v>
      </c>
      <c r="H196" s="309">
        <f t="shared" si="88"/>
        <v>1</v>
      </c>
      <c r="I196" s="309">
        <f t="shared" si="88"/>
        <v>1</v>
      </c>
      <c r="J196" s="309">
        <f t="shared" si="88"/>
        <v>3.6203224825068454</v>
      </c>
      <c r="K196" s="309">
        <f t="shared" si="88"/>
        <v>3.5639412997903563</v>
      </c>
      <c r="L196" s="309">
        <f t="shared" si="88"/>
        <v>0</v>
      </c>
      <c r="M196" s="309"/>
      <c r="N196" s="309"/>
      <c r="O196" s="309"/>
      <c r="P196" s="1086"/>
      <c r="R196" s="1086"/>
      <c r="S196" s="1086"/>
    </row>
    <row r="197" spans="1:21" s="1010" customFormat="1">
      <c r="A197" s="1074"/>
      <c r="B197" s="1078" t="s">
        <v>43</v>
      </c>
      <c r="C197" s="308">
        <f t="shared" si="84"/>
        <v>13</v>
      </c>
      <c r="D197" s="309">
        <f t="shared" ref="D197:L197" si="89">ProductionFY3m(5,D71,VLOOKUP(D71,ProductsRangeMkt,3,FALSE),D182)</f>
        <v>0.54507337526205457</v>
      </c>
      <c r="E197" s="309">
        <f t="shared" si="89"/>
        <v>0.54507337526205457</v>
      </c>
      <c r="F197" s="309">
        <f t="shared" si="89"/>
        <v>1</v>
      </c>
      <c r="G197" s="309">
        <f t="shared" si="89"/>
        <v>1</v>
      </c>
      <c r="H197" s="309">
        <f t="shared" si="89"/>
        <v>1</v>
      </c>
      <c r="I197" s="309">
        <f t="shared" si="89"/>
        <v>0</v>
      </c>
      <c r="J197" s="309">
        <f t="shared" si="89"/>
        <v>4.4549266247379453</v>
      </c>
      <c r="K197" s="309">
        <f t="shared" si="89"/>
        <v>4.4549266247379453</v>
      </c>
      <c r="L197" s="309">
        <f t="shared" si="89"/>
        <v>0</v>
      </c>
      <c r="M197" s="309"/>
      <c r="N197" s="309"/>
      <c r="O197" s="309"/>
      <c r="P197" s="1086"/>
      <c r="R197" s="1086"/>
      <c r="S197" s="1086"/>
    </row>
    <row r="198" spans="1:21" s="1010" customFormat="1">
      <c r="B198" s="1078" t="s">
        <v>42</v>
      </c>
      <c r="C198" s="308">
        <f t="shared" si="84"/>
        <v>15</v>
      </c>
      <c r="D198" s="309">
        <f t="shared" ref="D198:L198" si="90">ProductionFY3m(6,D71,VLOOKUP(D71,ProductsRangeMkt,3,FALSE),D183)</f>
        <v>0.76310272536687651</v>
      </c>
      <c r="E198" s="309">
        <f t="shared" si="90"/>
        <v>0.71173786810452111</v>
      </c>
      <c r="F198" s="309">
        <f t="shared" si="90"/>
        <v>1</v>
      </c>
      <c r="G198" s="309">
        <f t="shared" si="90"/>
        <v>1</v>
      </c>
      <c r="H198" s="309">
        <f t="shared" si="90"/>
        <v>0</v>
      </c>
      <c r="I198" s="309">
        <f t="shared" si="90"/>
        <v>0</v>
      </c>
      <c r="J198" s="309">
        <f t="shared" si="90"/>
        <v>6.2368972746331242</v>
      </c>
      <c r="K198" s="309">
        <f t="shared" si="90"/>
        <v>5.288262131895479</v>
      </c>
      <c r="L198" s="309">
        <f t="shared" si="90"/>
        <v>0</v>
      </c>
      <c r="M198" s="309"/>
      <c r="N198" s="309"/>
      <c r="O198" s="309"/>
      <c r="P198" s="1086"/>
      <c r="R198" s="1086"/>
      <c r="S198" s="1086"/>
    </row>
    <row r="199" spans="1:21" s="1010" customFormat="1">
      <c r="B199" s="1078" t="s">
        <v>41</v>
      </c>
      <c r="C199" s="308">
        <f t="shared" si="84"/>
        <v>16</v>
      </c>
      <c r="D199" s="309">
        <f t="shared" ref="D199:L199" si="91">ProductionFY3m(7,D71,VLOOKUP(D71,ProductsRangeMkt,3,FALSE),D184)</f>
        <v>0.76310272536687651</v>
      </c>
      <c r="E199" s="309">
        <f t="shared" si="91"/>
        <v>0.70654840535950203</v>
      </c>
      <c r="F199" s="309">
        <f t="shared" si="91"/>
        <v>1</v>
      </c>
      <c r="G199" s="309">
        <f t="shared" si="91"/>
        <v>1</v>
      </c>
      <c r="H199" s="309">
        <f t="shared" si="91"/>
        <v>1</v>
      </c>
      <c r="I199" s="309">
        <f t="shared" si="91"/>
        <v>0</v>
      </c>
      <c r="J199" s="309">
        <f t="shared" si="91"/>
        <v>6.2368972746331242</v>
      </c>
      <c r="K199" s="309">
        <f t="shared" si="91"/>
        <v>5.2934515946404987</v>
      </c>
      <c r="L199" s="309">
        <f t="shared" si="91"/>
        <v>0</v>
      </c>
      <c r="M199" s="309"/>
      <c r="N199" s="309"/>
      <c r="O199" s="309"/>
      <c r="P199" s="1086"/>
      <c r="R199" s="1086"/>
      <c r="S199" s="1086"/>
    </row>
    <row r="200" spans="1:21" s="1010" customFormat="1">
      <c r="B200" s="1078" t="s">
        <v>40</v>
      </c>
      <c r="C200" s="308">
        <f t="shared" si="84"/>
        <v>17</v>
      </c>
      <c r="D200" s="309">
        <f t="shared" ref="D200:L200" si="92">ProductionFY3m(8,D71,VLOOKUP(D71,ProductsRangeMkt,3,FALSE),D185)</f>
        <v>0.76310272536687651</v>
      </c>
      <c r="E200" s="309">
        <f t="shared" si="92"/>
        <v>0.7059238363892808</v>
      </c>
      <c r="F200" s="309">
        <f t="shared" si="92"/>
        <v>1</v>
      </c>
      <c r="G200" s="309">
        <f t="shared" si="92"/>
        <v>1</v>
      </c>
      <c r="H200" s="309">
        <f t="shared" si="92"/>
        <v>1</v>
      </c>
      <c r="I200" s="309">
        <f t="shared" si="92"/>
        <v>0</v>
      </c>
      <c r="J200" s="309">
        <f t="shared" si="92"/>
        <v>6.2368972746331242</v>
      </c>
      <c r="K200" s="309">
        <f t="shared" si="92"/>
        <v>6.2940761636107183</v>
      </c>
      <c r="L200" s="309">
        <f t="shared" si="92"/>
        <v>0</v>
      </c>
      <c r="M200" s="309"/>
      <c r="N200" s="309"/>
      <c r="O200" s="309"/>
      <c r="P200" s="1086"/>
      <c r="R200" s="1086"/>
      <c r="S200" s="1086"/>
    </row>
    <row r="201" spans="1:21" s="1010" customFormat="1">
      <c r="B201" s="1078" t="s">
        <v>39</v>
      </c>
      <c r="C201" s="308">
        <f t="shared" si="84"/>
        <v>16</v>
      </c>
      <c r="D201" s="309">
        <f t="shared" ref="D201:L201" si="93">ProductionFY3m(9,D71,VLOOKUP(D71,ProductsRangeMkt,3,FALSE),D186)</f>
        <v>0.6540880503144656</v>
      </c>
      <c r="E201" s="309">
        <f t="shared" si="93"/>
        <v>0.64768683274021366</v>
      </c>
      <c r="F201" s="309">
        <f t="shared" si="93"/>
        <v>1</v>
      </c>
      <c r="G201" s="309">
        <f t="shared" si="93"/>
        <v>1</v>
      </c>
      <c r="H201" s="309">
        <f t="shared" si="93"/>
        <v>1</v>
      </c>
      <c r="I201" s="309">
        <f t="shared" si="93"/>
        <v>0</v>
      </c>
      <c r="J201" s="309">
        <f t="shared" si="93"/>
        <v>5.3459119496855338</v>
      </c>
      <c r="K201" s="309">
        <f t="shared" si="93"/>
        <v>6.3523131672597861</v>
      </c>
      <c r="L201" s="309">
        <f t="shared" si="93"/>
        <v>0</v>
      </c>
      <c r="M201" s="309"/>
      <c r="N201" s="309"/>
      <c r="O201" s="309"/>
      <c r="P201" s="1086"/>
      <c r="R201" s="1086"/>
      <c r="S201" s="1086"/>
    </row>
    <row r="202" spans="1:21" s="1010" customFormat="1">
      <c r="B202" s="1078" t="s">
        <v>38</v>
      </c>
      <c r="C202" s="308">
        <f t="shared" si="84"/>
        <v>15</v>
      </c>
      <c r="D202" s="309">
        <f t="shared" ref="D202:L202" si="94">ProductionFY3m(10,D71,VLOOKUP(D71,ProductsRangeMkt,3,FALSE),D187)</f>
        <v>0.5983889528193328</v>
      </c>
      <c r="E202" s="309">
        <f t="shared" si="94"/>
        <v>0.60057747834456221</v>
      </c>
      <c r="F202" s="309">
        <f t="shared" si="94"/>
        <v>1</v>
      </c>
      <c r="G202" s="309">
        <f t="shared" si="94"/>
        <v>1</v>
      </c>
      <c r="H202" s="309">
        <f t="shared" si="94"/>
        <v>1</v>
      </c>
      <c r="I202" s="309">
        <f t="shared" si="94"/>
        <v>1</v>
      </c>
      <c r="J202" s="309">
        <f t="shared" si="94"/>
        <v>4.4016110471806673</v>
      </c>
      <c r="K202" s="309">
        <f t="shared" si="94"/>
        <v>5.3994225216554375</v>
      </c>
      <c r="L202" s="309">
        <f t="shared" si="94"/>
        <v>0</v>
      </c>
      <c r="M202" s="309"/>
      <c r="N202" s="309"/>
      <c r="O202" s="309"/>
      <c r="P202" s="1086"/>
      <c r="R202" s="1086"/>
      <c r="S202" s="1086"/>
    </row>
    <row r="203" spans="1:21" s="1010" customFormat="1">
      <c r="B203" s="1078" t="s">
        <v>37</v>
      </c>
      <c r="C203" s="308">
        <f t="shared" si="84"/>
        <v>12</v>
      </c>
      <c r="D203" s="309">
        <f t="shared" ref="D203:L203" si="95">ProductionFY3m(11,D71,VLOOKUP(D71,ProductsRangeMkt,3,FALSE),D188)</f>
        <v>0.37967751749315498</v>
      </c>
      <c r="E203" s="309">
        <f t="shared" si="95"/>
        <v>0.37967751749315498</v>
      </c>
      <c r="F203" s="309">
        <f t="shared" si="95"/>
        <v>1</v>
      </c>
      <c r="G203" s="309">
        <f t="shared" si="95"/>
        <v>1</v>
      </c>
      <c r="H203" s="309">
        <f t="shared" si="95"/>
        <v>1</v>
      </c>
      <c r="I203" s="309">
        <f t="shared" si="95"/>
        <v>1</v>
      </c>
      <c r="J203" s="309">
        <f t="shared" si="95"/>
        <v>3.6203224825068454</v>
      </c>
      <c r="K203" s="309">
        <f t="shared" si="95"/>
        <v>3.6203224825068454</v>
      </c>
      <c r="L203" s="309">
        <f t="shared" si="95"/>
        <v>0</v>
      </c>
      <c r="M203" s="309"/>
      <c r="N203" s="309"/>
      <c r="O203" s="309"/>
      <c r="P203" s="1086"/>
      <c r="R203" s="1086"/>
      <c r="S203" s="1086"/>
    </row>
    <row r="204" spans="1:21" s="1010" customFormat="1">
      <c r="B204" s="1078" t="s">
        <v>36</v>
      </c>
      <c r="C204" s="308">
        <f t="shared" si="84"/>
        <v>11</v>
      </c>
      <c r="D204" s="309">
        <f t="shared" ref="D204:L204" si="96">ProductionFY3m(12,D71,VLOOKUP(D71,ProductsRangeMkt,3,FALSE),D189)</f>
        <v>0.37967751749315498</v>
      </c>
      <c r="E204" s="309">
        <f t="shared" si="96"/>
        <v>0.37474262182566931</v>
      </c>
      <c r="F204" s="309">
        <f t="shared" si="96"/>
        <v>1</v>
      </c>
      <c r="G204" s="309">
        <f t="shared" si="96"/>
        <v>1</v>
      </c>
      <c r="H204" s="309">
        <f t="shared" si="96"/>
        <v>1</v>
      </c>
      <c r="I204" s="309">
        <f t="shared" si="96"/>
        <v>1</v>
      </c>
      <c r="J204" s="309">
        <f t="shared" si="96"/>
        <v>3.6203224825068454</v>
      </c>
      <c r="K204" s="309">
        <f t="shared" si="96"/>
        <v>2.6252573781743309</v>
      </c>
      <c r="L204" s="309">
        <f t="shared" si="96"/>
        <v>0</v>
      </c>
      <c r="M204" s="309"/>
      <c r="N204" s="309"/>
      <c r="O204" s="309"/>
      <c r="P204" s="1086"/>
      <c r="R204" s="1086"/>
      <c r="S204" s="1086"/>
    </row>
    <row r="205" spans="1:21" s="1010" customFormat="1">
      <c r="A205" s="1087" t="s">
        <v>416</v>
      </c>
      <c r="B205" s="1074"/>
      <c r="C205" s="1077" t="s">
        <v>85</v>
      </c>
      <c r="D205" s="1088">
        <f t="shared" ref="D205:L205" si="97">SUM(D178:D189)</f>
        <v>8219.667456000001</v>
      </c>
      <c r="E205" s="1089">
        <f t="shared" si="97"/>
        <v>8219.667456000001</v>
      </c>
      <c r="F205" s="1089">
        <f t="shared" si="97"/>
        <v>10748.795904000002</v>
      </c>
      <c r="G205" s="1089">
        <f t="shared" si="97"/>
        <v>12013.360128</v>
      </c>
      <c r="H205" s="1089">
        <f t="shared" si="97"/>
        <v>13910.206464000003</v>
      </c>
      <c r="I205" s="1089">
        <f t="shared" si="97"/>
        <v>10116.513792</v>
      </c>
      <c r="J205" s="1089">
        <f t="shared" si="97"/>
        <v>67179.974399999977</v>
      </c>
      <c r="K205" s="1089">
        <f t="shared" si="97"/>
        <v>67179.974399999977</v>
      </c>
      <c r="L205" s="1089">
        <f t="shared" si="97"/>
        <v>0</v>
      </c>
      <c r="M205" s="1089"/>
      <c r="N205" s="1089"/>
      <c r="O205" s="310"/>
      <c r="P205" s="1086"/>
      <c r="R205" s="1086"/>
      <c r="S205" s="1086"/>
      <c r="T205" s="1074"/>
      <c r="U205" s="1074"/>
    </row>
    <row r="206" spans="1:21" s="1010" customFormat="1">
      <c r="A206" s="1087" t="s">
        <v>417</v>
      </c>
      <c r="B206" s="1074"/>
      <c r="C206" s="1077" t="s">
        <v>85</v>
      </c>
      <c r="D206" s="1088">
        <f t="shared" ref="D206:L206" si="98">SUM(D193:D204)*capacity</f>
        <v>7838.1549516169944</v>
      </c>
      <c r="E206" s="1088">
        <f t="shared" si="98"/>
        <v>7692.0030072702875</v>
      </c>
      <c r="F206" s="1088">
        <f t="shared" si="98"/>
        <v>11160</v>
      </c>
      <c r="G206" s="1088">
        <f t="shared" si="98"/>
        <v>12400</v>
      </c>
      <c r="H206" s="1088">
        <f t="shared" si="98"/>
        <v>13640</v>
      </c>
      <c r="I206" s="1088">
        <f t="shared" si="98"/>
        <v>8680</v>
      </c>
      <c r="J206" s="1088">
        <f t="shared" si="98"/>
        <v>64081.845048383002</v>
      </c>
      <c r="K206" s="1088">
        <f t="shared" si="98"/>
        <v>62987.996992729706</v>
      </c>
      <c r="L206" s="1088">
        <f t="shared" si="98"/>
        <v>0</v>
      </c>
      <c r="M206" s="1088"/>
      <c r="N206" s="1088"/>
      <c r="O206" s="1088"/>
      <c r="P206" s="1098"/>
      <c r="Q206" s="1074"/>
      <c r="R206" s="1098"/>
      <c r="S206" s="1098"/>
      <c r="T206" s="1074"/>
      <c r="U206" s="1074"/>
    </row>
    <row r="207" spans="1:21" s="1010" customFormat="1">
      <c r="A207" s="1087" t="s">
        <v>418</v>
      </c>
      <c r="B207" s="1074"/>
      <c r="C207" s="1077" t="s">
        <v>85</v>
      </c>
      <c r="D207" s="1088">
        <f t="shared" ref="D207:L207" si="99">D205-D206</f>
        <v>381.51250438300667</v>
      </c>
      <c r="E207" s="1089">
        <f t="shared" si="99"/>
        <v>527.66444872971351</v>
      </c>
      <c r="F207" s="1089">
        <f t="shared" si="99"/>
        <v>-411.20409599999766</v>
      </c>
      <c r="G207" s="1089">
        <f t="shared" si="99"/>
        <v>-386.63987199999974</v>
      </c>
      <c r="H207" s="1089">
        <f t="shared" si="99"/>
        <v>270.2064640000026</v>
      </c>
      <c r="I207" s="1089">
        <f t="shared" si="99"/>
        <v>1436.5137919999997</v>
      </c>
      <c r="J207" s="1089">
        <f t="shared" si="99"/>
        <v>3098.1293516169753</v>
      </c>
      <c r="K207" s="1089">
        <f t="shared" si="99"/>
        <v>4191.9774072702712</v>
      </c>
      <c r="L207" s="1089">
        <f t="shared" si="99"/>
        <v>0</v>
      </c>
      <c r="M207" s="1089"/>
      <c r="N207" s="1089"/>
      <c r="O207" s="1089"/>
      <c r="P207" s="1098"/>
      <c r="Q207" s="1074"/>
      <c r="R207" s="1098"/>
      <c r="S207" s="1098"/>
      <c r="T207" s="1074"/>
      <c r="U207" s="1074"/>
    </row>
    <row r="208" spans="1:21" s="1010" customFormat="1">
      <c r="A208" s="1092"/>
      <c r="D208" s="1092"/>
      <c r="P208" s="1086"/>
      <c r="R208" s="1086"/>
      <c r="S208" s="1086"/>
      <c r="T208" s="1074"/>
      <c r="U208" s="1074"/>
    </row>
    <row r="209" spans="1:19" s="1010" customFormat="1">
      <c r="A209" s="1092"/>
      <c r="D209" s="1033" t="str">
        <f>IF(B42="","",B42)</f>
        <v>BR01-01</v>
      </c>
      <c r="E209" s="1033" t="str">
        <f>IF(B43="","",B43)</f>
        <v>BR01-02</v>
      </c>
      <c r="F209" s="1033" t="str">
        <f>IF(B44="","",B44)</f>
        <v>BR01-03</v>
      </c>
      <c r="G209" s="1033" t="str">
        <f>IF(B45="","",B45)</f>
        <v>BR01-04</v>
      </c>
      <c r="H209" s="1033" t="str">
        <f>IF(B46="","",B46)</f>
        <v>BR01-05</v>
      </c>
      <c r="I209" s="1033" t="str">
        <f>IF(B47="","",B47)</f>
        <v>BR01-06</v>
      </c>
      <c r="J209" s="1033" t="str">
        <f>IF(B48="","",B48)</f>
        <v>BR01-07</v>
      </c>
      <c r="K209" s="1033" t="str">
        <f>IF(B49="","",B49)</f>
        <v>BR01-08</v>
      </c>
      <c r="L209" s="1033" t="str">
        <f>IF(B50="","",B50)</f>
        <v>BR01-09</v>
      </c>
      <c r="M209" s="1029"/>
      <c r="N209" s="1029"/>
      <c r="O209" s="1029"/>
      <c r="P209" s="1100"/>
      <c r="R209" s="312"/>
      <c r="S209" s="312"/>
    </row>
    <row r="210" spans="1:19" s="1010" customFormat="1">
      <c r="A210" s="1092"/>
      <c r="D210" s="1033" t="str">
        <f>C42</f>
        <v>[retail]</v>
      </c>
      <c r="E210" s="1033" t="str">
        <f>C43</f>
        <v>[retail]</v>
      </c>
      <c r="F210" s="1033" t="str">
        <f>C44</f>
        <v>[retail]</v>
      </c>
      <c r="G210" s="1033" t="str">
        <f>C45</f>
        <v>[retail]</v>
      </c>
      <c r="H210" s="1033" t="str">
        <f>C46</f>
        <v>[retail]</v>
      </c>
      <c r="I210" s="1033" t="str">
        <f>C47</f>
        <v>[retail]</v>
      </c>
      <c r="J210" s="1033" t="str">
        <f>C48</f>
        <v>[wholesale]</v>
      </c>
      <c r="K210" s="1033" t="str">
        <f>C49</f>
        <v>[wholesale]</v>
      </c>
      <c r="L210" s="1033" t="str">
        <f>C50</f>
        <v>[retail]</v>
      </c>
      <c r="M210" s="1029"/>
      <c r="N210" s="1029"/>
      <c r="O210" s="1029"/>
      <c r="P210" s="1100"/>
      <c r="R210" s="312"/>
      <c r="S210" s="312"/>
    </row>
    <row r="211" spans="1:19" s="1010" customFormat="1">
      <c r="A211" s="1092"/>
      <c r="B211" s="1101" t="s">
        <v>35</v>
      </c>
      <c r="C211" s="1077" t="s">
        <v>47</v>
      </c>
      <c r="D211" s="1082">
        <f>IF(VLOOKUP(D209,ProductsRangeMkt,3,FALSE)="Special Offer",SpecialOfferm(D209,1,"FY-1"),MIN(D88,D103*capacity))</f>
        <v>334.20498244440734</v>
      </c>
      <c r="E211" s="1082">
        <f>IF(VLOOKUP(E209,ProductsRangeMkt,3,FALSE)="Special Offer",SpecialOfferm(E209,1,"FY-1"),MIN(E88,E103*capacity))</f>
        <v>411.41148047999997</v>
      </c>
      <c r="F211" s="1082">
        <f>IF(VLOOKUP(F209,ProductsRangeMkt,3,FALSE)="Special Offer",SpecialOfferm(F209,1,"FY-1"),MIN(F88,F103*capacity))</f>
        <v>0</v>
      </c>
      <c r="G211" s="1082">
        <f>IF(VLOOKUP(G209,ProductsRangeMkt,3,FALSE)="Special Offer",SpecialOfferm(G209,1,"FY-1"),MIN(G88,G103*capacity))</f>
        <v>0</v>
      </c>
      <c r="H211" s="1082">
        <f>IF(VLOOKUP(H209,ProductsRangeMkt,3,FALSE)="Special Offer",SpecialOfferm(H209,1,"FY-1"),MIN(H88,H103*capacity))</f>
        <v>1240</v>
      </c>
      <c r="I211" s="1082">
        <f>IF(VLOOKUP(I209,ProductsRangeMkt,3,FALSE)="Special Offer",SpecialOfferm(I209,1,"FY-1"),MIN(I88,I103*capacity))</f>
        <v>1240</v>
      </c>
      <c r="J211" s="1082">
        <f>IF(VLOOKUP(J209,ProductsRangeMkt,3,FALSE)="Special Offer",SpecialOfferm(J209,1,"FY-1"),MIN(J88,J103*capacity))</f>
        <v>2145.7950175555925</v>
      </c>
      <c r="K211" s="1082">
        <f>IF(VLOOKUP(K209,ProductsRangeMkt,3,FALSE)="Special Offer",SpecialOfferm(K209,1,"FY-1"),MIN(K88,K103*capacity))</f>
        <v>3228.508206</v>
      </c>
      <c r="L211" s="1082">
        <f>IF(VLOOKUP(L209,ProductsRangeMkt,3,FALSE)="Special Offer",SpecialOfferm(L209,1,"FY-1"),MIN(L88,L103*capacity))</f>
        <v>80.080313520000345</v>
      </c>
      <c r="M211" s="1082"/>
      <c r="N211" s="1082"/>
      <c r="O211" s="1082"/>
      <c r="P211" s="1100"/>
      <c r="R211" s="312"/>
      <c r="S211" s="312"/>
    </row>
    <row r="212" spans="1:19" s="1010" customFormat="1">
      <c r="A212" s="1092"/>
      <c r="B212" s="1101" t="s">
        <v>35</v>
      </c>
      <c r="C212" s="1077" t="s">
        <v>46</v>
      </c>
      <c r="D212" s="1082">
        <f>IF(VLOOKUP(D209,ProductsRangeMkt,3,FALSE)="Special Offer",SpecialOfferm(D209,7,"FY-1"),MIN(D89,D104*capacity))</f>
        <v>334.20498244440734</v>
      </c>
      <c r="E212" s="1082">
        <f>IF(VLOOKUP(E209,ProductsRangeMkt,3,FALSE)="Special Offer",SpecialOfferm(E209,7,"FY-1"),MIN(E89,E104*capacity))</f>
        <v>411.41148047999997</v>
      </c>
      <c r="F212" s="1082">
        <f>IF(VLOOKUP(F209,ProductsRangeMkt,3,FALSE)="Special Offer",SpecialOfferm(F209,7,"FY-1"),MIN(F89,F104*capacity))</f>
        <v>0</v>
      </c>
      <c r="G212" s="1082">
        <f>IF(VLOOKUP(G209,ProductsRangeMkt,3,FALSE)="Special Offer",SpecialOfferm(G209,7,"FY-1"),MIN(G89,G104*capacity))</f>
        <v>0</v>
      </c>
      <c r="H212" s="1082">
        <f>IF(VLOOKUP(H209,ProductsRangeMkt,3,FALSE)="Special Offer",SpecialOfferm(H209,7,"FY-1"),MIN(H89,H104*capacity))</f>
        <v>812.27394863999996</v>
      </c>
      <c r="I212" s="1082">
        <f>IF(VLOOKUP(I209,ProductsRangeMkt,3,FALSE)="Special Offer",SpecialOfferm(I209,7,"FY-1"),MIN(I89,I104*capacity))</f>
        <v>928.3130841599999</v>
      </c>
      <c r="J212" s="1082">
        <f>IF(VLOOKUP(J209,ProductsRangeMkt,3,FALSE)="Special Offer",SpecialOfferm(J209,7,"FY-1"),MIN(J89,J104*capacity))</f>
        <v>2145.7950175555925</v>
      </c>
      <c r="K212" s="1082">
        <f>IF(VLOOKUP(K209,ProductsRangeMkt,3,FALSE)="Special Offer",SpecialOfferm(K209,7,"FY-1"),MIN(K89,K104*capacity))</f>
        <v>3228.508206</v>
      </c>
      <c r="L212" s="1082">
        <f>IF(VLOOKUP(L209,ProductsRangeMkt,3,FALSE)="Special Offer",SpecialOfferm(L209,7,"FY-1"),MIN(L89,L104*capacity))</f>
        <v>782.59112127999833</v>
      </c>
      <c r="M212" s="1082"/>
      <c r="N212" s="1082"/>
      <c r="O212" s="1082"/>
      <c r="P212" s="1100"/>
      <c r="R212" s="312"/>
      <c r="S212" s="312"/>
    </row>
    <row r="213" spans="1:19" s="1010" customFormat="1">
      <c r="A213" s="1092"/>
      <c r="B213" s="1101" t="s">
        <v>35</v>
      </c>
      <c r="C213" s="1078" t="s">
        <v>45</v>
      </c>
      <c r="D213" s="1082">
        <f>IF(VLOOKUP(D209,ProductsRangeMkt,3,FALSE)="Special Offer",SpecialOfferm(D209,3,"FY-1"),MIN(D90,D105*capacity))</f>
        <v>411.41148047999997</v>
      </c>
      <c r="E213" s="1082">
        <f>IF(VLOOKUP(E209,ProductsRangeMkt,3,FALSE)="Special Offer",SpecialOfferm(E209,3,"FY-1"),MIN(E90,E105*capacity))</f>
        <v>357.11291090995718</v>
      </c>
      <c r="F213" s="1082">
        <f>IF(VLOOKUP(F209,ProductsRangeMkt,3,FALSE)="Special Offer",SpecialOfferm(F209,3,"FY-1"),MIN(F90,F105*capacity))</f>
        <v>0</v>
      </c>
      <c r="G213" s="1082">
        <f>IF(VLOOKUP(G209,ProductsRangeMkt,3,FALSE)="Special Offer",SpecialOfferm(G209,3,"FY-1"),MIN(G90,G105*capacity))</f>
        <v>0</v>
      </c>
      <c r="H213" s="1082">
        <f>IF(VLOOKUP(H209,ProductsRangeMkt,3,FALSE)="Special Offer",SpecialOfferm(H209,3,"FY-1"),MIN(H90,H105*capacity))</f>
        <v>812.27394863999996</v>
      </c>
      <c r="I213" s="1082">
        <f>IF(VLOOKUP(I209,ProductsRangeMkt,3,FALSE)="Special Offer",SpecialOfferm(I209,3,"FY-1"),MIN(I90,I105*capacity))</f>
        <v>759.52888703999997</v>
      </c>
      <c r="J213" s="1082">
        <f>IF(VLOOKUP(J209,ProductsRangeMkt,3,FALSE)="Special Offer",SpecialOfferm(J209,3,"FY-1"),MIN(J90,J105*capacity))</f>
        <v>3169.8080567999996</v>
      </c>
      <c r="K213" s="1082">
        <f>IF(VLOOKUP(K209,ProductsRangeMkt,3,FALSE)="Special Offer",SpecialOfferm(K209,3,"FY-1"),MIN(K90,K105*capacity))</f>
        <v>3362.887089090043</v>
      </c>
      <c r="L213" s="1082">
        <f>IF(VLOOKUP(L209,ProductsRangeMkt,3,FALSE)="Special Offer",SpecialOfferm(L209,3,"FY-1"),MIN(L90,L105*capacity))</f>
        <v>1046.9776270399998</v>
      </c>
      <c r="M213" s="1082"/>
      <c r="N213" s="1082"/>
      <c r="O213" s="1082"/>
      <c r="P213" s="1100"/>
      <c r="R213" s="312"/>
      <c r="S213" s="312"/>
    </row>
    <row r="214" spans="1:19" s="1010" customFormat="1">
      <c r="A214" s="1092"/>
      <c r="B214" s="1101" t="s">
        <v>35</v>
      </c>
      <c r="C214" s="1078" t="s">
        <v>44</v>
      </c>
      <c r="D214" s="1082">
        <f>IF(VLOOKUP(D209,ProductsRangeMkt,3,FALSE)="Special Offer",SpecialOfferm(D209,4,"FY-1"),MIN(D91,D106*capacity))</f>
        <v>372.41584896286179</v>
      </c>
      <c r="E214" s="1082">
        <f>IF(VLOOKUP(E209,ProductsRangeMkt,3,FALSE)="Special Offer",SpecialOfferm(E209,4,"FY-1"),MIN(E91,E106*capacity))</f>
        <v>476.15054787994279</v>
      </c>
      <c r="F214" s="1082">
        <f>IF(VLOOKUP(F209,ProductsRangeMkt,3,FALSE)="Special Offer",SpecialOfferm(F209,4,"FY-1"),MIN(F91,F106*capacity))</f>
        <v>0</v>
      </c>
      <c r="G214" s="1082">
        <f>IF(VLOOKUP(G209,ProductsRangeMkt,3,FALSE)="Special Offer",SpecialOfferm(G209,4,"FY-1"),MIN(G91,G106*capacity))</f>
        <v>701.50931928</v>
      </c>
      <c r="H214" s="1082">
        <f>IF(VLOOKUP(H209,ProductsRangeMkt,3,FALSE)="Special Offer",SpecialOfferm(H209,4,"FY-1"),MIN(H91,H106*capacity))</f>
        <v>812.27394863999996</v>
      </c>
      <c r="I214" s="1082">
        <f>IF(VLOOKUP(I209,ProductsRangeMkt,3,FALSE)="Special Offer",SpecialOfferm(I209,4,"FY-1"),MIN(I91,I106*capacity))</f>
        <v>0</v>
      </c>
      <c r="J214" s="1082">
        <f>IF(VLOOKUP(J209,ProductsRangeMkt,3,FALSE)="Special Offer",SpecialOfferm(J209,4,"FY-1"),MIN(J91,J106*capacity))</f>
        <v>3347.5841510371383</v>
      </c>
      <c r="K214" s="1082">
        <f>IF(VLOOKUP(K209,ProductsRangeMkt,3,FALSE)="Special Offer",SpecialOfferm(K209,4,"FY-1"),MIN(K91,K106*capacity))</f>
        <v>4483.8494521200573</v>
      </c>
      <c r="L214" s="1082">
        <f>IF(VLOOKUP(L209,ProductsRangeMkt,3,FALSE)="Special Offer",SpecialOfferm(L209,4,"FY-1"),MIN(L91,L106*capacity))</f>
        <v>966.21673207999993</v>
      </c>
      <c r="M214" s="1082"/>
      <c r="N214" s="1082"/>
      <c r="O214" s="1082"/>
      <c r="P214" s="1100"/>
      <c r="R214" s="312"/>
      <c r="S214" s="312"/>
    </row>
    <row r="215" spans="1:19" s="1010" customFormat="1">
      <c r="A215" s="1092"/>
      <c r="B215" s="1101" t="s">
        <v>35</v>
      </c>
      <c r="C215" s="1078" t="s">
        <v>43</v>
      </c>
      <c r="D215" s="1082">
        <f>IF(VLOOKUP(D209,ProductsRangeMkt,3,FALSE)="Special Offer",SpecialOfferm(D209,5,"FY-1"),MIN(D92,D107*capacity))</f>
        <v>548.54864063999992</v>
      </c>
      <c r="E215" s="1082">
        <f>IF(VLOOKUP(E209,ProductsRangeMkt,3,FALSE)="Special Offer",SpecialOfferm(E209,5,"FY-1"),MIN(E92,E107*capacity))</f>
        <v>476.15054787994285</v>
      </c>
      <c r="F215" s="1082">
        <f>IF(VLOOKUP(F209,ProductsRangeMkt,3,FALSE)="Special Offer",SpecialOfferm(F209,5,"FY-1"),MIN(F92,F107*capacity))</f>
        <v>717.33283775999996</v>
      </c>
      <c r="G215" s="1082">
        <f>IF(VLOOKUP(G209,ProductsRangeMkt,3,FALSE)="Special Offer",SpecialOfferm(G209,5,"FY-1"),MIN(G92,G107*capacity))</f>
        <v>801.72493631999998</v>
      </c>
      <c r="H215" s="1082">
        <f>IF(VLOOKUP(H209,ProductsRangeMkt,3,FALSE)="Special Offer",SpecialOfferm(H209,5,"FY-1"),MIN(H92,H107*capacity))</f>
        <v>0</v>
      </c>
      <c r="I215" s="1082">
        <f>IF(VLOOKUP(I209,ProductsRangeMkt,3,FALSE)="Special Offer",SpecialOfferm(I209,5,"FY-1"),MIN(I92,I107*capacity))</f>
        <v>0</v>
      </c>
      <c r="J215" s="1082">
        <f>IF(VLOOKUP(J209,ProductsRangeMkt,3,FALSE)="Special Offer",SpecialOfferm(J209,5,"FY-1"),MIN(J92,J107*capacity))</f>
        <v>4226.4107423999994</v>
      </c>
      <c r="K215" s="1082">
        <f>IF(VLOOKUP(K209,ProductsRangeMkt,3,FALSE)="Special Offer",SpecialOfferm(K209,5,"FY-1"),MIN(K92,K107*capacity))</f>
        <v>4483.8494521200573</v>
      </c>
      <c r="L215" s="1082">
        <f>IF(VLOOKUP(L209,ProductsRangeMkt,3,FALSE)="Special Offer",SpecialOfferm(L209,5,"FY-1"),MIN(L92,L107*capacity))</f>
        <v>1145.982842880001</v>
      </c>
      <c r="M215" s="1082"/>
      <c r="N215" s="1082"/>
      <c r="O215" s="1082"/>
      <c r="P215" s="1100"/>
      <c r="R215" s="312"/>
      <c r="S215" s="312"/>
    </row>
    <row r="216" spans="1:19" s="1010" customFormat="1">
      <c r="A216" s="1092"/>
      <c r="B216" s="1101" t="s">
        <v>35</v>
      </c>
      <c r="C216" s="1078" t="s">
        <v>42</v>
      </c>
      <c r="D216" s="1082">
        <f>IF(VLOOKUP(D209,ProductsRangeMkt,3,FALSE)="Special Offer",SpecialOfferm(D209,6,"FY-1"),MIN(D93,D108*capacity))</f>
        <v>712.25769669327246</v>
      </c>
      <c r="E216" s="1082">
        <f>IF(VLOOKUP(E209,ProductsRangeMkt,3,FALSE)="Special Offer",SpecialOfferm(E209,6,"FY-1"),MIN(E93,E108*capacity))</f>
        <v>754.25438087999987</v>
      </c>
      <c r="F216" s="1082">
        <f>IF(VLOOKUP(F209,ProductsRangeMkt,3,FALSE)="Special Offer",SpecialOfferm(F209,6,"FY-1"),MIN(F93,F108*capacity))</f>
        <v>717.33283775999996</v>
      </c>
      <c r="G216" s="1082">
        <f>IF(VLOOKUP(G209,ProductsRangeMkt,3,FALSE)="Special Offer",SpecialOfferm(G209,6,"FY-1"),MIN(G93,G108*capacity))</f>
        <v>1240</v>
      </c>
      <c r="H216" s="1082">
        <f>IF(VLOOKUP(H209,ProductsRangeMkt,3,FALSE)="Special Offer",SpecialOfferm(H209,6,"FY-1"),MIN(H93,H108*capacity))</f>
        <v>0</v>
      </c>
      <c r="I216" s="1082">
        <f>IF(VLOOKUP(I209,ProductsRangeMkt,3,FALSE)="Special Offer",SpecialOfferm(I209,6,"FY-1"),MIN(I93,I108*capacity))</f>
        <v>0</v>
      </c>
      <c r="J216" s="1082">
        <f>IF(VLOOKUP(J209,ProductsRangeMkt,3,FALSE)="Special Offer",SpecialOfferm(J209,6,"FY-1"),MIN(J93,J108*capacity))</f>
        <v>5487.742303306728</v>
      </c>
      <c r="K216" s="1082">
        <f>IF(VLOOKUP(K209,ProductsRangeMkt,3,FALSE)="Special Offer",SpecialOfferm(K209,6,"FY-1"),MIN(K93,K108*capacity))</f>
        <v>6457.0164119999999</v>
      </c>
      <c r="L216" s="1082">
        <f>IF(VLOOKUP(L209,ProductsRangeMkt,3,FALSE)="Special Offer",SpecialOfferm(L209,6,"FY-1"),MIN(L93,L108*capacity))</f>
        <v>751.39636935999806</v>
      </c>
      <c r="M216" s="1082"/>
      <c r="N216" s="1082"/>
      <c r="O216" s="1082"/>
      <c r="P216" s="1100"/>
      <c r="R216" s="312"/>
      <c r="S216" s="312"/>
    </row>
    <row r="217" spans="1:19" s="1010" customFormat="1">
      <c r="A217" s="1092"/>
      <c r="B217" s="1101" t="s">
        <v>35</v>
      </c>
      <c r="C217" s="1078" t="s">
        <v>41</v>
      </c>
      <c r="D217" s="1082">
        <f>IF(VLOOKUP(D209,ProductsRangeMkt,3,FALSE)="Special Offer",SpecialOfferm(D209,7,"FY-1"),MIN(D94,D109*capacity))</f>
        <v>712.25769669327246</v>
      </c>
      <c r="E217" s="1082">
        <f>IF(VLOOKUP(E209,ProductsRangeMkt,3,FALSE)="Special Offer",SpecialOfferm(E209,7,"FY-1"),MIN(E94,E109*capacity))</f>
        <v>772.41450376763066</v>
      </c>
      <c r="F217" s="1082">
        <f>IF(VLOOKUP(F209,ProductsRangeMkt,3,FALSE)="Special Offer",SpecialOfferm(F209,7,"FY-1"),MIN(F94,F109*capacity))</f>
        <v>1972.66530384</v>
      </c>
      <c r="G217" s="1082">
        <f>IF(VLOOKUP(G209,ProductsRangeMkt,3,FALSE)="Special Offer",SpecialOfferm(G209,7,"FY-1"),MIN(G94,G109*capacity))</f>
        <v>2204.7435748799999</v>
      </c>
      <c r="H217" s="1082">
        <f>IF(VLOOKUP(H209,ProductsRangeMkt,3,FALSE)="Special Offer",SpecialOfferm(H209,7,"FY-1"),MIN(H94,H109*capacity))</f>
        <v>0</v>
      </c>
      <c r="I217" s="1082">
        <f>IF(VLOOKUP(I209,ProductsRangeMkt,3,FALSE)="Special Offer",SpecialOfferm(I209,7,"FY-1"),MIN(I94,I109*capacity))</f>
        <v>0</v>
      </c>
      <c r="J217" s="1082">
        <f>IF(VLOOKUP(J209,ProductsRangeMkt,3,FALSE)="Special Offer",SpecialOfferm(J209,7,"FY-1"),MIN(J94,J109*capacity))</f>
        <v>5487.742303306728</v>
      </c>
      <c r="K217" s="1082">
        <f>IF(VLOOKUP(K209,ProductsRangeMkt,3,FALSE)="Special Offer",SpecialOfferm(K209,7,"FY-1"),MIN(K94,K109*capacity))</f>
        <v>6667.5854962323692</v>
      </c>
      <c r="L217" s="1082">
        <f>IF(VLOOKUP(L209,ProductsRangeMkt,3,FALSE)="Special Offer",SpecialOfferm(L209,7,"FY-1"),MIN(L94,L109*capacity))</f>
        <v>782.59112127999833</v>
      </c>
      <c r="M217" s="1082"/>
      <c r="N217" s="1082"/>
      <c r="O217" s="1082"/>
      <c r="P217" s="1100"/>
      <c r="R217" s="312"/>
      <c r="S217" s="312"/>
    </row>
    <row r="218" spans="1:19" s="1010" customFormat="1">
      <c r="A218" s="1092"/>
      <c r="B218" s="1101" t="s">
        <v>35</v>
      </c>
      <c r="C218" s="1078" t="s">
        <v>40</v>
      </c>
      <c r="D218" s="1082">
        <f>IF(VLOOKUP(D209,ProductsRangeMkt,3,FALSE)="Special Offer",SpecialOfferm(D209,8,"FY-1"),MIN(D95,D110*capacity))</f>
        <v>712.25769669327246</v>
      </c>
      <c r="E218" s="1082">
        <f>IF(VLOOKUP(E209,ProductsRangeMkt,3,FALSE)="Special Offer",SpecialOfferm(E209,8,"FY-1"),MIN(E95,E110*capacity))</f>
        <v>754.25438087999987</v>
      </c>
      <c r="F218" s="1082">
        <f>IF(VLOOKUP(F209,ProductsRangeMkt,3,FALSE)="Special Offer",SpecialOfferm(F209,8,"FY-1"),MIN(F95,F110*capacity))</f>
        <v>1075.9992566399999</v>
      </c>
      <c r="G218" s="1082">
        <f>IF(VLOOKUP(G209,ProductsRangeMkt,3,FALSE)="Special Offer",SpecialOfferm(G209,8,"FY-1"),MIN(G95,G110*capacity))</f>
        <v>2204.7435748799999</v>
      </c>
      <c r="H218" s="1082">
        <f>IF(VLOOKUP(H209,ProductsRangeMkt,3,FALSE)="Special Offer",SpecialOfferm(H209,8,"FY-1"),MIN(H95,H110*capacity))</f>
        <v>812.27394863999996</v>
      </c>
      <c r="I218" s="1082">
        <f>IF(VLOOKUP(I209,ProductsRangeMkt,3,FALSE)="Special Offer",SpecialOfferm(I209,8,"FY-1"),MIN(I95,I110*capacity))</f>
        <v>0</v>
      </c>
      <c r="J218" s="1082">
        <f>IF(VLOOKUP(J209,ProductsRangeMkt,3,FALSE)="Special Offer",SpecialOfferm(J209,8,"FY-1"),MIN(J95,J110*capacity))</f>
        <v>5487.742303306728</v>
      </c>
      <c r="K218" s="1082">
        <f>IF(VLOOKUP(K209,ProductsRangeMkt,3,FALSE)="Special Offer",SpecialOfferm(K209,8,"FY-1"),MIN(K95,K110*capacity))</f>
        <v>7748.4196943999987</v>
      </c>
      <c r="L218" s="1082">
        <f>IF(VLOOKUP(L209,ProductsRangeMkt,3,FALSE)="Special Offer",SpecialOfferm(L209,8,"FY-1"),MIN(L95,L110*capacity))</f>
        <v>1044.3091445600003</v>
      </c>
      <c r="M218" s="1082"/>
      <c r="N218" s="1082"/>
      <c r="O218" s="1082"/>
      <c r="P218" s="1100"/>
      <c r="R218" s="312"/>
      <c r="S218" s="312"/>
    </row>
    <row r="219" spans="1:19" s="1010" customFormat="1">
      <c r="A219" s="1091"/>
      <c r="B219" s="1101" t="s">
        <v>35</v>
      </c>
      <c r="C219" s="1078" t="s">
        <v>39</v>
      </c>
      <c r="D219" s="1082">
        <f>IF(VLOOKUP(D209,ProductsRangeMkt,3,FALSE)="Special Offer",SpecialOfferm(D209,9,"FY-1"),MIN(D96,D111*capacity))</f>
        <v>685.68580079999992</v>
      </c>
      <c r="E219" s="1082">
        <f>IF(VLOOKUP(E209,ProductsRangeMkt,3,FALSE)="Special Offer",SpecialOfferm(E209,9,"FY-1"),MIN(E96,E111*capacity))</f>
        <v>685.68580079999992</v>
      </c>
      <c r="F219" s="1082">
        <f>IF(VLOOKUP(F209,ProductsRangeMkt,3,FALSE)="Special Offer",SpecialOfferm(F209,9,"FY-1"),MIN(F96,F111*capacity))</f>
        <v>1075.9992566399999</v>
      </c>
      <c r="G219" s="1082">
        <f>IF(VLOOKUP(G209,ProductsRangeMkt,3,FALSE)="Special Offer",SpecialOfferm(G209,9,"FY-1"),MIN(G96,G111*capacity))</f>
        <v>1240</v>
      </c>
      <c r="H219" s="1082">
        <f>IF(VLOOKUP(H209,ProductsRangeMkt,3,FALSE)="Special Offer",SpecialOfferm(H209,9,"FY-1"),MIN(H96,H111*capacity))</f>
        <v>928.3130841599999</v>
      </c>
      <c r="I219" s="1082">
        <f>IF(VLOOKUP(I209,ProductsRangeMkt,3,FALSE)="Special Offer",SpecialOfferm(I209,9,"FY-1"),MIN(I96,I111*capacity))</f>
        <v>0</v>
      </c>
      <c r="J219" s="1082">
        <f>IF(VLOOKUP(J209,ProductsRangeMkt,3,FALSE)="Special Offer",SpecialOfferm(J209,9,"FY-1"),MIN(J96,J111*capacity))</f>
        <v>5283.0134279999993</v>
      </c>
      <c r="K219" s="1082">
        <f>IF(VLOOKUP(K209,ProductsRangeMkt,3,FALSE)="Special Offer",SpecialOfferm(K209,9,"FY-1"),MIN(K96,K111*capacity))</f>
        <v>7748.4196943999987</v>
      </c>
      <c r="L219" s="1082">
        <f>IF(VLOOKUP(L209,ProductsRangeMkt,3,FALSE)="Special Offer",SpecialOfferm(L209,9,"FY-1"),MIN(L96,L111*capacity))</f>
        <v>952.88293520000298</v>
      </c>
      <c r="M219" s="1082"/>
      <c r="N219" s="1082"/>
      <c r="O219" s="1082"/>
      <c r="P219" s="1100"/>
      <c r="R219" s="312"/>
      <c r="S219" s="312"/>
    </row>
    <row r="220" spans="1:19" s="1010" customFormat="1">
      <c r="A220" s="1091"/>
      <c r="B220" s="1101" t="s">
        <v>35</v>
      </c>
      <c r="C220" s="1078" t="s">
        <v>38</v>
      </c>
      <c r="D220" s="1082">
        <f>IF(VLOOKUP(D209,ProductsRangeMkt,3,FALSE)="Special Offer",SpecialOfferm(D209,10,"FY-1"),MIN(D97,D112*capacity))</f>
        <v>625.13838936669276</v>
      </c>
      <c r="E220" s="1082">
        <f>IF(VLOOKUP(E209,ProductsRangeMkt,3,FALSE)="Special Offer",SpecialOfferm(E209,10,"FY-1"),MIN(E97,E112*capacity))</f>
        <v>655.01256144183503</v>
      </c>
      <c r="F220" s="1082">
        <f>IF(VLOOKUP(F209,ProductsRangeMkt,3,FALSE)="Special Offer",SpecialOfferm(F209,10,"FY-1"),MIN(F97,F112*capacity))</f>
        <v>986.33265191999999</v>
      </c>
      <c r="G220" s="1082">
        <f>IF(VLOOKUP(G209,ProductsRangeMkt,3,FALSE)="Special Offer",SpecialOfferm(G209,10,"FY-1"),MIN(G97,G112*capacity))</f>
        <v>0</v>
      </c>
      <c r="H220" s="1082">
        <f>IF(VLOOKUP(H209,ProductsRangeMkt,3,FALSE)="Special Offer",SpecialOfferm(H209,10,"FY-1"),MIN(H97,H112*capacity))</f>
        <v>1240</v>
      </c>
      <c r="I220" s="1082">
        <f>IF(VLOOKUP(I209,ProductsRangeMkt,3,FALSE)="Special Offer",SpecialOfferm(I209,10,"FY-1"),MIN(I97,I112*capacity))</f>
        <v>928.3130841599999</v>
      </c>
      <c r="J220" s="1082">
        <f>IF(VLOOKUP(J209,ProductsRangeMkt,3,FALSE)="Special Offer",SpecialOfferm(J209,10,"FY-1"),MIN(J97,J112*capacity))</f>
        <v>4334.8616106333075</v>
      </c>
      <c r="K220" s="1082">
        <f>IF(VLOOKUP(K209,ProductsRangeMkt,3,FALSE)="Special Offer",SpecialOfferm(K209,10,"FY-1"),MIN(K97,K112*capacity))</f>
        <v>6784.9874385581652</v>
      </c>
      <c r="L220" s="1082">
        <f>IF(VLOOKUP(L209,ProductsRangeMkt,3,FALSE)="Special Offer",SpecialOfferm(L209,10,"FY-1"),MIN(L97,L112*capacity))</f>
        <v>565.35426391999863</v>
      </c>
      <c r="M220" s="1082"/>
      <c r="N220" s="1082"/>
      <c r="O220" s="1082"/>
      <c r="P220" s="1086"/>
      <c r="R220" s="1086"/>
      <c r="S220" s="1086"/>
    </row>
    <row r="221" spans="1:19" s="1010" customFormat="1">
      <c r="A221" s="1087"/>
      <c r="B221" s="1101" t="s">
        <v>35</v>
      </c>
      <c r="C221" s="1078" t="s">
        <v>37</v>
      </c>
      <c r="D221" s="1082">
        <f>IF(VLOOKUP(D209,ProductsRangeMkt,3,FALSE)="Special Offer",SpecialOfferm(D209,11,"FY-1"),MIN(D98,D113*capacity))</f>
        <v>372.41584896286179</v>
      </c>
      <c r="E221" s="1082">
        <f>IF(VLOOKUP(E209,ProductsRangeMkt,3,FALSE)="Special Offer",SpecialOfferm(E209,11,"FY-1"),MIN(E98,E113*capacity))</f>
        <v>411.41148047999997</v>
      </c>
      <c r="F221" s="1082">
        <f>IF(VLOOKUP(F209,ProductsRangeMkt,3,FALSE)="Special Offer",SpecialOfferm(F209,11,"FY-1"),MIN(F98,F113*capacity))</f>
        <v>0</v>
      </c>
      <c r="G221" s="1082">
        <f>IF(VLOOKUP(G209,ProductsRangeMkt,3,FALSE)="Special Offer",SpecialOfferm(G209,11,"FY-1"),MIN(G98,G113*capacity))</f>
        <v>0</v>
      </c>
      <c r="H221" s="1082">
        <f>IF(VLOOKUP(H209,ProductsRangeMkt,3,FALSE)="Special Offer",SpecialOfferm(H209,11,"FY-1"),MIN(H98,H113*capacity))</f>
        <v>1240</v>
      </c>
      <c r="I221" s="1082">
        <f>IF(VLOOKUP(I209,ProductsRangeMkt,3,FALSE)="Special Offer",SpecialOfferm(I209,11,"FY-1"),MIN(I98,I113*capacity))</f>
        <v>1012.7051827199999</v>
      </c>
      <c r="J221" s="1082">
        <f>IF(VLOOKUP(J209,ProductsRangeMkt,3,FALSE)="Special Offer",SpecialOfferm(J209,11,"FY-1"),MIN(J98,J113*capacity))</f>
        <v>3347.5841510371383</v>
      </c>
      <c r="K221" s="1082">
        <f>IF(VLOOKUP(K209,ProductsRangeMkt,3,FALSE)="Special Offer",SpecialOfferm(K209,11,"FY-1"),MIN(K98,K113*capacity))</f>
        <v>4519.9114884000001</v>
      </c>
      <c r="L221" s="1082">
        <f>IF(VLOOKUP(L209,ProductsRangeMkt,3,FALSE)="Special Offer",SpecialOfferm(L209,11,"FY-1"),MIN(L98,L113*capacity))</f>
        <v>255.97184840000045</v>
      </c>
      <c r="M221" s="1082"/>
      <c r="N221" s="1082"/>
      <c r="O221" s="1082"/>
      <c r="P221" s="1086"/>
      <c r="R221" s="1086"/>
      <c r="S221" s="1086"/>
    </row>
    <row r="222" spans="1:19" s="1010" customFormat="1">
      <c r="A222" s="1087"/>
      <c r="B222" s="1101" t="s">
        <v>35</v>
      </c>
      <c r="C222" s="1078" t="s">
        <v>36</v>
      </c>
      <c r="D222" s="1082">
        <f>IF(VLOOKUP(D209,ProductsRangeMkt,3,FALSE)="Special Offer",SpecialOfferm(D209,12,"FY-1"),MIN(D99,D114*capacity))</f>
        <v>372.41584896286179</v>
      </c>
      <c r="E222" s="1082">
        <f>IF(VLOOKUP(E209,ProductsRangeMkt,3,FALSE)="Special Offer",SpecialOfferm(E209,12,"FY-1"),MIN(E99,E114*capacity))</f>
        <v>410.07072799030914</v>
      </c>
      <c r="F222" s="1082">
        <f>IF(VLOOKUP(F209,ProductsRangeMkt,3,FALSE)="Special Offer",SpecialOfferm(F209,12,"FY-1"),MIN(F99,F114*capacity))</f>
        <v>0</v>
      </c>
      <c r="G222" s="1082">
        <f>IF(VLOOKUP(G209,ProductsRangeMkt,3,FALSE)="Special Offer",SpecialOfferm(G209,12,"FY-1"),MIN(G99,G114*capacity))</f>
        <v>0</v>
      </c>
      <c r="H222" s="1082">
        <f>IF(VLOOKUP(H209,ProductsRangeMkt,3,FALSE)="Special Offer",SpecialOfferm(H209,12,"FY-1"),MIN(H99,H114*capacity))</f>
        <v>1240</v>
      </c>
      <c r="I222" s="1082">
        <f>IF(VLOOKUP(I209,ProductsRangeMkt,3,FALSE)="Special Offer",SpecialOfferm(I209,12,"FY-1"),MIN(I99,I114*capacity))</f>
        <v>1240</v>
      </c>
      <c r="J222" s="1082">
        <f>IF(VLOOKUP(J209,ProductsRangeMkt,3,FALSE)="Special Offer",SpecialOfferm(J209,12,"FY-1"),MIN(J99,J114*capacity))</f>
        <v>3347.5841510371383</v>
      </c>
      <c r="K222" s="1082">
        <f>IF(VLOOKUP(K209,ProductsRangeMkt,3,FALSE)="Special Offer",SpecialOfferm(K209,12,"FY-1"),MIN(K99,K114*capacity))</f>
        <v>3309.929272009691</v>
      </c>
      <c r="L222" s="1082">
        <f>IF(VLOOKUP(L209,ProductsRangeMkt,3,FALSE)="Special Offer",SpecialOfferm(L209,12,"FY-1"),MIN(L99,L114*capacity))</f>
        <v>0</v>
      </c>
      <c r="M222" s="1082"/>
      <c r="N222" s="1082"/>
      <c r="O222" s="1082"/>
      <c r="P222" s="1086"/>
      <c r="R222" s="1086"/>
      <c r="S222" s="1086"/>
    </row>
    <row r="223" spans="1:19" s="1010" customFormat="1">
      <c r="A223" s="1087"/>
      <c r="B223" s="1101" t="s">
        <v>34</v>
      </c>
      <c r="C223" s="1077" t="s">
        <v>47</v>
      </c>
      <c r="D223" s="1082">
        <f>IF(VLOOKUP(D209,ProductsRangeMkt,3,FALSE)="Special Offer",SpecialOfferm(D209,1,"FY-2"),MIN(D133,D148*capacity))</f>
        <v>0</v>
      </c>
      <c r="E223" s="1082">
        <f>IF(VLOOKUP(E209,ProductsRangeMkt,3,FALSE)="Special Offer",SpecialOfferm(E209,1,"FY-2"),MIN(E133,E148*capacity))</f>
        <v>383.56792144026178</v>
      </c>
      <c r="F223" s="1082">
        <f>IF(VLOOKUP(F209,ProductsRangeMkt,3,FALSE)="Special Offer",SpecialOfferm(F209,1,"FY-2"),MIN(F133,F148*capacity))</f>
        <v>0</v>
      </c>
      <c r="G223" s="1082">
        <f>IF(VLOOKUP(G209,ProductsRangeMkt,3,FALSE)="Special Offer",SpecialOfferm(G209,1,"FY-2"),MIN(G133,G148*capacity))</f>
        <v>0</v>
      </c>
      <c r="H223" s="1082">
        <f>IF(VLOOKUP(H209,ProductsRangeMkt,3,FALSE)="Special Offer",SpecialOfferm(H209,1,"FY-2"),MIN(H133,H148*capacity))</f>
        <v>1240</v>
      </c>
      <c r="I223" s="1082">
        <f>IF(VLOOKUP(I209,ProductsRangeMkt,3,FALSE)="Special Offer",SpecialOfferm(I209,1,"FY-2"),MIN(I133,I148*capacity))</f>
        <v>1240</v>
      </c>
      <c r="J223" s="1082">
        <f>IF(VLOOKUP(J209,ProductsRangeMkt,3,FALSE)="Special Offer",SpecialOfferm(J209,1,"FY-2"),MIN(J133,J148*capacity))</f>
        <v>0</v>
      </c>
      <c r="K223" s="1082">
        <f>IF(VLOOKUP(K209,ProductsRangeMkt,3,FALSE)="Special Offer",SpecialOfferm(K209,1,"FY-2"),MIN(K133,K148*capacity))</f>
        <v>3336.4320785597379</v>
      </c>
      <c r="L223" s="1082">
        <f>IF(VLOOKUP(L209,ProductsRangeMkt,3,FALSE)="Special Offer",SpecialOfferm(L209,1,"FY-2"),MIN(L133,L148*capacity))</f>
        <v>0</v>
      </c>
      <c r="M223" s="1082"/>
      <c r="N223" s="1082"/>
      <c r="O223" s="1082"/>
      <c r="P223" s="1086"/>
      <c r="R223" s="1086"/>
      <c r="S223" s="1086"/>
    </row>
    <row r="224" spans="1:19" s="1010" customFormat="1">
      <c r="A224" s="1092"/>
      <c r="B224" s="1101" t="s">
        <v>34</v>
      </c>
      <c r="C224" s="1077" t="s">
        <v>46</v>
      </c>
      <c r="D224" s="1082">
        <f>IF(VLOOKUP(D209,ProductsRangeMkt,3,FALSE)="Special Offer",SpecialOfferm(D209,2,"FY-2"),MIN(D134,D149*capacity))</f>
        <v>322.45118272741701</v>
      </c>
      <c r="E224" s="1082">
        <f>IF(VLOOKUP(E209,ProductsRangeMkt,3,FALSE)="Special Offer",SpecialOfferm(E209,2,"FY-2"),MIN(E134,E149*capacity))</f>
        <v>383.56792144026178</v>
      </c>
      <c r="F224" s="1082">
        <f>IF(VLOOKUP(F209,ProductsRangeMkt,3,FALSE)="Special Offer",SpecialOfferm(F209,2,"FY-2"),MIN(F134,F149*capacity))</f>
        <v>0</v>
      </c>
      <c r="G224" s="1082">
        <f>IF(VLOOKUP(G209,ProductsRangeMkt,3,FALSE)="Special Offer",SpecialOfferm(G209,2,"FY-2"),MIN(G134,G149*capacity))</f>
        <v>0</v>
      </c>
      <c r="H224" s="1082">
        <f>IF(VLOOKUP(H209,ProductsRangeMkt,3,FALSE)="Special Offer",SpecialOfferm(H209,2,"FY-2"),MIN(H134,H149*capacity))</f>
        <v>878.62515048000012</v>
      </c>
      <c r="I224" s="1082">
        <f>IF(VLOOKUP(I209,ProductsRangeMkt,3,FALSE)="Special Offer",SpecialOfferm(I209,2,"FY-2"),MIN(I134,I149*capacity))</f>
        <v>1004.1430291199999</v>
      </c>
      <c r="J224" s="1082">
        <f>IF(VLOOKUP(J209,ProductsRangeMkt,3,FALSE)="Special Offer",SpecialOfferm(J209,2,"FY-2"),MIN(J134,J149*capacity))</f>
        <v>2157.5488172725832</v>
      </c>
      <c r="K224" s="1082">
        <f>IF(VLOOKUP(K209,ProductsRangeMkt,3,FALSE)="Special Offer",SpecialOfferm(K209,2,"FY-2"),MIN(K134,K149*capacity))</f>
        <v>3336.4320785597379</v>
      </c>
      <c r="L224" s="1082">
        <f>IF(VLOOKUP(L209,ProductsRangeMkt,3,FALSE)="Special Offer",SpecialOfferm(L209,2,"FY-2"),MIN(L134,L149*capacity))</f>
        <v>597.23182040000029</v>
      </c>
      <c r="M224" s="1082"/>
      <c r="N224" s="1082"/>
      <c r="O224" s="1082"/>
      <c r="P224" s="1100"/>
      <c r="R224" s="312"/>
      <c r="S224" s="312"/>
    </row>
    <row r="225" spans="1:19" s="1010" customFormat="1">
      <c r="A225" s="1092"/>
      <c r="B225" s="1101" t="s">
        <v>34</v>
      </c>
      <c r="C225" s="1078" t="s">
        <v>45</v>
      </c>
      <c r="D225" s="1082">
        <f>IF(VLOOKUP(D209,ProductsRangeMkt,3,FALSE)="Special Offer",SpecialOfferm(D209,3,"FY-2"),MIN(D135,D150*capacity))</f>
        <v>411.99188640973631</v>
      </c>
      <c r="E225" s="1082">
        <f>IF(VLOOKUP(E209,ProductsRangeMkt,3,FALSE)="Special Offer",SpecialOfferm(E209,3,"FY-2"),MIN(E135,E150*capacity))</f>
        <v>383.56792144026178</v>
      </c>
      <c r="F225" s="1082">
        <f>IF(VLOOKUP(F209,ProductsRangeMkt,3,FALSE)="Special Offer",SpecialOfferm(F209,3,"FY-2"),MIN(F135,F150*capacity))</f>
        <v>0</v>
      </c>
      <c r="G225" s="1082">
        <f>IF(VLOOKUP(G209,ProductsRangeMkt,3,FALSE)="Special Offer",SpecialOfferm(G209,3,"FY-2"),MIN(G135,G150*capacity))</f>
        <v>650.4108256799999</v>
      </c>
      <c r="H225" s="1082">
        <f>IF(VLOOKUP(H209,ProductsRangeMkt,3,FALSE)="Special Offer",SpecialOfferm(H209,3,"FY-2"),MIN(H135,H150*capacity))</f>
        <v>878.62515048000012</v>
      </c>
      <c r="I225" s="1082">
        <f>IF(VLOOKUP(I209,ProductsRangeMkt,3,FALSE)="Special Offer",SpecialOfferm(I209,3,"FY-2"),MIN(I135,I150*capacity))</f>
        <v>821.57156927999995</v>
      </c>
      <c r="J225" s="1082">
        <f>IF(VLOOKUP(J209,ProductsRangeMkt,3,FALSE)="Special Offer",SpecialOfferm(J209,3,"FY-2"),MIN(J135,J150*capacity))</f>
        <v>3308.0081135902637</v>
      </c>
      <c r="K225" s="1082">
        <f>IF(VLOOKUP(K209,ProductsRangeMkt,3,FALSE)="Special Offer",SpecialOfferm(K209,3,"FY-2"),MIN(K135,K150*capacity))</f>
        <v>3336.4320785597379</v>
      </c>
      <c r="L225" s="1082">
        <f>IF(VLOOKUP(L209,ProductsRangeMkt,3,FALSE)="Special Offer",SpecialOfferm(L209,3,"FY-2"),MIN(L135,L150*capacity))</f>
        <v>1369.3924545600003</v>
      </c>
      <c r="M225" s="1082"/>
      <c r="N225" s="1082"/>
      <c r="O225" s="1082"/>
      <c r="P225" s="1100"/>
      <c r="R225" s="312"/>
      <c r="S225" s="312"/>
    </row>
    <row r="226" spans="1:19" s="1010" customFormat="1">
      <c r="A226" s="1092"/>
      <c r="B226" s="1101" t="s">
        <v>34</v>
      </c>
      <c r="C226" s="1078" t="s">
        <v>44</v>
      </c>
      <c r="D226" s="1082">
        <f>IF(VLOOKUP(D209,ProductsRangeMkt,3,FALSE)="Special Offer",SpecialOfferm(D209,4,"FY-2"),MIN(D136,D151*capacity))</f>
        <v>358.81286067600985</v>
      </c>
      <c r="E226" s="1082">
        <f>IF(VLOOKUP(E209,ProductsRangeMkt,3,FALSE)="Special Offer",SpecialOfferm(E209,4,"FY-2"),MIN(E136,E151*capacity))</f>
        <v>511.42389525368242</v>
      </c>
      <c r="F226" s="1082">
        <f>IF(VLOOKUP(F209,ProductsRangeMkt,3,FALSE)="Special Offer",SpecialOfferm(F209,4,"FY-2"),MIN(F136,F151*capacity))</f>
        <v>0</v>
      </c>
      <c r="G226" s="1082">
        <f>IF(VLOOKUP(G209,ProductsRangeMkt,3,FALSE)="Special Offer",SpecialOfferm(G209,4,"FY-2"),MIN(G136,G151*capacity))</f>
        <v>758.81262996000009</v>
      </c>
      <c r="H226" s="1082">
        <f>IF(VLOOKUP(H209,ProductsRangeMkt,3,FALSE)="Special Offer",SpecialOfferm(H209,4,"FY-2"),MIN(H136,H151*capacity))</f>
        <v>878.62515048000012</v>
      </c>
      <c r="I226" s="1082">
        <f>IF(VLOOKUP(I209,ProductsRangeMkt,3,FALSE)="Special Offer",SpecialOfferm(I209,4,"FY-2"),MIN(I136,I151*capacity))</f>
        <v>639.00010944000007</v>
      </c>
      <c r="J226" s="1082">
        <f>IF(VLOOKUP(J209,ProductsRangeMkt,3,FALSE)="Special Offer",SpecialOfferm(J209,4,"FY-2"),MIN(J136,J151*capacity))</f>
        <v>3361.1871393239903</v>
      </c>
      <c r="K226" s="1082">
        <f>IF(VLOOKUP(K209,ProductsRangeMkt,3,FALSE)="Special Offer",SpecialOfferm(K209,4,"FY-2"),MIN(K136,K151*capacity))</f>
        <v>4448.5761047463175</v>
      </c>
      <c r="L226" s="1082">
        <f>IF(VLOOKUP(L209,ProductsRangeMkt,3,FALSE)="Special Offer",SpecialOfferm(L209,4,"FY-2"),MIN(L136,L151*capacity))</f>
        <v>1443.5621101200013</v>
      </c>
      <c r="M226" s="1082"/>
      <c r="N226" s="1082"/>
      <c r="O226" s="1082"/>
      <c r="P226" s="1100"/>
      <c r="R226" s="312"/>
      <c r="S226" s="312"/>
    </row>
    <row r="227" spans="1:19" s="1010" customFormat="1">
      <c r="A227" s="1092"/>
      <c r="B227" s="1101" t="s">
        <v>34</v>
      </c>
      <c r="C227" s="1078" t="s">
        <v>43</v>
      </c>
      <c r="D227" s="1082">
        <f>IF(VLOOKUP(D209,ProductsRangeMkt,3,FALSE)="Special Offer",SpecialOfferm(D209,5,"FY-2"),MIN(D137,D152*capacity))</f>
        <v>549.32251521298178</v>
      </c>
      <c r="E227" s="1082">
        <f>IF(VLOOKUP(E209,ProductsRangeMkt,3,FALSE)="Special Offer",SpecialOfferm(E209,5,"FY-2"),MIN(E137,E152*capacity))</f>
        <v>511.42389525368253</v>
      </c>
      <c r="F227" s="1082">
        <f>IF(VLOOKUP(F209,ProductsRangeMkt,3,FALSE)="Special Offer",SpecialOfferm(F209,5,"FY-2"),MIN(F137,F152*capacity))</f>
        <v>775.92870432000018</v>
      </c>
      <c r="G227" s="1082">
        <f>IF(VLOOKUP(G209,ProductsRangeMkt,3,FALSE)="Special Offer",SpecialOfferm(G209,5,"FY-2"),MIN(G137,G152*capacity))</f>
        <v>867.21443423999995</v>
      </c>
      <c r="H227" s="1082">
        <f>IF(VLOOKUP(H209,ProductsRangeMkt,3,FALSE)="Special Offer",SpecialOfferm(H209,5,"FY-2"),MIN(H137,H152*capacity))</f>
        <v>753.10727183999995</v>
      </c>
      <c r="I227" s="1082">
        <f>IF(VLOOKUP(I209,ProductsRangeMkt,3,FALSE)="Special Offer",SpecialOfferm(I209,5,"FY-2"),MIN(I137,I152*capacity))</f>
        <v>0</v>
      </c>
      <c r="J227" s="1082">
        <f>IF(VLOOKUP(J209,ProductsRangeMkt,3,FALSE)="Special Offer",SpecialOfferm(J209,5,"FY-2"),MIN(J137,J152*capacity))</f>
        <v>4410.6774847870183</v>
      </c>
      <c r="K227" s="1082">
        <f>IF(VLOOKUP(K209,ProductsRangeMkt,3,FALSE)="Special Offer",SpecialOfferm(K209,5,"FY-2"),MIN(K137,K152*capacity))</f>
        <v>4448.5761047463175</v>
      </c>
      <c r="L227" s="1082">
        <f>IF(VLOOKUP(L209,ProductsRangeMkt,3,FALSE)="Special Offer",SpecialOfferm(L209,5,"FY-2"),MIN(L137,L152*capacity))</f>
        <v>1323.7495896</v>
      </c>
      <c r="M227" s="1082"/>
      <c r="N227" s="1082"/>
      <c r="O227" s="1082"/>
      <c r="P227" s="1100"/>
      <c r="R227" s="312"/>
      <c r="S227" s="312"/>
    </row>
    <row r="228" spans="1:19" s="1010" customFormat="1">
      <c r="A228" s="1092"/>
      <c r="B228" s="1101" t="s">
        <v>34</v>
      </c>
      <c r="C228" s="1078" t="s">
        <v>42</v>
      </c>
      <c r="D228" s="1082">
        <f>IF(VLOOKUP(D209,ProductsRangeMkt,3,FALSE)="Special Offer",SpecialOfferm(D209,6,"FY-2"),MIN(D138,D153*capacity))</f>
        <v>882.94209702660396</v>
      </c>
      <c r="E228" s="1082">
        <f>IF(VLOOKUP(E209,ProductsRangeMkt,3,FALSE)="Special Offer",SpecialOfferm(E209,6,"FY-2"),MIN(E138,E153*capacity))</f>
        <v>767.13584288052368</v>
      </c>
      <c r="F228" s="1082">
        <f>IF(VLOOKUP(F209,ProductsRangeMkt,3,FALSE)="Special Offer",SpecialOfferm(F209,6,"FY-2"),MIN(F138,F153*capacity))</f>
        <v>775.92870432000018</v>
      </c>
      <c r="G228" s="1082">
        <f>IF(VLOOKUP(G209,ProductsRangeMkt,3,FALSE)="Special Offer",SpecialOfferm(G209,6,"FY-2"),MIN(G138,G153*capacity))</f>
        <v>975.61623851999991</v>
      </c>
      <c r="H228" s="1082">
        <f>IF(VLOOKUP(H209,ProductsRangeMkt,3,FALSE)="Special Offer",SpecialOfferm(H209,6,"FY-2"),MIN(H138,H153*capacity))</f>
        <v>0</v>
      </c>
      <c r="I228" s="1082">
        <f>IF(VLOOKUP(I209,ProductsRangeMkt,3,FALSE)="Special Offer",SpecialOfferm(I209,6,"FY-2"),MIN(I138,I153*capacity))</f>
        <v>0</v>
      </c>
      <c r="J228" s="1082">
        <f>IF(VLOOKUP(J209,ProductsRangeMkt,3,FALSE)="Special Offer",SpecialOfferm(J209,6,"FY-2"),MIN(J138,J153*capacity))</f>
        <v>5317.0579029733954</v>
      </c>
      <c r="K228" s="1082">
        <f>IF(VLOOKUP(K209,ProductsRangeMkt,3,FALSE)="Special Offer",SpecialOfferm(K209,6,"FY-2"),MIN(K138,K153*capacity))</f>
        <v>6672.8641571194767</v>
      </c>
      <c r="L228" s="1082">
        <f>IF(VLOOKUP(L209,ProductsRangeMkt,3,FALSE)="Special Offer",SpecialOfferm(L209,6,"FY-2"),MIN(L138,L153*capacity))</f>
        <v>728.45505715999752</v>
      </c>
      <c r="M228" s="1082"/>
      <c r="N228" s="1082"/>
      <c r="O228" s="1082"/>
      <c r="P228" s="1100"/>
      <c r="R228" s="312"/>
      <c r="S228" s="312"/>
    </row>
    <row r="229" spans="1:19" s="1010" customFormat="1">
      <c r="A229" s="1092"/>
      <c r="B229" s="1101" t="s">
        <v>34</v>
      </c>
      <c r="C229" s="1078" t="s">
        <v>41</v>
      </c>
      <c r="D229" s="1082">
        <f>IF(VLOOKUP(D209,ProductsRangeMkt,3,FALSE)="Special Offer",SpecialOfferm(D209,7,"FY-2"),MIN(D139,D154*capacity))</f>
        <v>855.56866048862662</v>
      </c>
      <c r="E229" s="1082">
        <f>IF(VLOOKUP(E209,ProductsRangeMkt,3,FALSE)="Special Offer",SpecialOfferm(E209,7,"FY-2"),MIN(E139,E154*capacity))</f>
        <v>829.10377358490553</v>
      </c>
      <c r="F229" s="1082">
        <f>IF(VLOOKUP(F209,ProductsRangeMkt,3,FALSE)="Special Offer",SpecialOfferm(F209,7,"FY-2"),MIN(F139,F154*capacity))</f>
        <v>2036.8128488400002</v>
      </c>
      <c r="G229" s="1082">
        <f>IF(VLOOKUP(G209,ProductsRangeMkt,3,FALSE)="Special Offer",SpecialOfferm(G209,7,"FY-2"),MIN(G139,G154*capacity))</f>
        <v>1240</v>
      </c>
      <c r="H229" s="1082">
        <f>IF(VLOOKUP(H209,ProductsRangeMkt,3,FALSE)="Special Offer",SpecialOfferm(H209,7,"FY-2"),MIN(H139,H154*capacity))</f>
        <v>0</v>
      </c>
      <c r="I229" s="1082">
        <f>IF(VLOOKUP(I209,ProductsRangeMkt,3,FALSE)="Special Offer",SpecialOfferm(I209,7,"FY-2"),MIN(I139,I154*capacity))</f>
        <v>0</v>
      </c>
      <c r="J229" s="1082">
        <f>IF(VLOOKUP(J209,ProductsRangeMkt,3,FALSE)="Special Offer",SpecialOfferm(J209,7,"FY-2"),MIN(J139,J154*capacity))</f>
        <v>10304.431339511373</v>
      </c>
      <c r="K229" s="1082">
        <f>IF(VLOOKUP(K209,ProductsRangeMkt,3,FALSE)="Special Offer",SpecialOfferm(K209,7,"FY-2"),MIN(K139,K154*capacity))</f>
        <v>6610.896226415095</v>
      </c>
      <c r="L229" s="1082">
        <f>IF(VLOOKUP(L209,ProductsRangeMkt,3,FALSE)="Special Offer",SpecialOfferm(L209,7,"FY-2"),MIN(L139,L154*capacity))</f>
        <v>443.18715116000021</v>
      </c>
      <c r="M229" s="1082"/>
      <c r="N229" s="1082"/>
      <c r="O229" s="1082"/>
      <c r="P229" s="1100"/>
      <c r="R229" s="312"/>
      <c r="S229" s="312"/>
    </row>
    <row r="230" spans="1:19" s="1010" customFormat="1">
      <c r="A230" s="1092"/>
      <c r="B230" s="1101" t="s">
        <v>34</v>
      </c>
      <c r="C230" s="1078" t="s">
        <v>40</v>
      </c>
      <c r="D230" s="1082">
        <f>IF(VLOOKUP(D209,ProductsRangeMkt,3,FALSE)="Special Offer",SpecialOfferm(D209,8,"FY-2"),MIN(D140,D155*capacity))</f>
        <v>847.44758527172189</v>
      </c>
      <c r="E230" s="1082">
        <f>IF(VLOOKUP(E209,ProductsRangeMkt,3,FALSE)="Special Offer",SpecialOfferm(E209,8,"FY-2"),MIN(E140,E155*capacity))</f>
        <v>767.13584288052368</v>
      </c>
      <c r="F230" s="1082">
        <f>IF(VLOOKUP(F209,ProductsRangeMkt,3,FALSE)="Special Offer",SpecialOfferm(F209,8,"FY-2"),MIN(F140,F155*capacity))</f>
        <v>1939.8217608000004</v>
      </c>
      <c r="G230" s="1082">
        <f>IF(VLOOKUP(G209,ProductsRangeMkt,3,FALSE)="Special Offer",SpecialOfferm(G209,8,"FY-2"),MIN(G140,G155*capacity))</f>
        <v>1240</v>
      </c>
      <c r="H230" s="1082">
        <f>IF(VLOOKUP(H209,ProductsRangeMkt,3,FALSE)="Special Offer",SpecialOfferm(H209,8,"FY-2"),MIN(H140,H155*capacity))</f>
        <v>878.62515048000012</v>
      </c>
      <c r="I230" s="1082">
        <f>IF(VLOOKUP(I209,ProductsRangeMkt,3,FALSE)="Special Offer",SpecialOfferm(I209,8,"FY-2"),MIN(I140,I155*capacity))</f>
        <v>0</v>
      </c>
      <c r="J230" s="1082">
        <f>IF(VLOOKUP(J209,ProductsRangeMkt,3,FALSE)="Special Offer",SpecialOfferm(J209,8,"FY-2"),MIN(J140,J155*capacity))</f>
        <v>9072.5524147282777</v>
      </c>
      <c r="K230" s="1082">
        <f>IF(VLOOKUP(K209,ProductsRangeMkt,3,FALSE)="Special Offer",SpecialOfferm(K209,8,"FY-2"),MIN(K140,K155*capacity))</f>
        <v>6672.8641571194767</v>
      </c>
      <c r="L230" s="1082">
        <f>IF(VLOOKUP(L209,ProductsRangeMkt,3,FALSE)="Special Offer",SpecialOfferm(L209,8,"FY-2"),MIN(L140,L155*capacity))</f>
        <v>901.55308872000023</v>
      </c>
      <c r="M230" s="1082"/>
      <c r="N230" s="1082"/>
      <c r="O230" s="1082"/>
      <c r="P230" s="1100"/>
      <c r="R230" s="312"/>
      <c r="S230" s="312"/>
    </row>
    <row r="231" spans="1:19" s="1010" customFormat="1">
      <c r="A231" s="1092"/>
      <c r="B231" s="1101" t="s">
        <v>34</v>
      </c>
      <c r="C231" s="1078" t="s">
        <v>39</v>
      </c>
      <c r="D231" s="1082">
        <f>IF(VLOOKUP(D209,ProductsRangeMkt,3,FALSE)="Special Offer",SpecialOfferm(D209,9,"FY-2"),MIN(D141,D156*capacity))</f>
        <v>699.56602603843771</v>
      </c>
      <c r="E231" s="1082">
        <f>IF(VLOOKUP(E209,ProductsRangeMkt,3,FALSE)="Special Offer",SpecialOfferm(E209,9,"FY-2"),MIN(E141,E156*capacity))</f>
        <v>703.99519375187742</v>
      </c>
      <c r="F231" s="1082">
        <f>IF(VLOOKUP(F209,ProductsRangeMkt,3,FALSE)="Special Offer",SpecialOfferm(F209,9,"FY-2"),MIN(F141,F156*capacity))</f>
        <v>1163.89305648</v>
      </c>
      <c r="G231" s="1082">
        <f>IF(VLOOKUP(G209,ProductsRangeMkt,3,FALSE)="Special Offer",SpecialOfferm(G209,9,"FY-2"),MIN(G141,G156*capacity))</f>
        <v>1240</v>
      </c>
      <c r="H231" s="1082">
        <f>IF(VLOOKUP(H209,ProductsRangeMkt,3,FALSE)="Special Offer",SpecialOfferm(H209,9,"FY-2"),MIN(H141,H156*capacity))</f>
        <v>1004.1430291200001</v>
      </c>
      <c r="I231" s="1082">
        <f>IF(VLOOKUP(I209,ProductsRangeMkt,3,FALSE)="Special Offer",SpecialOfferm(I209,9,"FY-2"),MIN(I141,I156*capacity))</f>
        <v>0</v>
      </c>
      <c r="J231" s="1082">
        <f>IF(VLOOKUP(J209,ProductsRangeMkt,3,FALSE)="Special Offer",SpecialOfferm(J209,9,"FY-2"),MIN(J141,J156*capacity))</f>
        <v>6740.4339739615634</v>
      </c>
      <c r="K231" s="1082">
        <f>IF(VLOOKUP(K209,ProductsRangeMkt,3,FALSE)="Special Offer",SpecialOfferm(K209,9,"FY-2"),MIN(K141,K156*capacity))</f>
        <v>6736.0048062481219</v>
      </c>
      <c r="L231" s="1082">
        <f>IF(VLOOKUP(L209,ProductsRangeMkt,3,FALSE)="Special Offer",SpecialOfferm(L209,9,"FY-2"),MIN(L141,L156*capacity))</f>
        <v>311.96391439999934</v>
      </c>
      <c r="M231" s="1082"/>
      <c r="N231" s="1082"/>
      <c r="O231" s="1082"/>
      <c r="P231" s="1100"/>
      <c r="R231" s="312"/>
      <c r="S231" s="312"/>
    </row>
    <row r="232" spans="1:19" s="1010" customFormat="1">
      <c r="A232" s="1092"/>
      <c r="B232" s="1101" t="s">
        <v>34</v>
      </c>
      <c r="C232" s="1078" t="s">
        <v>38</v>
      </c>
      <c r="D232" s="1082">
        <f>IF(VLOOKUP(D209,ProductsRangeMkt,3,FALSE)="Special Offer",SpecialOfferm(D209,10,"FY-2"),MIN(D142,D157*capacity))</f>
        <v>699.56602603843771</v>
      </c>
      <c r="E232" s="1082">
        <f>IF(VLOOKUP(E209,ProductsRangeMkt,3,FALSE)="Special Offer",SpecialOfferm(E209,10,"FY-2"),MIN(E142,E157*capacity))</f>
        <v>741.69655560000001</v>
      </c>
      <c r="F232" s="1082">
        <f>IF(VLOOKUP(F209,ProductsRangeMkt,3,FALSE)="Special Offer",SpecialOfferm(F209,10,"FY-2"),MIN(F142,F157*capacity))</f>
        <v>1066.9019684400002</v>
      </c>
      <c r="G232" s="1082">
        <f>IF(VLOOKUP(G209,ProductsRangeMkt,3,FALSE)="Special Offer",SpecialOfferm(G209,10,"FY-2"),MIN(G142,G157*capacity))</f>
        <v>1240</v>
      </c>
      <c r="H232" s="1082">
        <f>IF(VLOOKUP(H209,ProductsRangeMkt,3,FALSE)="Special Offer",SpecialOfferm(H209,10,"FY-2"),MIN(H142,H157*capacity))</f>
        <v>1240</v>
      </c>
      <c r="I232" s="1082">
        <f>IF(VLOOKUP(I209,ProductsRangeMkt,3,FALSE)="Special Offer",SpecialOfferm(I209,10,"FY-2"),MIN(I142,I157*capacity))</f>
        <v>1004.1430291199999</v>
      </c>
      <c r="J232" s="1082">
        <f>IF(VLOOKUP(J209,ProductsRangeMkt,3,FALSE)="Special Offer",SpecialOfferm(J209,10,"FY-2"),MIN(J142,J157*capacity))</f>
        <v>6740.4339739615634</v>
      </c>
      <c r="K232" s="1082">
        <f>IF(VLOOKUP(K209,ProductsRangeMkt,3,FALSE)="Special Offer",SpecialOfferm(K209,10,"FY-2"),MIN(K142,K157*capacity))</f>
        <v>6451.5827376000016</v>
      </c>
      <c r="L232" s="1082">
        <f>IF(VLOOKUP(L209,ProductsRangeMkt,3,FALSE)="Special Offer",SpecialOfferm(L209,10,"FY-2"),MIN(L142,L157*capacity))</f>
        <v>655.67570923999665</v>
      </c>
      <c r="M232" s="1082"/>
      <c r="N232" s="1082"/>
      <c r="O232" s="1082"/>
      <c r="P232" s="1100"/>
      <c r="R232" s="312"/>
      <c r="S232" s="312"/>
    </row>
    <row r="233" spans="1:19" s="1010" customFormat="1">
      <c r="A233" s="1092"/>
      <c r="B233" s="1101" t="s">
        <v>34</v>
      </c>
      <c r="C233" s="1078" t="s">
        <v>37</v>
      </c>
      <c r="D233" s="1082">
        <f>IF(VLOOKUP(D209,ProductsRangeMkt,3,FALSE)="Special Offer",SpecialOfferm(D209,11,"FY-2"),MIN(D143,D158*capacity))</f>
        <v>358.81286067600985</v>
      </c>
      <c r="E233" s="1082">
        <f>IF(VLOOKUP(E209,ProductsRangeMkt,3,FALSE)="Special Offer",SpecialOfferm(E209,11,"FY-2"),MIN(E143,E158*capacity))</f>
        <v>383.56792144026178</v>
      </c>
      <c r="F233" s="1082">
        <f>IF(VLOOKUP(F209,ProductsRangeMkt,3,FALSE)="Special Offer",SpecialOfferm(F209,11,"FY-2"),MIN(F143,F158*capacity))</f>
        <v>0</v>
      </c>
      <c r="G233" s="1082">
        <f>IF(VLOOKUP(G209,ProductsRangeMkt,3,FALSE)="Special Offer",SpecialOfferm(G209,11,"FY-2"),MIN(G143,G158*capacity))</f>
        <v>758.81262996000009</v>
      </c>
      <c r="H233" s="1082">
        <f>IF(VLOOKUP(H209,ProductsRangeMkt,3,FALSE)="Special Offer",SpecialOfferm(H209,11,"FY-2"),MIN(H143,H158*capacity))</f>
        <v>1240</v>
      </c>
      <c r="I233" s="1082">
        <f>IF(VLOOKUP(I209,ProductsRangeMkt,3,FALSE)="Special Offer",SpecialOfferm(I209,11,"FY-2"),MIN(I143,I158*capacity))</f>
        <v>1095.4287590399999</v>
      </c>
      <c r="J233" s="1082">
        <f>IF(VLOOKUP(J209,ProductsRangeMkt,3,FALSE)="Special Offer",SpecialOfferm(J209,11,"FY-2"),MIN(J143,J158*capacity))</f>
        <v>3361.1871393239903</v>
      </c>
      <c r="K233" s="1082">
        <f>IF(VLOOKUP(K209,ProductsRangeMkt,3,FALSE)="Special Offer",SpecialOfferm(K209,11,"FY-2"),MIN(K143,K158*capacity))</f>
        <v>3336.4320785597379</v>
      </c>
      <c r="L233" s="1082">
        <f>IF(VLOOKUP(L209,ProductsRangeMkt,3,FALSE)="Special Offer",SpecialOfferm(L209,11,"FY-2"),MIN(L143,L158*capacity))</f>
        <v>625.75861100000111</v>
      </c>
      <c r="M233" s="1082"/>
      <c r="N233" s="1082"/>
      <c r="O233" s="1082"/>
      <c r="P233" s="1100"/>
      <c r="R233" s="312"/>
      <c r="S233" s="312"/>
    </row>
    <row r="234" spans="1:19" s="1010" customFormat="1">
      <c r="A234" s="1092"/>
      <c r="B234" s="1101" t="s">
        <v>34</v>
      </c>
      <c r="C234" s="1078" t="s">
        <v>36</v>
      </c>
      <c r="D234" s="1082">
        <f>IF(VLOOKUP(D209,ProductsRangeMkt,3,FALSE)="Special Offer",SpecialOfferm(D209,12,"FY-2"),MIN(D144,D159*capacity))</f>
        <v>0</v>
      </c>
      <c r="E234" s="1082">
        <f>IF(VLOOKUP(E209,ProductsRangeMkt,3,FALSE)="Special Offer",SpecialOfferm(E209,12,"FY-2"),MIN(E144,E159*capacity))</f>
        <v>511.42389525368242</v>
      </c>
      <c r="F234" s="1082">
        <f>IF(VLOOKUP(F209,ProductsRangeMkt,3,FALSE)="Special Offer",SpecialOfferm(F209,12,"FY-2"),MIN(F144,F159*capacity))</f>
        <v>0</v>
      </c>
      <c r="G234" s="1082">
        <f>IF(VLOOKUP(G209,ProductsRangeMkt,3,FALSE)="Special Offer",SpecialOfferm(G209,12,"FY-2"),MIN(G144,G159*capacity))</f>
        <v>0</v>
      </c>
      <c r="H234" s="1082">
        <f>IF(VLOOKUP(H209,ProductsRangeMkt,3,FALSE)="Special Offer",SpecialOfferm(H209,12,"FY-2"),MIN(H144,H159*capacity))</f>
        <v>1240</v>
      </c>
      <c r="I234" s="1082">
        <f>IF(VLOOKUP(I209,ProductsRangeMkt,3,FALSE)="Special Offer",SpecialOfferm(I209,12,"FY-2"),MIN(I144,I159*capacity))</f>
        <v>1240</v>
      </c>
      <c r="J234" s="1082">
        <f>IF(VLOOKUP(J209,ProductsRangeMkt,3,FALSE)="Special Offer",SpecialOfferm(J209,12,"FY-2"),MIN(J144,J159*capacity))</f>
        <v>0</v>
      </c>
      <c r="K234" s="1082">
        <f>IF(VLOOKUP(K209,ProductsRangeMkt,3,FALSE)="Special Offer",SpecialOfferm(K209,12,"FY-2"),MIN(K144,K159*capacity))</f>
        <v>4448.5761047463175</v>
      </c>
      <c r="L234" s="1082">
        <f>IF(VLOOKUP(L209,ProductsRangeMkt,3,FALSE)="Special Offer",SpecialOfferm(L209,12,"FY-2"),MIN(L144,L159*capacity))</f>
        <v>0</v>
      </c>
      <c r="M234" s="1082"/>
      <c r="N234" s="1082"/>
      <c r="O234" s="1082"/>
      <c r="P234" s="1100"/>
      <c r="R234" s="312"/>
      <c r="S234" s="312"/>
    </row>
    <row r="235" spans="1:19" s="1010" customFormat="1">
      <c r="A235" s="1092"/>
      <c r="B235" s="1101" t="s">
        <v>33</v>
      </c>
      <c r="C235" s="1077" t="s">
        <v>47</v>
      </c>
      <c r="D235" s="1082">
        <f>IF(VLOOKUP(D209,ProductsRangeMkt,3,FALSE)="Special Offer",SpecialOfferm(D209,1,"FY-3"),MIN(D178,D193*capacity))</f>
        <v>476.25769388592545</v>
      </c>
      <c r="E235" s="1082">
        <f>IF(VLOOKUP(E209,ProductsRangeMkt,3,FALSE)="Special Offer",SpecialOfferm(E209,1,"FY-3"),MIN(E178,E193*capacity))</f>
        <v>476.25769388592545</v>
      </c>
      <c r="F235" s="1082">
        <f>IF(VLOOKUP(F209,ProductsRangeMkt,3,FALSE)="Special Offer",SpecialOfferm(F209,1,"FY-3"),MIN(F178,F193*capacity))</f>
        <v>0</v>
      </c>
      <c r="G235" s="1082">
        <f>IF(VLOOKUP(G209,ProductsRangeMkt,3,FALSE)="Special Offer",SpecialOfferm(G209,1,"FY-3"),MIN(G178,G193*capacity))</f>
        <v>0</v>
      </c>
      <c r="H235" s="1082">
        <f>IF(VLOOKUP(H209,ProductsRangeMkt,3,FALSE)="Special Offer",SpecialOfferm(H209,1,"FY-3"),MIN(H178,H193*capacity))</f>
        <v>1240</v>
      </c>
      <c r="I235" s="1082">
        <f>IF(VLOOKUP(I209,ProductsRangeMkt,3,FALSE)="Special Offer",SpecialOfferm(I209,1,"FY-3"),MIN(I178,I193*capacity))</f>
        <v>1240</v>
      </c>
      <c r="J235" s="1082">
        <f>IF(VLOOKUP(J209,ProductsRangeMkt,3,FALSE)="Special Offer",SpecialOfferm(J209,1,"FY-3"),MIN(J178,J193*capacity))</f>
        <v>3243.7423061140748</v>
      </c>
      <c r="K235" s="1082">
        <f>IF(VLOOKUP(K209,ProductsRangeMkt,3,FALSE)="Special Offer",SpecialOfferm(K209,1,"FY-3"),MIN(K178,K193*capacity))</f>
        <v>3243.7423061140748</v>
      </c>
      <c r="L235" s="1082">
        <f>IF(VLOOKUP(L209,ProductsRangeMkt,3,FALSE)="Special Offer",SpecialOfferm(L209,1,"FY-3"),MIN(L178,L193*capacity))</f>
        <v>0</v>
      </c>
      <c r="M235" s="1082"/>
      <c r="N235" s="1082"/>
      <c r="O235" s="1082"/>
      <c r="P235" s="1100"/>
      <c r="R235" s="312"/>
      <c r="S235" s="312"/>
    </row>
    <row r="236" spans="1:19" s="1010" customFormat="1">
      <c r="A236" s="1091"/>
      <c r="B236" s="1101" t="s">
        <v>33</v>
      </c>
      <c r="C236" s="1077" t="s">
        <v>46</v>
      </c>
      <c r="D236" s="1082">
        <f>IF(VLOOKUP(D209,ProductsRangeMkt,3,FALSE)="Special Offer",SpecialOfferm(D209,2,"FY-3"),MIN(D179,D194*capacity))</f>
        <v>476.25769388592545</v>
      </c>
      <c r="E236" s="1082">
        <f>IF(VLOOKUP(E209,ProductsRangeMkt,3,FALSE)="Special Offer",SpecialOfferm(E209,2,"FY-3"),MIN(E179,E194*capacity))</f>
        <v>476.25769388592545</v>
      </c>
      <c r="F236" s="1082">
        <f>IF(VLOOKUP(F209,ProductsRangeMkt,3,FALSE)="Special Offer",SpecialOfferm(F209,2,"FY-3"),MIN(F179,F194*capacity))</f>
        <v>0</v>
      </c>
      <c r="G236" s="1082">
        <f>IF(VLOOKUP(G209,ProductsRangeMkt,3,FALSE)="Special Offer",SpecialOfferm(G209,2,"FY-3"),MIN(G179,G194*capacity))</f>
        <v>0</v>
      </c>
      <c r="H236" s="1082">
        <f>IF(VLOOKUP(H209,ProductsRangeMkt,3,FALSE)="Special Offer",SpecialOfferm(H209,2,"FY-3"),MIN(H179,H194*capacity))</f>
        <v>973.71445248000009</v>
      </c>
      <c r="I236" s="1082">
        <f>IF(VLOOKUP(I209,ProductsRangeMkt,3,FALSE)="Special Offer",SpecialOfferm(I209,2,"FY-3"),MIN(I179,I194*capacity))</f>
        <v>1240</v>
      </c>
      <c r="J236" s="1082">
        <f>IF(VLOOKUP(J209,ProductsRangeMkt,3,FALSE)="Special Offer",SpecialOfferm(J209,2,"FY-3"),MIN(J179,J194*capacity))</f>
        <v>3243.7423061140748</v>
      </c>
      <c r="K236" s="1082">
        <f>IF(VLOOKUP(K209,ProductsRangeMkt,3,FALSE)="Special Offer",SpecialOfferm(K209,2,"FY-3"),MIN(K179,K194*capacity))</f>
        <v>3243.7423061140748</v>
      </c>
      <c r="L236" s="1082">
        <f>IF(VLOOKUP(L209,ProductsRangeMkt,3,FALSE)="Special Offer",SpecialOfferm(L209,2,"FY-3"),MIN(L179,L194*capacity))</f>
        <v>266.28554751999945</v>
      </c>
      <c r="M236" s="1082"/>
      <c r="N236" s="1082"/>
      <c r="O236" s="1082"/>
      <c r="P236" s="1100"/>
      <c r="R236" s="312"/>
      <c r="S236" s="312"/>
    </row>
    <row r="237" spans="1:19" s="1010" customFormat="1">
      <c r="A237" s="1091"/>
      <c r="B237" s="1101" t="s">
        <v>33</v>
      </c>
      <c r="C237" s="1078" t="s">
        <v>45</v>
      </c>
      <c r="D237" s="1082">
        <f>IF(VLOOKUP(D209,ProductsRangeMkt,3,FALSE)="Special Offer",SpecialOfferm(D209,3,"FY-3"),MIN(D180,D195*capacity))</f>
        <v>405.5345911949687</v>
      </c>
      <c r="E237" s="1082">
        <f>IF(VLOOKUP(E209,ProductsRangeMkt,3,FALSE)="Special Offer",SpecialOfferm(E209,3,"FY-3"),MIN(E180,E195*capacity))</f>
        <v>405.5345911949687</v>
      </c>
      <c r="F237" s="1082">
        <f>IF(VLOOKUP(F209,ProductsRangeMkt,3,FALSE)="Special Offer",SpecialOfferm(F209,3,"FY-3"),MIN(F180,F195*capacity))</f>
        <v>0</v>
      </c>
      <c r="G237" s="1082">
        <f>IF(VLOOKUP(G209,ProductsRangeMkt,3,FALSE)="Special Offer",SpecialOfferm(G209,3,"FY-3"),MIN(G180,G195*capacity))</f>
        <v>720.80160767999996</v>
      </c>
      <c r="H237" s="1082">
        <f>IF(VLOOKUP(H209,ProductsRangeMkt,3,FALSE)="Special Offer",SpecialOfferm(H209,3,"FY-3"),MIN(H180,H195*capacity))</f>
        <v>973.71445248000009</v>
      </c>
      <c r="I237" s="1082">
        <f>IF(VLOOKUP(I209,ProductsRangeMkt,3,FALSE)="Special Offer",SpecialOfferm(I209,3,"FY-3"),MIN(I180,I195*capacity))</f>
        <v>910.48624128000006</v>
      </c>
      <c r="J237" s="1082">
        <f>IF(VLOOKUP(J209,ProductsRangeMkt,3,FALSE)="Special Offer",SpecialOfferm(J209,3,"FY-3"),MIN(J180,J195*capacity))</f>
        <v>3314.4654088050315</v>
      </c>
      <c r="K237" s="1082">
        <f>IF(VLOOKUP(K209,ProductsRangeMkt,3,FALSE)="Special Offer",SpecialOfferm(K209,3,"FY-3"),MIN(K180,K195*capacity))</f>
        <v>3314.4654088050315</v>
      </c>
      <c r="L237" s="1082">
        <f>IF(VLOOKUP(L209,ProductsRangeMkt,3,FALSE)="Special Offer",SpecialOfferm(L209,3,"FY-3"),MIN(L180,L195*capacity))</f>
        <v>1114.9976985600006</v>
      </c>
      <c r="M237" s="1082"/>
      <c r="N237" s="1082"/>
      <c r="O237" s="1082"/>
      <c r="P237" s="1086"/>
      <c r="R237" s="1086"/>
      <c r="S237" s="1086"/>
    </row>
    <row r="238" spans="1:19" s="1010" customFormat="1">
      <c r="A238" s="1087"/>
      <c r="B238" s="1101" t="s">
        <v>33</v>
      </c>
      <c r="C238" s="1078" t="s">
        <v>44</v>
      </c>
      <c r="D238" s="1082">
        <f>IF(VLOOKUP(D209,ProductsRangeMkt,3,FALSE)="Special Offer",SpecialOfferm(D209,4,"FY-3"),MIN(D181,D196*capacity))</f>
        <v>470.80012169151217</v>
      </c>
      <c r="E238" s="1082">
        <f>IF(VLOOKUP(E209,ProductsRangeMkt,3,FALSE)="Special Offer",SpecialOfferm(E209,4,"FY-3"),MIN(E181,E196*capacity))</f>
        <v>540.7127882599583</v>
      </c>
      <c r="F238" s="1082">
        <f>IF(VLOOKUP(F209,ProductsRangeMkt,3,FALSE)="Special Offer",SpecialOfferm(F209,4,"FY-3"),MIN(F181,F196*capacity))</f>
        <v>752.4157132800002</v>
      </c>
      <c r="G238" s="1082">
        <f>IF(VLOOKUP(G209,ProductsRangeMkt,3,FALSE)="Special Offer",SpecialOfferm(G209,4,"FY-3"),MIN(G181,G196*capacity))</f>
        <v>840.93520896000007</v>
      </c>
      <c r="H238" s="1082">
        <f>IF(VLOOKUP(H209,ProductsRangeMkt,3,FALSE)="Special Offer",SpecialOfferm(H209,4,"FY-3"),MIN(H181,H196*capacity))</f>
        <v>973.71445248000009</v>
      </c>
      <c r="I238" s="1082">
        <f>IF(VLOOKUP(I209,ProductsRangeMkt,3,FALSE)="Special Offer",SpecialOfferm(I209,4,"FY-3"),MIN(I181,I196*capacity))</f>
        <v>708.15596544000016</v>
      </c>
      <c r="J238" s="1082">
        <f>IF(VLOOKUP(J209,ProductsRangeMkt,3,FALSE)="Special Offer",SpecialOfferm(J209,4,"FY-3"),MIN(J181,J196*capacity))</f>
        <v>4489.1998783084882</v>
      </c>
      <c r="K238" s="1082">
        <f>IF(VLOOKUP(K209,ProductsRangeMkt,3,FALSE)="Special Offer",SpecialOfferm(K209,4,"FY-3"),MIN(K181,K196*capacity))</f>
        <v>4419.287211740042</v>
      </c>
      <c r="L238" s="1082">
        <f>IF(VLOOKUP(L209,ProductsRangeMkt,3,FALSE)="Special Offer",SpecialOfferm(L209,4,"FY-3"),MIN(L181,L196*capacity))</f>
        <v>1684.7786598400016</v>
      </c>
      <c r="M238" s="1082"/>
      <c r="N238" s="1082"/>
      <c r="O238" s="1082"/>
      <c r="P238" s="1086"/>
      <c r="R238" s="1086"/>
      <c r="S238" s="1086"/>
    </row>
    <row r="239" spans="1:19" s="1010" customFormat="1">
      <c r="A239" s="1087"/>
      <c r="B239" s="1101" t="s">
        <v>33</v>
      </c>
      <c r="C239" s="1078" t="s">
        <v>43</v>
      </c>
      <c r="D239" s="1082">
        <f>IF(VLOOKUP(D209,ProductsRangeMkt,3,FALSE)="Special Offer",SpecialOfferm(D209,5,"FY-3"),MIN(D182,D197*capacity))</f>
        <v>657.57339648000004</v>
      </c>
      <c r="E239" s="1082">
        <f>IF(VLOOKUP(E209,ProductsRangeMkt,3,FALSE)="Special Offer",SpecialOfferm(E209,5,"FY-3"),MIN(E182,E197*capacity))</f>
        <v>657.57339648000004</v>
      </c>
      <c r="F239" s="1082">
        <f>IF(VLOOKUP(F209,ProductsRangeMkt,3,FALSE)="Special Offer",SpecialOfferm(F209,5,"FY-3"),MIN(F182,F197*capacity))</f>
        <v>859.90367232000017</v>
      </c>
      <c r="G239" s="1082">
        <f>IF(VLOOKUP(G209,ProductsRangeMkt,3,FALSE)="Special Offer",SpecialOfferm(G209,5,"FY-3"),MIN(G182,G197*capacity))</f>
        <v>961.06881024000006</v>
      </c>
      <c r="H239" s="1082">
        <f>IF(VLOOKUP(H209,ProductsRangeMkt,3,FALSE)="Special Offer",SpecialOfferm(H209,5,"FY-3"),MIN(H182,H197*capacity))</f>
        <v>834.61238784</v>
      </c>
      <c r="I239" s="1082">
        <f>IF(VLOOKUP(I209,ProductsRangeMkt,3,FALSE)="Special Offer",SpecialOfferm(I209,5,"FY-3"),MIN(I182,I197*capacity))</f>
        <v>0</v>
      </c>
      <c r="J239" s="1082">
        <f>IF(VLOOKUP(J209,ProductsRangeMkt,3,FALSE)="Special Offer",SpecialOfferm(J209,5,"FY-3"),MIN(J182,J197*capacity))</f>
        <v>5374.3979519999993</v>
      </c>
      <c r="K239" s="1082">
        <f>IF(VLOOKUP(K209,ProductsRangeMkt,3,FALSE)="Special Offer",SpecialOfferm(K209,5,"FY-3"),MIN(K182,K197*capacity))</f>
        <v>5374.3979519999993</v>
      </c>
      <c r="L239" s="1082">
        <f>IF(VLOOKUP(L209,ProductsRangeMkt,3,FALSE)="Special Offer",SpecialOfferm(L209,5,"FY-3"),MIN(L182,L197*capacity))</f>
        <v>1400.472432640001</v>
      </c>
      <c r="M239" s="1082"/>
      <c r="N239" s="1082"/>
      <c r="O239" s="1082"/>
      <c r="P239" s="1086"/>
      <c r="R239" s="1086"/>
      <c r="S239" s="1086"/>
    </row>
    <row r="240" spans="1:19" s="1010" customFormat="1">
      <c r="A240" s="1087"/>
      <c r="B240" s="1101" t="s">
        <v>33</v>
      </c>
      <c r="C240" s="1078" t="s">
        <v>42</v>
      </c>
      <c r="D240" s="1082">
        <f>IF(VLOOKUP(D209,ProductsRangeMkt,3,FALSE)="Special Offer",SpecialOfferm(D209,6,"FY-3"),MIN(D183,D198*capacity))</f>
        <v>946.24737945492689</v>
      </c>
      <c r="E240" s="1082">
        <f>IF(VLOOKUP(E209,ProductsRangeMkt,3,FALSE)="Special Offer",SpecialOfferm(E209,6,"FY-3"),MIN(E183,E198*capacity))</f>
        <v>882.55495644960615</v>
      </c>
      <c r="F240" s="1082">
        <f>IF(VLOOKUP(F209,ProductsRangeMkt,3,FALSE)="Special Offer",SpecialOfferm(F209,6,"FY-3"),MIN(F183,F198*capacity))</f>
        <v>859.90367232000017</v>
      </c>
      <c r="G240" s="1082">
        <f>IF(VLOOKUP(G209,ProductsRangeMkt,3,FALSE)="Special Offer",SpecialOfferm(G209,6,"FY-3"),MIN(G183,G198*capacity))</f>
        <v>1201.3360128000002</v>
      </c>
      <c r="H240" s="1082">
        <f>IF(VLOOKUP(H209,ProductsRangeMkt,3,FALSE)="Special Offer",SpecialOfferm(H209,6,"FY-3"),MIN(H183,H198*capacity))</f>
        <v>0</v>
      </c>
      <c r="I240" s="1082">
        <f>IF(VLOOKUP(I209,ProductsRangeMkt,3,FALSE)="Special Offer",SpecialOfferm(I209,6,"FY-3"),MIN(I183,I198*capacity))</f>
        <v>0</v>
      </c>
      <c r="J240" s="1082">
        <f>IF(VLOOKUP(J209,ProductsRangeMkt,3,FALSE)="Special Offer",SpecialOfferm(J209,6,"FY-3"),MIN(J183,J198*capacity))</f>
        <v>7733.752620545074</v>
      </c>
      <c r="K240" s="1082">
        <f>IF(VLOOKUP(K209,ProductsRangeMkt,3,FALSE)="Special Offer",SpecialOfferm(K209,6,"FY-3"),MIN(K183,K198*capacity))</f>
        <v>6557.4450435503941</v>
      </c>
      <c r="L240" s="1082">
        <f>IF(VLOOKUP(L209,ProductsRangeMkt,3,FALSE)="Special Offer",SpecialOfferm(L209,6,"FY-3"),MIN(L183,L198*capacity))</f>
        <v>418.76031487999717</v>
      </c>
      <c r="M240" s="1082"/>
      <c r="N240" s="1082"/>
      <c r="O240" s="1082"/>
      <c r="P240" s="1086"/>
      <c r="R240" s="1086"/>
      <c r="S240" s="1086"/>
    </row>
    <row r="241" spans="1:20" s="1010" customFormat="1">
      <c r="A241" s="1092"/>
      <c r="B241" s="1101" t="s">
        <v>33</v>
      </c>
      <c r="C241" s="1078" t="s">
        <v>41</v>
      </c>
      <c r="D241" s="1082">
        <f>IF(VLOOKUP(D209,ProductsRangeMkt,3,FALSE)="Special Offer",SpecialOfferm(D209,7,"FY-3"),MIN(D184,D199*capacity))</f>
        <v>946.24737945492689</v>
      </c>
      <c r="E241" s="1082">
        <f>IF(VLOOKUP(E209,ProductsRangeMkt,3,FALSE)="Special Offer",SpecialOfferm(E209,7,"FY-3"),MIN(E184,E199*capacity))</f>
        <v>876.12002264578257</v>
      </c>
      <c r="F241" s="1082">
        <f>IF(VLOOKUP(F209,ProductsRangeMkt,3,FALSE)="Special Offer",SpecialOfferm(F209,7,"FY-3"),MIN(F184,F199*capacity))</f>
        <v>1240</v>
      </c>
      <c r="G241" s="1082">
        <f>IF(VLOOKUP(G209,ProductsRangeMkt,3,FALSE)="Special Offer",SpecialOfferm(G209,7,"FY-3"),MIN(G184,G199*capacity))</f>
        <v>1201.3360128000002</v>
      </c>
      <c r="H241" s="1082">
        <f>IF(VLOOKUP(H209,ProductsRangeMkt,3,FALSE)="Special Offer",SpecialOfferm(H209,7,"FY-3"),MIN(H184,H199*capacity))</f>
        <v>834.61238784</v>
      </c>
      <c r="I241" s="1082">
        <f>IF(VLOOKUP(I209,ProductsRangeMkt,3,FALSE)="Special Offer",SpecialOfferm(I209,7,"FY-3"),MIN(I184,I199*capacity))</f>
        <v>0</v>
      </c>
      <c r="J241" s="1082">
        <f>IF(VLOOKUP(J209,ProductsRangeMkt,3,FALSE)="Special Offer",SpecialOfferm(J209,7,"FY-3"),MIN(J184,J199*capacity))</f>
        <v>7733.752620545074</v>
      </c>
      <c r="K241" s="1082">
        <f>IF(VLOOKUP(K209,ProductsRangeMkt,3,FALSE)="Special Offer",SpecialOfferm(K209,7,"FY-3"),MIN(K184,K199*capacity))</f>
        <v>6563.8799773542187</v>
      </c>
      <c r="L241" s="1082">
        <f>IF(VLOOKUP(L209,ProductsRangeMkt,3,FALSE)="Special Offer",SpecialOfferm(L209,7,"FY-3"),MIN(L184,L199*capacity))</f>
        <v>444.051599360002</v>
      </c>
      <c r="M241" s="1082"/>
      <c r="N241" s="1082"/>
      <c r="O241" s="1082"/>
      <c r="P241" s="1100"/>
      <c r="R241" s="312"/>
      <c r="S241" s="312"/>
    </row>
    <row r="242" spans="1:20" s="1010" customFormat="1">
      <c r="A242" s="1092"/>
      <c r="B242" s="1101" t="s">
        <v>33</v>
      </c>
      <c r="C242" s="1078" t="s">
        <v>40</v>
      </c>
      <c r="D242" s="1082">
        <f>IF(VLOOKUP(D209,ProductsRangeMkt,3,FALSE)="Special Offer",SpecialOfferm(D209,8,"FY-3"),MIN(D185,D200*capacity))</f>
        <v>946.24737945492689</v>
      </c>
      <c r="E242" s="1082">
        <f>IF(VLOOKUP(E209,ProductsRangeMkt,3,FALSE)="Special Offer",SpecialOfferm(E209,8,"FY-3"),MIN(E185,E200*capacity))</f>
        <v>875.34555712270821</v>
      </c>
      <c r="F242" s="1082">
        <f>IF(VLOOKUP(F209,ProductsRangeMkt,3,FALSE)="Special Offer",SpecialOfferm(F209,8,"FY-3"),MIN(F185,F200*capacity))</f>
        <v>1240</v>
      </c>
      <c r="G242" s="1082">
        <f>IF(VLOOKUP(G209,ProductsRangeMkt,3,FALSE)="Special Offer",SpecialOfferm(G209,8,"FY-3"),MIN(G185,G200*capacity))</f>
        <v>1240</v>
      </c>
      <c r="H242" s="1082">
        <f>IF(VLOOKUP(H209,ProductsRangeMkt,3,FALSE)="Special Offer",SpecialOfferm(H209,8,"FY-3"),MIN(H185,H200*capacity))</f>
        <v>973.71445248000009</v>
      </c>
      <c r="I242" s="1082">
        <f>IF(VLOOKUP(I209,ProductsRangeMkt,3,FALSE)="Special Offer",SpecialOfferm(I209,8,"FY-3"),MIN(I185,I200*capacity))</f>
        <v>0</v>
      </c>
      <c r="J242" s="1082">
        <f>IF(VLOOKUP(J209,ProductsRangeMkt,3,FALSE)="Special Offer",SpecialOfferm(J209,8,"FY-3"),MIN(J185,J200*capacity))</f>
        <v>7733.752620545074</v>
      </c>
      <c r="K242" s="1082">
        <f>IF(VLOOKUP(K209,ProductsRangeMkt,3,FALSE)="Special Offer",SpecialOfferm(K209,8,"FY-3"),MIN(K185,K200*capacity))</f>
        <v>7804.6544428772904</v>
      </c>
      <c r="L242" s="1082">
        <f>IF(VLOOKUP(L209,ProductsRangeMkt,3,FALSE)="Special Offer",SpecialOfferm(L209,8,"FY-3"),MIN(L185,L200*capacity))</f>
        <v>266.28554751999764</v>
      </c>
      <c r="M242" s="1082"/>
      <c r="N242" s="1082"/>
      <c r="O242" s="1082"/>
      <c r="P242" s="1100"/>
      <c r="R242" s="312"/>
      <c r="S242" s="312"/>
    </row>
    <row r="243" spans="1:20" s="1010" customFormat="1">
      <c r="A243" s="1092"/>
      <c r="B243" s="1101" t="s">
        <v>33</v>
      </c>
      <c r="C243" s="1078" t="s">
        <v>39</v>
      </c>
      <c r="D243" s="1082">
        <f>IF(VLOOKUP(D209,ProductsRangeMkt,3,FALSE)="Special Offer",SpecialOfferm(D209,9,"FY-3"),MIN(D186,D201*capacity))</f>
        <v>811.0691823899374</v>
      </c>
      <c r="E243" s="1082">
        <f>IF(VLOOKUP(E209,ProductsRangeMkt,3,FALSE)="Special Offer",SpecialOfferm(E209,9,"FY-3"),MIN(E186,E201*capacity))</f>
        <v>803.13167259786496</v>
      </c>
      <c r="F243" s="1082">
        <f>IF(VLOOKUP(F209,ProductsRangeMkt,3,FALSE)="Special Offer",SpecialOfferm(F209,9,"FY-3"),MIN(F186,F201*capacity))</f>
        <v>1240</v>
      </c>
      <c r="G243" s="1082">
        <f>IF(VLOOKUP(G209,ProductsRangeMkt,3,FALSE)="Special Offer",SpecialOfferm(G209,9,"FY-3"),MIN(G186,G201*capacity))</f>
        <v>1240</v>
      </c>
      <c r="H243" s="1082">
        <f>IF(VLOOKUP(H209,ProductsRangeMkt,3,FALSE)="Special Offer",SpecialOfferm(H209,9,"FY-3"),MIN(H186,H201*capacity))</f>
        <v>1112.8165171200001</v>
      </c>
      <c r="I243" s="1082">
        <f>IF(VLOOKUP(I209,ProductsRangeMkt,3,FALSE)="Special Offer",SpecialOfferm(I209,9,"FY-3"),MIN(I186,I201*capacity))</f>
        <v>0</v>
      </c>
      <c r="J243" s="1082">
        <f>IF(VLOOKUP(J209,ProductsRangeMkt,3,FALSE)="Special Offer",SpecialOfferm(J209,9,"FY-3"),MIN(J186,J201*capacity))</f>
        <v>6628.9308176100621</v>
      </c>
      <c r="K243" s="1082">
        <f>IF(VLOOKUP(K209,ProductsRangeMkt,3,FALSE)="Special Offer",SpecialOfferm(K209,9,"FY-3"),MIN(K186,K201*capacity))</f>
        <v>7876.868327402135</v>
      </c>
      <c r="L243" s="1082">
        <f>IF(VLOOKUP(L209,ProductsRangeMkt,3,FALSE)="Special Offer",SpecialOfferm(L209,9,"FY-3"),MIN(L186,L201*capacity))</f>
        <v>127.18348287999834</v>
      </c>
      <c r="M243" s="1082"/>
      <c r="N243" s="1082"/>
      <c r="O243" s="1082"/>
      <c r="P243" s="1100"/>
      <c r="R243" s="312"/>
      <c r="S243" s="312"/>
    </row>
    <row r="244" spans="1:20" s="1010" customFormat="1">
      <c r="A244" s="1092"/>
      <c r="B244" s="1101" t="s">
        <v>33</v>
      </c>
      <c r="C244" s="1078" t="s">
        <v>38</v>
      </c>
      <c r="D244" s="1082">
        <f>IF(VLOOKUP(D209,ProductsRangeMkt,3,FALSE)="Special Offer",SpecialOfferm(D209,10,"FY-3"),MIN(D187,D202*capacity))</f>
        <v>742.00230149597269</v>
      </c>
      <c r="E244" s="1082">
        <f>IF(VLOOKUP(E209,ProductsRangeMkt,3,FALSE)="Special Offer",SpecialOfferm(E209,10,"FY-3"),MIN(E187,E202*capacity))</f>
        <v>744.71607314725713</v>
      </c>
      <c r="F244" s="1082">
        <f>IF(VLOOKUP(F209,ProductsRangeMkt,3,FALSE)="Special Offer",SpecialOfferm(F209,10,"FY-3"),MIN(F187,F202*capacity))</f>
        <v>1182.3675494400002</v>
      </c>
      <c r="G244" s="1082">
        <f>IF(VLOOKUP(G209,ProductsRangeMkt,3,FALSE)="Special Offer",SpecialOfferm(G209,10,"FY-3"),MIN(G187,G202*capacity))</f>
        <v>1240</v>
      </c>
      <c r="H244" s="1082">
        <f>IF(VLOOKUP(H209,ProductsRangeMkt,3,FALSE)="Special Offer",SpecialOfferm(H209,10,"FY-3"),MIN(H187,H202*capacity))</f>
        <v>1240</v>
      </c>
      <c r="I244" s="1082">
        <f>IF(VLOOKUP(I209,ProductsRangeMkt,3,FALSE)="Special Offer",SpecialOfferm(I209,10,"FY-3"),MIN(I187,I202*capacity))</f>
        <v>1112.8165171200001</v>
      </c>
      <c r="J244" s="1082">
        <f>IF(VLOOKUP(J209,ProductsRangeMkt,3,FALSE)="Special Offer",SpecialOfferm(J209,10,"FY-3"),MIN(J187,J202*capacity))</f>
        <v>5457.9976985040275</v>
      </c>
      <c r="K244" s="1082">
        <f>IF(VLOOKUP(K209,ProductsRangeMkt,3,FALSE)="Special Offer",SpecialOfferm(K209,10,"FY-3"),MIN(K187,K202*capacity))</f>
        <v>6695.2839268527423</v>
      </c>
      <c r="L244" s="1082">
        <f>IF(VLOOKUP(L209,ProductsRangeMkt,3,FALSE)="Special Offer",SpecialOfferm(L209,10,"FY-3"),MIN(L187,L202*capacity))</f>
        <v>184.81593344000066</v>
      </c>
      <c r="M244" s="1082"/>
      <c r="N244" s="1082"/>
      <c r="O244" s="1082"/>
      <c r="P244" s="1100"/>
      <c r="R244" s="312"/>
      <c r="S244" s="312"/>
    </row>
    <row r="245" spans="1:20" s="1010" customFormat="1">
      <c r="A245" s="1092"/>
      <c r="B245" s="1101" t="s">
        <v>33</v>
      </c>
      <c r="C245" s="1078" t="s">
        <v>37</v>
      </c>
      <c r="D245" s="1082">
        <f>IF(VLOOKUP(D209,ProductsRangeMkt,3,FALSE)="Special Offer",SpecialOfferm(D209,11,"FY-3"),MIN(D188,D203*capacity))</f>
        <v>470.80012169151217</v>
      </c>
      <c r="E245" s="1082">
        <f>IF(VLOOKUP(E209,ProductsRangeMkt,3,FALSE)="Special Offer",SpecialOfferm(E209,11,"FY-3"),MIN(E188,E203*capacity))</f>
        <v>470.80012169151217</v>
      </c>
      <c r="F245" s="1082">
        <f>IF(VLOOKUP(F209,ProductsRangeMkt,3,FALSE)="Special Offer",SpecialOfferm(F209,11,"FY-3"),MIN(F188,F203*capacity))</f>
        <v>752.4157132800002</v>
      </c>
      <c r="G245" s="1082">
        <f>IF(VLOOKUP(G209,ProductsRangeMkt,3,FALSE)="Special Offer",SpecialOfferm(G209,11,"FY-3"),MIN(G188,G203*capacity))</f>
        <v>840.93520896000007</v>
      </c>
      <c r="H245" s="1082">
        <f>IF(VLOOKUP(H209,ProductsRangeMkt,3,FALSE)="Special Offer",SpecialOfferm(H209,11,"FY-3"),MIN(H188,H203*capacity))</f>
        <v>1240</v>
      </c>
      <c r="I245" s="1082">
        <f>IF(VLOOKUP(I209,ProductsRangeMkt,3,FALSE)="Special Offer",SpecialOfferm(I209,11,"FY-3"),MIN(I188,I203*capacity))</f>
        <v>1240</v>
      </c>
      <c r="J245" s="1082">
        <f>IF(VLOOKUP(J209,ProductsRangeMkt,3,FALSE)="Special Offer",SpecialOfferm(J209,11,"FY-3"),MIN(J188,J203*capacity))</f>
        <v>4489.1998783084882</v>
      </c>
      <c r="K245" s="1082">
        <f>IF(VLOOKUP(K209,ProductsRangeMkt,3,FALSE)="Special Offer",SpecialOfferm(K209,11,"FY-3"),MIN(K188,K203*capacity))</f>
        <v>4489.1998783084882</v>
      </c>
      <c r="L245" s="1082">
        <f>IF(VLOOKUP(L209,ProductsRangeMkt,3,FALSE)="Special Offer",SpecialOfferm(L209,11,"FY-3"),MIN(L188,L203*capacity))</f>
        <v>886.64907775999745</v>
      </c>
      <c r="M245" s="1082"/>
      <c r="N245" s="1082"/>
      <c r="O245" s="1082"/>
      <c r="P245" s="1100"/>
      <c r="R245" s="312"/>
      <c r="S245" s="312"/>
    </row>
    <row r="246" spans="1:20" s="1010" customFormat="1">
      <c r="A246" s="1092"/>
      <c r="B246" s="1101" t="s">
        <v>33</v>
      </c>
      <c r="C246" s="1078" t="s">
        <v>36</v>
      </c>
      <c r="D246" s="1082">
        <f>IF(VLOOKUP(D209,ProductsRangeMkt,3,FALSE)="Special Offer",SpecialOfferm(D209,12,"FY-3"),MIN(D189,D204*capacity))</f>
        <v>470.80012169151217</v>
      </c>
      <c r="E246" s="1082">
        <f>IF(VLOOKUP(E209,ProductsRangeMkt,3,FALSE)="Special Offer",SpecialOfferm(E209,12,"FY-3"),MIN(E189,E204*capacity))</f>
        <v>464.68085106382995</v>
      </c>
      <c r="F246" s="1082">
        <f>IF(VLOOKUP(F209,ProductsRangeMkt,3,FALSE)="Special Offer",SpecialOfferm(F209,12,"FY-3"),MIN(F189,F204*capacity))</f>
        <v>752.4157132800002</v>
      </c>
      <c r="G246" s="1082">
        <f>IF(VLOOKUP(G209,ProductsRangeMkt,3,FALSE)="Special Offer",SpecialOfferm(G209,12,"FY-3"),MIN(G189,G204*capacity))</f>
        <v>840.93520896000007</v>
      </c>
      <c r="H246" s="1082">
        <f>IF(VLOOKUP(H209,ProductsRangeMkt,3,FALSE)="Special Offer",SpecialOfferm(H209,12,"FY-3"),MIN(H189,H204*capacity))</f>
        <v>1240</v>
      </c>
      <c r="I246" s="1082">
        <f>IF(VLOOKUP(I209,ProductsRangeMkt,3,FALSE)="Special Offer",SpecialOfferm(I209,12,"FY-3"),MIN(I189,I204*capacity))</f>
        <v>1240</v>
      </c>
      <c r="J246" s="1082">
        <f>IF(VLOOKUP(J209,ProductsRangeMkt,3,FALSE)="Special Offer",SpecialOfferm(J209,12,"FY-3"),MIN(J189,J204*capacity))</f>
        <v>4489.1998783084882</v>
      </c>
      <c r="K246" s="1082">
        <f>IF(VLOOKUP(K209,ProductsRangeMkt,3,FALSE)="Special Offer",SpecialOfferm(K209,12,"FY-3"),MIN(K189,K204*capacity))</f>
        <v>3255.3191489361702</v>
      </c>
      <c r="L246" s="1082">
        <f>IF(VLOOKUP(L209,ProductsRangeMkt,3,FALSE)="Special Offer",SpecialOfferm(L209,12,"FY-3"),MIN(L189,L204*capacity))</f>
        <v>886.64907775999745</v>
      </c>
      <c r="M246" s="1082"/>
      <c r="N246" s="1082"/>
      <c r="O246" s="1082"/>
      <c r="P246" s="1100"/>
      <c r="R246" s="312"/>
      <c r="S246" s="312"/>
    </row>
    <row r="247" spans="1:20" s="1010" customFormat="1">
      <c r="A247" s="1092"/>
      <c r="D247" s="1082"/>
      <c r="E247" s="1082"/>
      <c r="F247" s="1082"/>
      <c r="G247" s="1082"/>
      <c r="H247" s="1082"/>
      <c r="I247" s="1082"/>
      <c r="J247" s="307"/>
      <c r="K247" s="1102"/>
      <c r="L247" s="307"/>
      <c r="M247" s="307"/>
      <c r="N247" s="1085"/>
      <c r="O247" s="1100"/>
      <c r="P247" s="1100"/>
      <c r="R247" s="312"/>
      <c r="S247" s="312"/>
    </row>
    <row r="248" spans="1:20" s="1047" customFormat="1" ht="15.75">
      <c r="A248" s="1344"/>
      <c r="B248" s="1345"/>
      <c r="C248" s="1346"/>
      <c r="D248" s="1012"/>
      <c r="E248" s="1012"/>
      <c r="F248" s="1012"/>
      <c r="G248" s="1012"/>
      <c r="H248" s="1012"/>
      <c r="I248" s="1012"/>
      <c r="J248" s="1012"/>
      <c r="K248" s="1012"/>
      <c r="L248" s="1012"/>
      <c r="M248" s="1012"/>
      <c r="N248" s="1012"/>
      <c r="O248" s="1012"/>
      <c r="P248" s="1012"/>
      <c r="Q248" s="1012"/>
      <c r="R248" s="1012"/>
      <c r="S248" s="1012"/>
      <c r="T248" s="1014"/>
    </row>
    <row r="249" spans="1:20" s="1047" customFormat="1" ht="12">
      <c r="B249" s="1105"/>
      <c r="C249" s="1013"/>
      <c r="D249" s="1013"/>
      <c r="E249" s="1012"/>
      <c r="F249" s="1012"/>
      <c r="G249" s="1012"/>
      <c r="H249" s="1012"/>
      <c r="I249" s="1012"/>
      <c r="J249" s="1012"/>
      <c r="K249" s="1012"/>
      <c r="L249" s="1012"/>
      <c r="M249" s="1012"/>
      <c r="N249" s="1012"/>
      <c r="O249" s="1012"/>
      <c r="P249" s="1012"/>
      <c r="Q249" s="1012"/>
      <c r="R249" s="1012"/>
      <c r="S249" s="1012"/>
      <c r="T249" s="1014"/>
    </row>
    <row r="250" spans="1:20" s="1331" customFormat="1" ht="11.25">
      <c r="B250" s="1012"/>
      <c r="C250" s="1012"/>
      <c r="D250" s="1012"/>
      <c r="E250" s="1347"/>
      <c r="F250" s="1046"/>
      <c r="G250" s="1012"/>
      <c r="H250" s="1012"/>
      <c r="I250" s="1012"/>
      <c r="J250" s="1012"/>
      <c r="K250" s="1012"/>
      <c r="L250" s="1012"/>
      <c r="M250" s="1012"/>
      <c r="N250" s="1012"/>
      <c r="O250" s="1012"/>
      <c r="P250" s="1012"/>
      <c r="Q250" s="1012"/>
      <c r="R250" s="1012"/>
      <c r="S250" s="1012"/>
      <c r="T250" s="1014"/>
    </row>
    <row r="251" spans="1:20" s="1331" customFormat="1" ht="15" customHeight="1">
      <c r="B251" s="1069"/>
      <c r="C251" s="1029"/>
      <c r="D251" s="1020"/>
      <c r="E251" s="1029"/>
      <c r="F251" s="1029"/>
      <c r="G251" s="1029"/>
      <c r="H251" s="1029"/>
      <c r="I251" s="1018"/>
      <c r="J251" s="1018"/>
      <c r="K251" s="264"/>
      <c r="L251" s="1018"/>
      <c r="M251" s="1018"/>
      <c r="N251" s="1039"/>
      <c r="O251" s="1040"/>
      <c r="P251" s="1039"/>
      <c r="Q251" s="1039"/>
      <c r="R251" s="1018"/>
      <c r="S251" s="1018"/>
    </row>
    <row r="252" spans="1:20" s="1331" customFormat="1" ht="11.25">
      <c r="B252" s="1018"/>
      <c r="C252" s="1029"/>
      <c r="D252" s="1029"/>
      <c r="E252" s="1029"/>
      <c r="F252" s="1029"/>
      <c r="G252" s="1029"/>
      <c r="H252" s="1029"/>
      <c r="I252" s="264"/>
      <c r="J252" s="264"/>
      <c r="K252" s="302"/>
      <c r="L252" s="1018"/>
      <c r="M252" s="1029"/>
      <c r="N252" s="1041"/>
      <c r="O252" s="1039"/>
      <c r="P252" s="1039"/>
      <c r="Q252" s="1039"/>
      <c r="R252" s="1018"/>
      <c r="S252" s="1018"/>
    </row>
    <row r="253" spans="1:20" s="1331" customFormat="1" ht="11.25">
      <c r="B253" s="1018"/>
      <c r="C253" s="1029"/>
      <c r="D253" s="302"/>
      <c r="E253" s="302"/>
      <c r="F253" s="302"/>
      <c r="G253" s="1029"/>
      <c r="H253" s="302"/>
      <c r="I253" s="264"/>
      <c r="J253" s="302"/>
      <c r="K253" s="302"/>
      <c r="L253" s="1018"/>
      <c r="M253" s="1029"/>
      <c r="N253" s="299"/>
      <c r="O253" s="300"/>
      <c r="P253" s="300"/>
      <c r="Q253" s="1039"/>
      <c r="R253" s="1018"/>
      <c r="S253" s="1018"/>
    </row>
    <row r="254" spans="1:20" s="1331" customFormat="1" ht="11.25">
      <c r="B254" s="1018"/>
      <c r="C254" s="1029"/>
      <c r="D254" s="1029"/>
      <c r="E254" s="1029"/>
      <c r="F254" s="1029"/>
      <c r="G254" s="1029"/>
      <c r="H254" s="302"/>
      <c r="I254" s="264"/>
      <c r="J254" s="264"/>
      <c r="K254" s="302"/>
      <c r="L254" s="1018"/>
      <c r="M254" s="1029"/>
      <c r="N254" s="299"/>
      <c r="O254" s="301"/>
      <c r="P254" s="301"/>
      <c r="Q254" s="1039"/>
      <c r="R254" s="1018"/>
      <c r="S254" s="1018"/>
    </row>
    <row r="255" spans="1:20" s="1331" customFormat="1" ht="11.25">
      <c r="B255" s="1018"/>
      <c r="C255" s="1029"/>
      <c r="D255" s="1029"/>
      <c r="E255" s="1029"/>
      <c r="F255" s="1029"/>
      <c r="G255" s="1029"/>
      <c r="H255" s="302"/>
      <c r="I255" s="264"/>
      <c r="J255" s="264"/>
      <c r="K255" s="302"/>
      <c r="L255" s="1018"/>
      <c r="M255" s="1029"/>
      <c r="N255" s="299"/>
      <c r="O255" s="300"/>
      <c r="P255" s="301"/>
      <c r="Q255" s="1039"/>
      <c r="R255" s="1018"/>
      <c r="S255" s="1018"/>
    </row>
    <row r="256" spans="1:20" s="1331" customFormat="1" ht="11.25">
      <c r="B256" s="1018"/>
      <c r="C256" s="1029"/>
      <c r="D256" s="302"/>
      <c r="E256" s="302"/>
      <c r="F256" s="302"/>
      <c r="G256" s="1029"/>
      <c r="H256" s="302"/>
      <c r="I256" s="264"/>
      <c r="J256" s="302"/>
      <c r="K256" s="302"/>
      <c r="L256" s="1018"/>
      <c r="M256" s="1029"/>
      <c r="N256" s="299"/>
      <c r="O256" s="300"/>
      <c r="P256" s="300"/>
      <c r="Q256" s="1039"/>
      <c r="R256" s="1018"/>
      <c r="S256" s="1018"/>
    </row>
    <row r="257" spans="2:19" s="1331" customFormat="1" ht="11.25">
      <c r="B257" s="1018"/>
      <c r="C257" s="1029"/>
      <c r="D257" s="1029"/>
      <c r="E257" s="1029"/>
      <c r="F257" s="1029"/>
      <c r="G257" s="1029"/>
      <c r="H257" s="302"/>
      <c r="I257" s="264"/>
      <c r="J257" s="264"/>
      <c r="K257" s="302"/>
      <c r="L257" s="1018"/>
      <c r="M257" s="1029"/>
      <c r="N257" s="299"/>
      <c r="O257" s="313"/>
      <c r="P257" s="301"/>
      <c r="Q257" s="1039"/>
      <c r="R257" s="1018"/>
      <c r="S257" s="1018"/>
    </row>
    <row r="258" spans="2:19" s="1331" customFormat="1" ht="11.25">
      <c r="B258" s="1018"/>
      <c r="C258" s="1029"/>
      <c r="D258" s="1029"/>
      <c r="E258" s="1029"/>
      <c r="F258" s="1029"/>
      <c r="G258" s="1029"/>
      <c r="H258" s="302"/>
      <c r="I258" s="264"/>
      <c r="J258" s="264"/>
      <c r="K258" s="302"/>
      <c r="L258" s="1018"/>
      <c r="M258" s="1029"/>
      <c r="N258" s="299"/>
      <c r="O258" s="300"/>
      <c r="P258" s="301"/>
      <c r="Q258" s="1039"/>
      <c r="R258" s="1018"/>
      <c r="S258" s="1018"/>
    </row>
    <row r="259" spans="2:19" s="1331" customFormat="1" ht="11.25">
      <c r="B259" s="1018"/>
      <c r="C259" s="1029"/>
      <c r="D259" s="302"/>
      <c r="E259" s="302"/>
      <c r="F259" s="302"/>
      <c r="G259" s="1029"/>
      <c r="H259" s="302"/>
      <c r="I259" s="264"/>
      <c r="J259" s="302"/>
      <c r="K259" s="302"/>
      <c r="L259" s="1029"/>
      <c r="M259" s="1029"/>
      <c r="N259" s="299"/>
      <c r="O259" s="300"/>
      <c r="P259" s="300"/>
      <c r="Q259" s="1039"/>
      <c r="R259" s="1018"/>
      <c r="S259" s="1018"/>
    </row>
    <row r="260" spans="2:19" s="1331" customFormat="1" ht="11.25">
      <c r="B260" s="1018"/>
      <c r="C260" s="1029"/>
      <c r="D260" s="1029"/>
      <c r="E260" s="1029"/>
      <c r="F260" s="1029"/>
      <c r="G260" s="1029"/>
      <c r="H260" s="302"/>
      <c r="I260" s="264"/>
      <c r="J260" s="264"/>
      <c r="K260" s="302"/>
      <c r="L260" s="1029"/>
      <c r="M260" s="1029"/>
      <c r="N260" s="314"/>
      <c r="O260" s="315"/>
      <c r="P260" s="315"/>
      <c r="Q260" s="1018"/>
      <c r="R260" s="1018"/>
      <c r="S260" s="1018"/>
    </row>
    <row r="261" spans="2:19" s="1331" customFormat="1" ht="11.25">
      <c r="B261" s="1018"/>
      <c r="C261" s="1029"/>
      <c r="D261" s="1029"/>
      <c r="E261" s="1029"/>
      <c r="F261" s="1029"/>
      <c r="G261" s="1029"/>
      <c r="H261" s="302"/>
      <c r="I261" s="264"/>
      <c r="J261" s="264"/>
      <c r="K261" s="302"/>
      <c r="L261" s="1029"/>
      <c r="M261" s="1029"/>
      <c r="N261" s="314"/>
      <c r="O261" s="316"/>
      <c r="P261" s="315"/>
      <c r="Q261" s="1018"/>
      <c r="R261" s="1018"/>
      <c r="S261" s="1018"/>
    </row>
    <row r="262" spans="2:19" s="1331" customFormat="1" ht="11.25">
      <c r="B262" s="1018"/>
      <c r="C262" s="1029"/>
      <c r="D262" s="302"/>
      <c r="E262" s="302"/>
      <c r="F262" s="302"/>
      <c r="G262" s="1029"/>
      <c r="H262" s="302"/>
      <c r="I262" s="264"/>
      <c r="J262" s="302"/>
      <c r="K262" s="302"/>
      <c r="L262" s="1029"/>
      <c r="M262" s="1029"/>
      <c r="N262" s="314"/>
      <c r="O262" s="316"/>
      <c r="P262" s="316"/>
      <c r="Q262" s="1018"/>
      <c r="R262" s="1018"/>
      <c r="S262" s="1018"/>
    </row>
    <row r="263" spans="2:19" s="1331" customFormat="1" ht="11.25">
      <c r="B263" s="1018"/>
      <c r="C263" s="1029"/>
      <c r="D263" s="1029"/>
      <c r="E263" s="1029"/>
      <c r="F263" s="1020"/>
      <c r="G263" s="1020"/>
      <c r="H263" s="1029"/>
      <c r="I263" s="264"/>
      <c r="J263" s="264"/>
      <c r="K263" s="302"/>
      <c r="L263" s="1029"/>
      <c r="M263" s="1029"/>
      <c r="N263" s="314"/>
      <c r="O263" s="315"/>
      <c r="P263" s="315"/>
      <c r="Q263" s="1018"/>
      <c r="R263" s="1018"/>
      <c r="S263" s="1018"/>
    </row>
    <row r="264" spans="2:19" s="1331" customFormat="1" ht="11.25">
      <c r="B264" s="1018"/>
      <c r="C264" s="1029"/>
      <c r="D264" s="1029"/>
      <c r="E264" s="1029"/>
      <c r="F264" s="1020"/>
      <c r="G264" s="1020"/>
      <c r="H264" s="1029"/>
      <c r="I264" s="264"/>
      <c r="J264" s="264"/>
      <c r="K264" s="302"/>
      <c r="L264" s="1029"/>
      <c r="M264" s="1029"/>
      <c r="N264" s="314"/>
      <c r="O264" s="316"/>
      <c r="P264" s="315"/>
      <c r="Q264" s="1018"/>
      <c r="R264" s="1018"/>
      <c r="S264" s="1018"/>
    </row>
    <row r="265" spans="2:19" s="1331" customFormat="1" ht="11.25">
      <c r="B265" s="1067"/>
      <c r="C265" s="1018"/>
      <c r="D265" s="1018"/>
      <c r="E265" s="1018"/>
      <c r="F265" s="1018"/>
      <c r="G265" s="1018"/>
      <c r="H265" s="1018"/>
      <c r="I265" s="264"/>
      <c r="J265" s="264"/>
      <c r="K265" s="302"/>
      <c r="L265" s="1029"/>
      <c r="M265" s="1029"/>
      <c r="N265" s="1018"/>
      <c r="O265" s="1018"/>
      <c r="P265" s="1018"/>
      <c r="Q265" s="1018"/>
      <c r="R265" s="1018"/>
      <c r="S265" s="1018"/>
    </row>
    <row r="266" spans="2:19">
      <c r="B266" s="1010"/>
      <c r="C266" s="1010"/>
      <c r="D266" s="1010"/>
      <c r="E266" s="1010"/>
      <c r="F266" s="1010"/>
      <c r="G266" s="1010"/>
      <c r="H266" s="1010"/>
      <c r="I266" s="1010"/>
      <c r="J266" s="1010"/>
      <c r="K266" s="1010"/>
      <c r="L266" s="1010"/>
      <c r="M266" s="1010"/>
      <c r="N266" s="1010"/>
      <c r="O266" s="1010"/>
      <c r="P266" s="1010"/>
      <c r="Q266" s="1010"/>
      <c r="R266" s="1010"/>
      <c r="S266" s="1010"/>
    </row>
    <row r="267" spans="2:19">
      <c r="B267" s="1010"/>
      <c r="C267" s="1010"/>
      <c r="D267" s="1010"/>
      <c r="E267" s="1010"/>
      <c r="F267" s="1010"/>
      <c r="G267" s="1010"/>
      <c r="H267" s="1010"/>
      <c r="I267" s="1348"/>
      <c r="J267" s="1010"/>
      <c r="K267" s="1010"/>
      <c r="L267" s="1348"/>
      <c r="M267" s="1010"/>
      <c r="N267" s="1010"/>
      <c r="O267" s="1010"/>
      <c r="P267" s="1010"/>
      <c r="Q267" s="1010"/>
      <c r="R267" s="1010"/>
      <c r="S267" s="1010"/>
    </row>
    <row r="268" spans="2:19">
      <c r="B268" s="1010"/>
      <c r="C268" s="1010"/>
      <c r="D268" s="1010"/>
      <c r="E268" s="1348"/>
      <c r="F268" s="1010"/>
      <c r="G268" s="1010"/>
      <c r="H268" s="1010"/>
      <c r="I268" s="1010"/>
      <c r="J268" s="1010"/>
      <c r="K268" s="1010"/>
      <c r="L268" s="1010"/>
      <c r="M268" s="1010"/>
      <c r="N268" s="1010"/>
      <c r="O268" s="1010"/>
      <c r="P268" s="1010"/>
      <c r="Q268" s="1010"/>
      <c r="R268" s="1010"/>
      <c r="S268" s="1010"/>
    </row>
    <row r="269" spans="2:19" s="1331" customFormat="1">
      <c r="B269" s="1349"/>
      <c r="C269" s="1350"/>
      <c r="D269" s="1011"/>
    </row>
    <row r="270" spans="2:19" s="1331" customFormat="1" ht="11.25">
      <c r="B270" s="1351"/>
      <c r="C270" s="1352"/>
      <c r="D270" s="1352"/>
    </row>
    <row r="271" spans="2:19" s="1331" customFormat="1" ht="11.25">
      <c r="B271" s="1351"/>
      <c r="C271" s="1353"/>
      <c r="F271" s="1351"/>
    </row>
    <row r="272" spans="2:19" s="1331" customFormat="1" ht="11.25">
      <c r="B272" s="1351"/>
      <c r="C272" s="1354"/>
      <c r="E272" s="1355"/>
      <c r="F272" s="1355"/>
      <c r="G272" s="1355"/>
      <c r="H272" s="1355"/>
      <c r="J272" s="1343"/>
    </row>
    <row r="273" spans="2:11" s="1331" customFormat="1" ht="11.25">
      <c r="B273" s="1351"/>
      <c r="C273" s="1353"/>
      <c r="F273" s="1351"/>
      <c r="K273" s="1351"/>
    </row>
    <row r="274" spans="2:11" s="1331" customFormat="1" ht="11.25">
      <c r="B274" s="1351"/>
      <c r="C274" s="1354"/>
      <c r="E274" s="1355"/>
      <c r="F274" s="1355"/>
      <c r="G274" s="1355"/>
      <c r="H274" s="1355"/>
      <c r="J274" s="1343"/>
      <c r="K274" s="318"/>
    </row>
    <row r="275" spans="2:11" s="1331" customFormat="1" ht="11.25">
      <c r="B275" s="1351"/>
      <c r="C275" s="1354"/>
      <c r="D275" s="319"/>
      <c r="E275" s="1355"/>
      <c r="F275" s="1355"/>
      <c r="G275" s="1355"/>
      <c r="H275" s="1355"/>
      <c r="I275" s="1351"/>
      <c r="J275" s="1351"/>
      <c r="K275" s="318"/>
    </row>
    <row r="276" spans="2:11" s="1331" customFormat="1" ht="11.25">
      <c r="B276" s="1354"/>
      <c r="D276" s="320"/>
      <c r="E276" s="1355"/>
      <c r="F276" s="321"/>
      <c r="G276" s="322"/>
      <c r="H276" s="1355"/>
      <c r="I276" s="318"/>
      <c r="J276" s="318"/>
      <c r="K276" s="318"/>
    </row>
    <row r="277" spans="2:11" s="1331" customFormat="1" ht="11.25">
      <c r="B277" s="1354"/>
      <c r="D277" s="320"/>
      <c r="E277" s="1355"/>
      <c r="F277" s="1355"/>
      <c r="G277" s="1355"/>
      <c r="H277" s="1355"/>
      <c r="I277" s="318"/>
      <c r="J277" s="318"/>
      <c r="K277" s="318"/>
    </row>
    <row r="278" spans="2:11" s="1331" customFormat="1" ht="11.25">
      <c r="B278" s="1354"/>
      <c r="D278" s="320"/>
      <c r="E278" s="1355"/>
      <c r="F278" s="1355"/>
      <c r="G278" s="1355"/>
      <c r="H278" s="1355"/>
      <c r="I278" s="318"/>
      <c r="J278" s="318"/>
      <c r="K278" s="318"/>
    </row>
    <row r="279" spans="2:11" s="1331" customFormat="1" ht="11.25">
      <c r="B279" s="1354"/>
      <c r="D279" s="320"/>
      <c r="E279" s="1355"/>
      <c r="F279" s="1355"/>
      <c r="G279" s="1355"/>
      <c r="H279" s="1355"/>
      <c r="I279" s="318"/>
      <c r="J279" s="318"/>
      <c r="K279" s="318"/>
    </row>
    <row r="280" spans="2:11" s="1331" customFormat="1" ht="11.25">
      <c r="B280" s="1354"/>
      <c r="D280" s="320"/>
      <c r="E280" s="1355"/>
      <c r="F280" s="1355"/>
      <c r="G280" s="1355"/>
      <c r="H280" s="1355"/>
      <c r="I280" s="318"/>
      <c r="J280" s="318"/>
      <c r="K280" s="318"/>
    </row>
    <row r="281" spans="2:11" s="1331" customFormat="1" ht="11.25">
      <c r="B281" s="1354"/>
      <c r="D281" s="320"/>
      <c r="E281" s="1355"/>
      <c r="F281" s="1355"/>
      <c r="G281" s="1355"/>
      <c r="H281" s="1355"/>
      <c r="I281" s="318"/>
      <c r="J281" s="318"/>
      <c r="K281" s="318"/>
    </row>
    <row r="282" spans="2:11" s="1331" customFormat="1" ht="11.25">
      <c r="B282" s="1354"/>
      <c r="D282" s="320"/>
      <c r="E282" s="1355"/>
      <c r="F282" s="1355"/>
      <c r="G282" s="1355"/>
      <c r="H282" s="1355"/>
      <c r="I282" s="318"/>
      <c r="J282" s="318"/>
      <c r="K282" s="318"/>
    </row>
    <row r="283" spans="2:11" s="1331" customFormat="1" ht="11.25">
      <c r="B283" s="1354"/>
      <c r="D283" s="320"/>
      <c r="E283" s="1355"/>
      <c r="F283" s="1355"/>
      <c r="G283" s="1355"/>
      <c r="H283" s="1355"/>
      <c r="I283" s="318"/>
      <c r="J283" s="318"/>
      <c r="K283" s="318"/>
    </row>
    <row r="284" spans="2:11" s="1331" customFormat="1" ht="11.25">
      <c r="B284" s="1354"/>
      <c r="D284" s="320"/>
      <c r="E284" s="1356"/>
      <c r="F284" s="1355"/>
      <c r="G284" s="1355"/>
      <c r="H284" s="321"/>
      <c r="I284" s="318"/>
      <c r="J284" s="318"/>
      <c r="K284" s="318"/>
    </row>
    <row r="285" spans="2:11" s="1331" customFormat="1" ht="11.25">
      <c r="B285" s="1354"/>
      <c r="D285" s="320"/>
      <c r="E285" s="1356"/>
      <c r="F285" s="321"/>
      <c r="G285" s="1355"/>
      <c r="H285" s="321"/>
      <c r="I285" s="318"/>
      <c r="J285" s="318"/>
      <c r="K285" s="318"/>
    </row>
    <row r="286" spans="2:11" s="1331" customFormat="1" ht="11.25">
      <c r="D286" s="320"/>
      <c r="E286" s="1356"/>
      <c r="F286" s="321"/>
      <c r="G286" s="1355"/>
      <c r="H286" s="321"/>
      <c r="I286" s="318"/>
      <c r="J286" s="318"/>
    </row>
    <row r="287" spans="2:11">
      <c r="B287" s="1354"/>
      <c r="C287" s="1331"/>
      <c r="D287" s="320"/>
      <c r="E287" s="1355"/>
      <c r="F287" s="1355"/>
      <c r="G287" s="1355"/>
      <c r="H287" s="1355"/>
      <c r="I287" s="318"/>
      <c r="J287" s="318"/>
    </row>
    <row r="288" spans="2:11">
      <c r="B288" s="1331"/>
      <c r="C288" s="1331"/>
      <c r="D288" s="1357"/>
      <c r="E288" s="1358"/>
      <c r="F288" s="1355"/>
      <c r="G288" s="1331"/>
      <c r="H288" s="1331"/>
      <c r="I288" s="1331"/>
      <c r="J288" s="1331"/>
    </row>
  </sheetData>
  <mergeCells count="2">
    <mergeCell ref="E39:G39"/>
    <mergeCell ref="E24:F24"/>
  </mergeCells>
  <phoneticPr fontId="87" type="noConversion"/>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885825</xdr:colOff>
                <xdr:row>1</xdr:row>
                <xdr:rowOff>19050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FF00"/>
  </sheetPr>
  <dimension ref="A1:X31"/>
  <sheetViews>
    <sheetView showGridLines="0" showRowColHeaders="0" zoomScaleNormal="100" zoomScalePageLayoutView="80" workbookViewId="0">
      <pane ySplit="1" topLeftCell="A2" activePane="bottomLeft" state="frozen"/>
      <selection activeCell="D50" sqref="D50"/>
      <selection pane="bottomLeft" activeCell="G18" sqref="G18"/>
    </sheetView>
  </sheetViews>
  <sheetFormatPr defaultColWidth="9.140625" defaultRowHeight="12.75"/>
  <cols>
    <col min="1" max="3" width="9.140625" style="1011"/>
    <col min="4" max="4" width="12" style="1011" customWidth="1"/>
    <col min="5" max="5" width="9.140625" style="1011"/>
    <col min="6" max="6" width="10.140625" style="1011" customWidth="1"/>
    <col min="7" max="7" width="9.140625" style="1011"/>
    <col min="8" max="8" width="9.5703125" style="1011" bestFit="1" customWidth="1"/>
    <col min="9" max="9" width="9.140625" style="1011"/>
    <col min="10" max="10" width="9.5703125" style="1011" bestFit="1" customWidth="1"/>
    <col min="11" max="11" width="9.140625" style="1011"/>
    <col min="12" max="12" width="9.5703125" style="1011" bestFit="1" customWidth="1"/>
    <col min="13" max="13" width="9.140625" style="1011"/>
    <col min="14" max="14" width="10.85546875" style="1011" bestFit="1" customWidth="1"/>
    <col min="15" max="17" width="9.140625" style="1011"/>
    <col min="18" max="18" width="11.140625" style="1011" bestFit="1" customWidth="1"/>
    <col min="19" max="19" width="12.5703125" style="1011" bestFit="1" customWidth="1"/>
    <col min="20" max="16384" width="9.140625" style="1011"/>
  </cols>
  <sheetData>
    <row r="1" spans="1:24" s="1010" customFormat="1" ht="32.1" customHeight="1"/>
    <row r="2" spans="1:24" s="1010" customFormat="1" ht="41.25" customHeight="1"/>
    <row r="3" spans="1:24" s="1010" customFormat="1" ht="12.75" customHeight="1"/>
    <row r="4" spans="1:24">
      <c r="B4" s="1010"/>
      <c r="C4" s="1010"/>
      <c r="D4" s="1010"/>
      <c r="E4" s="1010"/>
      <c r="F4" s="1010"/>
      <c r="G4" s="1010"/>
      <c r="H4" s="1010"/>
      <c r="I4" s="1010"/>
      <c r="J4" s="1010"/>
      <c r="K4" s="1010"/>
      <c r="L4" s="1010"/>
      <c r="M4" s="1010"/>
      <c r="N4" s="1010"/>
      <c r="O4" s="1010"/>
      <c r="P4" s="1010"/>
      <c r="Q4" s="1010"/>
      <c r="R4" s="1010"/>
      <c r="S4" s="1010"/>
      <c r="T4" s="1010"/>
      <c r="U4" s="1010"/>
    </row>
    <row r="5" spans="1:24">
      <c r="B5" s="1012"/>
      <c r="C5" s="1012"/>
      <c r="D5" s="1012"/>
      <c r="E5" s="1012"/>
      <c r="F5" s="1012"/>
      <c r="G5" s="1012"/>
      <c r="H5" s="1012"/>
      <c r="I5" s="1012"/>
      <c r="J5" s="1012"/>
      <c r="K5" s="1012"/>
      <c r="L5" s="1012"/>
      <c r="M5" s="1012"/>
      <c r="N5" s="1012"/>
      <c r="O5" s="1012"/>
      <c r="P5" s="1013"/>
      <c r="Q5" s="1012"/>
      <c r="R5" s="1012"/>
      <c r="S5" s="1012"/>
      <c r="T5" s="1012"/>
      <c r="U5" s="1012"/>
      <c r="V5" s="1012"/>
      <c r="W5" s="1012"/>
      <c r="X5" s="1010"/>
    </row>
    <row r="6" spans="1:24" ht="18">
      <c r="A6" s="1362">
        <v>1</v>
      </c>
      <c r="B6" s="1363" t="s">
        <v>362</v>
      </c>
      <c r="C6" s="1364"/>
      <c r="D6" s="1365"/>
      <c r="E6" s="1365"/>
      <c r="F6" s="1365"/>
      <c r="G6" s="1365"/>
      <c r="H6" s="1366"/>
      <c r="I6" s="1018"/>
      <c r="J6" s="1019"/>
      <c r="K6" s="1018"/>
      <c r="L6" s="1018"/>
      <c r="M6" s="1018"/>
      <c r="N6" s="1020"/>
      <c r="O6" s="1018"/>
      <c r="P6" s="1018"/>
      <c r="Q6" s="1018"/>
      <c r="R6" s="1018"/>
      <c r="S6" s="1013"/>
      <c r="T6" s="1012"/>
      <c r="U6" s="1012"/>
      <c r="V6" s="1012"/>
      <c r="W6" s="1012"/>
      <c r="X6" s="1010"/>
    </row>
    <row r="7" spans="1:24" s="1018" customFormat="1">
      <c r="A7" s="1021"/>
      <c r="B7" s="1022"/>
      <c r="C7" s="1010"/>
      <c r="D7" s="1023"/>
      <c r="E7" s="1287" t="s">
        <v>189</v>
      </c>
      <c r="F7" s="1288"/>
      <c r="G7" s="1289"/>
      <c r="H7" s="1024"/>
      <c r="M7" s="1290"/>
      <c r="N7" s="1290"/>
      <c r="O7" s="1290"/>
    </row>
    <row r="8" spans="1:24" s="1018" customFormat="1">
      <c r="A8" s="1011"/>
      <c r="B8" s="1117"/>
      <c r="C8" s="1117"/>
      <c r="D8" s="1118"/>
      <c r="E8" s="1026" t="s">
        <v>432</v>
      </c>
      <c r="F8" s="1027" t="s">
        <v>64</v>
      </c>
      <c r="G8" s="1028" t="s">
        <v>63</v>
      </c>
      <c r="H8" s="1119" t="s">
        <v>368</v>
      </c>
      <c r="I8" s="1120" t="s">
        <v>351</v>
      </c>
      <c r="J8" s="1120" t="s">
        <v>638</v>
      </c>
      <c r="K8" s="1120" t="s">
        <v>70</v>
      </c>
      <c r="L8" s="1120" t="s">
        <v>70</v>
      </c>
      <c r="M8" s="1120" t="s">
        <v>347</v>
      </c>
      <c r="N8" s="1120" t="s">
        <v>639</v>
      </c>
      <c r="O8" s="1029"/>
      <c r="P8" s="1029"/>
    </row>
    <row r="9" spans="1:24" s="1018" customFormat="1">
      <c r="A9" s="1011"/>
      <c r="B9" s="1030" t="s">
        <v>66</v>
      </c>
      <c r="C9" s="1030" t="s">
        <v>431</v>
      </c>
      <c r="D9" s="1031" t="s">
        <v>346</v>
      </c>
      <c r="E9" s="1032" t="s">
        <v>354</v>
      </c>
      <c r="F9" s="1033" t="s">
        <v>354</v>
      </c>
      <c r="G9" s="1034" t="s">
        <v>354</v>
      </c>
      <c r="H9" s="1035" t="s">
        <v>354</v>
      </c>
      <c r="I9" s="1033" t="s">
        <v>350</v>
      </c>
      <c r="J9" s="1033"/>
      <c r="K9" s="1033" t="s">
        <v>352</v>
      </c>
      <c r="L9" s="1033" t="s">
        <v>451</v>
      </c>
      <c r="M9" s="1033" t="s">
        <v>353</v>
      </c>
      <c r="N9" s="1033" t="s">
        <v>353</v>
      </c>
      <c r="O9" s="1029"/>
    </row>
    <row r="10" spans="1:24" s="1018" customFormat="1">
      <c r="A10" s="1011"/>
      <c r="B10" s="1121" t="s">
        <v>583</v>
      </c>
      <c r="C10" s="1109" t="s">
        <v>409</v>
      </c>
      <c r="D10" s="1121" t="s">
        <v>69</v>
      </c>
      <c r="E10" s="735">
        <v>0.56000000000000005</v>
      </c>
      <c r="F10" s="735">
        <v>0.28000000000000003</v>
      </c>
      <c r="G10" s="735">
        <v>0.28000000000000003</v>
      </c>
      <c r="H10" s="1122">
        <v>8</v>
      </c>
      <c r="I10" s="1367">
        <v>1</v>
      </c>
      <c r="J10" s="1109">
        <v>0.6</v>
      </c>
      <c r="K10" s="1109">
        <v>1.05</v>
      </c>
      <c r="L10" s="1109">
        <v>1.3</v>
      </c>
      <c r="M10" s="1109">
        <v>0</v>
      </c>
      <c r="N10" s="1109">
        <v>0</v>
      </c>
      <c r="O10" s="1029"/>
      <c r="P10" s="1039"/>
      <c r="Q10" s="1040"/>
      <c r="R10" s="1039"/>
      <c r="S10" s="1039"/>
    </row>
    <row r="11" spans="1:24" s="1018" customFormat="1">
      <c r="A11" s="1011"/>
      <c r="B11" s="1108" t="s">
        <v>584</v>
      </c>
      <c r="C11" s="1109" t="s">
        <v>409</v>
      </c>
      <c r="D11" s="1121" t="s">
        <v>68</v>
      </c>
      <c r="E11" s="735">
        <v>0.5</v>
      </c>
      <c r="F11" s="735">
        <v>0.28000000000000003</v>
      </c>
      <c r="G11" s="735">
        <v>0.28000000000000003</v>
      </c>
      <c r="H11" s="1122">
        <v>8</v>
      </c>
      <c r="I11" s="1367">
        <v>1</v>
      </c>
      <c r="J11" s="1109">
        <v>0.6</v>
      </c>
      <c r="K11" s="1109">
        <v>1.05</v>
      </c>
      <c r="L11" s="1109">
        <v>1.3</v>
      </c>
      <c r="M11" s="1109">
        <v>0</v>
      </c>
      <c r="N11" s="1109">
        <v>0</v>
      </c>
      <c r="O11" s="1029"/>
      <c r="P11" s="1041"/>
      <c r="Q11" s="1039"/>
      <c r="R11" s="1039"/>
      <c r="S11" s="1039"/>
    </row>
    <row r="12" spans="1:24" s="1018" customFormat="1">
      <c r="A12" s="1011"/>
      <c r="B12" s="1108" t="s">
        <v>585</v>
      </c>
      <c r="C12" s="1109" t="s">
        <v>409</v>
      </c>
      <c r="D12" s="1121" t="s">
        <v>433</v>
      </c>
      <c r="E12" s="735">
        <v>0.5</v>
      </c>
      <c r="F12" s="735">
        <v>0.28000000000000003</v>
      </c>
      <c r="G12" s="735">
        <v>0.28000000000000003</v>
      </c>
      <c r="H12" s="1122">
        <v>7.5</v>
      </c>
      <c r="I12" s="1367">
        <v>1</v>
      </c>
      <c r="J12" s="1109">
        <v>0.55000000000000004</v>
      </c>
      <c r="K12" s="1109">
        <v>1.05</v>
      </c>
      <c r="L12" s="1109">
        <v>1.3</v>
      </c>
      <c r="M12" s="1109">
        <v>0</v>
      </c>
      <c r="N12" s="1109">
        <v>0</v>
      </c>
      <c r="P12" s="299"/>
      <c r="Q12" s="300"/>
      <c r="R12" s="300"/>
      <c r="S12" s="1039"/>
    </row>
    <row r="13" spans="1:24" s="1018" customFormat="1">
      <c r="A13" s="1011"/>
      <c r="B13" s="1108" t="s">
        <v>586</v>
      </c>
      <c r="C13" s="1109" t="s">
        <v>409</v>
      </c>
      <c r="D13" s="1121" t="s">
        <v>434</v>
      </c>
      <c r="E13" s="735">
        <v>0.5</v>
      </c>
      <c r="F13" s="735">
        <v>0.28000000000000003</v>
      </c>
      <c r="G13" s="735">
        <v>0.28000000000000003</v>
      </c>
      <c r="H13" s="1122">
        <v>7.5</v>
      </c>
      <c r="I13" s="1367">
        <v>1</v>
      </c>
      <c r="J13" s="1109">
        <v>0.5</v>
      </c>
      <c r="K13" s="1109">
        <v>1.05</v>
      </c>
      <c r="L13" s="1109">
        <v>1.3</v>
      </c>
      <c r="M13" s="1109">
        <v>0</v>
      </c>
      <c r="N13" s="1109">
        <v>0</v>
      </c>
      <c r="P13" s="299"/>
      <c r="Q13" s="301"/>
      <c r="R13" s="301"/>
      <c r="S13" s="1039"/>
    </row>
    <row r="14" spans="1:24" s="1018" customFormat="1">
      <c r="A14" s="1011"/>
      <c r="B14" s="1108" t="s">
        <v>587</v>
      </c>
      <c r="C14" s="1109" t="s">
        <v>409</v>
      </c>
      <c r="D14" s="1121" t="s">
        <v>435</v>
      </c>
      <c r="E14" s="735">
        <v>0.5</v>
      </c>
      <c r="F14" s="735">
        <v>0.28000000000000003</v>
      </c>
      <c r="G14" s="735">
        <v>0.28000000000000003</v>
      </c>
      <c r="H14" s="1122">
        <v>7.5</v>
      </c>
      <c r="I14" s="1367">
        <v>1</v>
      </c>
      <c r="J14" s="1109">
        <v>0.6</v>
      </c>
      <c r="K14" s="1109">
        <v>1.05</v>
      </c>
      <c r="L14" s="1109">
        <v>1.3</v>
      </c>
      <c r="M14" s="1109">
        <v>0</v>
      </c>
      <c r="N14" s="1109">
        <v>0</v>
      </c>
      <c r="P14" s="299"/>
      <c r="Q14" s="301"/>
      <c r="R14" s="301"/>
      <c r="S14" s="1039"/>
    </row>
    <row r="15" spans="1:24" s="1018" customFormat="1">
      <c r="A15" s="1011"/>
      <c r="B15" s="1108" t="s">
        <v>588</v>
      </c>
      <c r="C15" s="1109" t="s">
        <v>409</v>
      </c>
      <c r="D15" s="1121" t="s">
        <v>436</v>
      </c>
      <c r="E15" s="735">
        <v>0.5</v>
      </c>
      <c r="F15" s="735">
        <v>0.28000000000000003</v>
      </c>
      <c r="G15" s="735">
        <v>0.28000000000000003</v>
      </c>
      <c r="H15" s="1122">
        <v>7.5</v>
      </c>
      <c r="I15" s="1367">
        <v>1</v>
      </c>
      <c r="J15" s="1109">
        <v>0.5</v>
      </c>
      <c r="K15" s="1109">
        <v>1.05</v>
      </c>
      <c r="L15" s="1109">
        <v>1.3</v>
      </c>
      <c r="M15" s="1109">
        <v>0</v>
      </c>
      <c r="N15" s="1109">
        <v>0</v>
      </c>
      <c r="P15" s="299"/>
      <c r="Q15" s="301"/>
      <c r="R15" s="301"/>
      <c r="S15" s="1039"/>
    </row>
    <row r="16" spans="1:24" s="1018" customFormat="1">
      <c r="A16" s="1011"/>
      <c r="B16" s="1108" t="s">
        <v>589</v>
      </c>
      <c r="C16" s="1109" t="s">
        <v>410</v>
      </c>
      <c r="D16" s="1121" t="s">
        <v>69</v>
      </c>
      <c r="E16" s="735">
        <v>0.56000000000000005</v>
      </c>
      <c r="F16" s="735">
        <v>0.22</v>
      </c>
      <c r="G16" s="735">
        <v>0.24</v>
      </c>
      <c r="H16" s="1122">
        <v>3.3</v>
      </c>
      <c r="I16" s="1367">
        <v>124</v>
      </c>
      <c r="J16" s="1109">
        <v>0.8</v>
      </c>
      <c r="K16" s="1109">
        <v>130.80000000000001</v>
      </c>
      <c r="L16" s="1109">
        <v>160.5</v>
      </c>
      <c r="M16" s="1109" t="s">
        <v>349</v>
      </c>
      <c r="N16" s="1109">
        <v>16</v>
      </c>
      <c r="P16" s="299"/>
      <c r="Q16" s="301"/>
      <c r="R16" s="301"/>
      <c r="S16" s="1039"/>
    </row>
    <row r="17" spans="1:19" s="1018" customFormat="1">
      <c r="A17" s="1011"/>
      <c r="B17" s="1108" t="s">
        <v>590</v>
      </c>
      <c r="C17" s="1109" t="s">
        <v>410</v>
      </c>
      <c r="D17" s="1121" t="s">
        <v>68</v>
      </c>
      <c r="E17" s="735">
        <v>0.56000000000000005</v>
      </c>
      <c r="F17" s="735">
        <v>0.22</v>
      </c>
      <c r="G17" s="735">
        <v>0.24</v>
      </c>
      <c r="H17" s="1122">
        <v>3.3</v>
      </c>
      <c r="I17" s="1367">
        <v>124</v>
      </c>
      <c r="J17" s="1109">
        <v>0.8</v>
      </c>
      <c r="K17" s="1109">
        <v>130.80000000000001</v>
      </c>
      <c r="L17" s="1109">
        <v>160.5</v>
      </c>
      <c r="M17" s="1109">
        <v>23.3</v>
      </c>
      <c r="N17" s="1109">
        <v>16</v>
      </c>
      <c r="P17" s="299"/>
      <c r="Q17" s="301"/>
      <c r="R17" s="301"/>
      <c r="S17" s="1039"/>
    </row>
    <row r="18" spans="1:19" s="1018" customFormat="1">
      <c r="A18" s="1011"/>
      <c r="B18" s="1108" t="s">
        <v>591</v>
      </c>
      <c r="C18" s="1109" t="s">
        <v>409</v>
      </c>
      <c r="D18" s="1121" t="s">
        <v>446</v>
      </c>
      <c r="E18" s="735">
        <v>0.52</v>
      </c>
      <c r="F18" s="735">
        <v>0.28999999999999998</v>
      </c>
      <c r="G18" s="735">
        <v>0.29000000000000004</v>
      </c>
      <c r="H18" s="1122">
        <v>6</v>
      </c>
      <c r="I18" s="1367">
        <v>1</v>
      </c>
      <c r="J18" s="1109">
        <v>1</v>
      </c>
      <c r="K18" s="1109">
        <v>1.05</v>
      </c>
      <c r="L18" s="1109">
        <v>1.3</v>
      </c>
      <c r="M18" s="1109">
        <v>0</v>
      </c>
      <c r="N18" s="1109">
        <v>0</v>
      </c>
      <c r="P18" s="299"/>
      <c r="Q18" s="301"/>
      <c r="R18" s="301"/>
      <c r="S18" s="1039"/>
    </row>
    <row r="19" spans="1:19">
      <c r="B19" s="1331"/>
      <c r="C19" s="1331"/>
      <c r="D19" s="1331"/>
      <c r="E19" s="1356"/>
      <c r="F19" s="1356"/>
      <c r="G19" s="1356"/>
      <c r="H19" s="1037"/>
      <c r="I19" s="1068"/>
      <c r="J19" s="1356"/>
      <c r="K19" s="1356"/>
      <c r="L19" s="1356"/>
      <c r="M19" s="1356"/>
      <c r="N19" s="1356"/>
    </row>
    <row r="20" spans="1:19">
      <c r="B20" s="1331"/>
      <c r="C20" s="1331"/>
      <c r="D20" s="1331"/>
      <c r="E20" s="1356"/>
      <c r="F20" s="1356"/>
      <c r="G20" s="1356"/>
      <c r="H20" s="1037"/>
      <c r="I20" s="1068"/>
      <c r="J20" s="1356"/>
      <c r="K20" s="1356"/>
      <c r="L20" s="1356"/>
      <c r="M20" s="1356"/>
      <c r="N20" s="1356"/>
    </row>
    <row r="21" spans="1:19">
      <c r="B21" s="1331"/>
      <c r="C21" s="1331"/>
      <c r="D21" s="1331"/>
      <c r="E21" s="1356"/>
      <c r="F21" s="1356"/>
      <c r="G21" s="1356"/>
      <c r="H21" s="1037"/>
      <c r="I21" s="1068"/>
      <c r="J21" s="1356"/>
      <c r="K21" s="1356"/>
      <c r="L21" s="1356"/>
      <c r="M21" s="1356"/>
      <c r="N21" s="1356"/>
    </row>
    <row r="22" spans="1:19">
      <c r="B22" s="1331"/>
      <c r="C22" s="1331"/>
      <c r="D22" s="1331"/>
      <c r="E22" s="1356"/>
      <c r="F22" s="1356"/>
      <c r="G22" s="1356"/>
      <c r="H22" s="1037"/>
      <c r="I22" s="1068"/>
      <c r="J22" s="1356"/>
      <c r="K22" s="1356"/>
      <c r="L22" s="1356"/>
      <c r="M22" s="1356"/>
      <c r="N22" s="1356"/>
    </row>
    <row r="23" spans="1:19">
      <c r="B23" s="1331"/>
      <c r="C23" s="1331"/>
      <c r="D23" s="1331"/>
      <c r="E23" s="1356"/>
      <c r="F23" s="1356"/>
      <c r="G23" s="1356"/>
      <c r="H23" s="1356"/>
      <c r="I23" s="1068"/>
      <c r="J23" s="1356"/>
      <c r="K23" s="1356"/>
      <c r="L23" s="1356"/>
      <c r="M23" s="1356"/>
      <c r="N23" s="1356"/>
    </row>
    <row r="24" spans="1:19">
      <c r="B24" s="1331"/>
      <c r="C24" s="1331"/>
      <c r="D24" s="1331"/>
      <c r="E24" s="1356"/>
      <c r="F24" s="1356"/>
      <c r="G24" s="1356"/>
      <c r="H24" s="1356"/>
      <c r="I24" s="1068"/>
      <c r="J24" s="1356"/>
      <c r="K24" s="1356"/>
      <c r="L24" s="1356"/>
      <c r="M24" s="1356"/>
      <c r="N24" s="1356"/>
    </row>
    <row r="25" spans="1:19">
      <c r="B25" s="1331"/>
      <c r="C25" s="1331"/>
      <c r="D25" s="1331"/>
      <c r="E25" s="1356"/>
      <c r="F25" s="1356"/>
      <c r="G25" s="1356"/>
      <c r="H25" s="1356"/>
      <c r="I25" s="1356"/>
      <c r="J25" s="1356"/>
      <c r="K25" s="1356"/>
      <c r="L25" s="1356"/>
      <c r="M25" s="1356"/>
      <c r="N25" s="1356"/>
    </row>
    <row r="26" spans="1:19">
      <c r="B26" s="1331"/>
      <c r="C26" s="1331"/>
      <c r="D26" s="1331"/>
      <c r="E26" s="1356"/>
      <c r="F26" s="1356"/>
      <c r="G26" s="1356"/>
      <c r="H26" s="1356"/>
      <c r="I26" s="1356"/>
      <c r="J26" s="1356"/>
      <c r="K26" s="1356"/>
      <c r="L26" s="1356"/>
      <c r="M26" s="1356"/>
      <c r="N26" s="1356"/>
    </row>
    <row r="27" spans="1:19">
      <c r="B27" s="1331"/>
      <c r="C27" s="1331"/>
      <c r="D27" s="1331"/>
      <c r="E27" s="1356"/>
      <c r="F27" s="1356"/>
      <c r="G27" s="1356"/>
      <c r="H27" s="1356"/>
      <c r="I27" s="1356"/>
      <c r="J27" s="1356"/>
      <c r="K27" s="1356"/>
      <c r="L27" s="1356"/>
      <c r="M27" s="1356"/>
      <c r="N27" s="1356"/>
    </row>
    <row r="28" spans="1:19">
      <c r="E28" s="1356"/>
      <c r="F28" s="1356"/>
      <c r="G28" s="1356"/>
      <c r="H28" s="1356"/>
      <c r="I28" s="1356"/>
      <c r="J28" s="1356"/>
      <c r="K28" s="1356"/>
      <c r="L28" s="1356"/>
      <c r="M28" s="1356"/>
      <c r="N28" s="1356"/>
    </row>
    <row r="29" spans="1:19">
      <c r="E29" s="1356"/>
      <c r="F29" s="1356"/>
      <c r="G29" s="1356"/>
      <c r="H29" s="1356"/>
      <c r="I29" s="1356"/>
      <c r="J29" s="1356"/>
      <c r="K29" s="1356"/>
      <c r="L29" s="1356"/>
      <c r="M29" s="1356"/>
      <c r="N29" s="1356"/>
    </row>
    <row r="30" spans="1:19">
      <c r="E30" s="1356"/>
      <c r="F30" s="1356"/>
      <c r="G30" s="1356"/>
      <c r="H30" s="1356"/>
      <c r="I30" s="1356"/>
      <c r="J30" s="1356"/>
      <c r="K30" s="1356"/>
      <c r="L30" s="1356"/>
      <c r="M30" s="1356"/>
      <c r="N30" s="1356"/>
    </row>
    <row r="31" spans="1:19">
      <c r="E31" s="1356"/>
      <c r="F31" s="1356"/>
      <c r="G31" s="1356"/>
      <c r="H31" s="1356"/>
      <c r="I31" s="1356"/>
      <c r="J31" s="1356"/>
      <c r="K31" s="1356"/>
      <c r="L31" s="1356"/>
      <c r="M31" s="1356"/>
      <c r="N31" s="1356"/>
    </row>
  </sheetData>
  <sheetProtection algorithmName="SHA-512" hashValue="rahBFrKDlD2Ti1+3JZXD0pxXVwMtwSn5KF/BYN7lKG6Rgkhw+Z++dNMk1c1UKpsWsTPF4NKdd3Wd6q5C3i51sw==" saltValue="ijYnebiawqdplW9oeG1B2Q==" spinCount="100000" sheet="1" objects="1" scenarios="1"/>
  <mergeCells count="2">
    <mergeCell ref="E7:G7"/>
    <mergeCell ref="M7:O7"/>
  </mergeCells>
  <phoneticPr fontId="87" type="noConversion"/>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9</xdr:col>
                <xdr:colOff>19050</xdr:colOff>
                <xdr:row>1</xdr:row>
                <xdr:rowOff>9525</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FF00"/>
  </sheetPr>
  <dimension ref="A1:AV227"/>
  <sheetViews>
    <sheetView showGridLines="0" showRowColHeaders="0" zoomScaleNormal="100" workbookViewId="0">
      <pane ySplit="1" topLeftCell="A38" activePane="bottomLeft" state="frozen"/>
      <selection activeCell="D50" sqref="D50"/>
      <selection pane="bottomLeft" activeCell="O57" sqref="O57"/>
    </sheetView>
  </sheetViews>
  <sheetFormatPr defaultColWidth="9.140625" defaultRowHeight="12.75"/>
  <cols>
    <col min="1" max="4" width="9.140625" style="1011"/>
    <col min="5" max="5" width="11.5703125" style="1011" bestFit="1" customWidth="1"/>
    <col min="6" max="6" width="9.140625" style="1011"/>
    <col min="7" max="7" width="10.5703125" style="1011" bestFit="1" customWidth="1"/>
    <col min="8" max="8" width="9.140625" style="1011"/>
    <col min="9" max="9" width="9.85546875" style="1011" bestFit="1" customWidth="1"/>
    <col min="10" max="10" width="9.140625" style="1011"/>
    <col min="11" max="11" width="10.5703125" style="1011" bestFit="1" customWidth="1"/>
    <col min="12" max="12" width="9.140625" style="1011"/>
    <col min="13" max="13" width="10.85546875" style="1011" bestFit="1" customWidth="1"/>
    <col min="14" max="14" width="9.140625" style="1011"/>
    <col min="15" max="15" width="10" style="1011" customWidth="1"/>
    <col min="16" max="16384" width="9.140625" style="1011"/>
  </cols>
  <sheetData>
    <row r="1" spans="1:22" s="1010" customFormat="1" ht="32.1" customHeight="1"/>
    <row r="2" spans="1:22" s="1010" customFormat="1" ht="41.25" customHeight="1"/>
    <row r="3" spans="1:22" s="1010" customFormat="1" ht="12.75" customHeight="1"/>
    <row r="4" spans="1:22">
      <c r="A4" s="1010"/>
      <c r="B4" s="1010"/>
      <c r="C4" s="1010"/>
      <c r="D4" s="1010"/>
      <c r="E4" s="1010"/>
      <c r="F4" s="1010"/>
      <c r="G4" s="1010"/>
      <c r="H4" s="1010"/>
      <c r="I4" s="1010"/>
      <c r="J4" s="1010"/>
      <c r="K4" s="1010"/>
      <c r="L4" s="1010"/>
      <c r="M4" s="1010"/>
      <c r="N4" s="1010"/>
      <c r="O4" s="1010"/>
      <c r="P4" s="1010"/>
      <c r="Q4" s="1010"/>
      <c r="R4" s="1010"/>
      <c r="S4" s="1010"/>
      <c r="T4" s="1010"/>
    </row>
    <row r="5" spans="1:22">
      <c r="A5" s="1012"/>
      <c r="B5" s="1012"/>
      <c r="C5" s="1012"/>
      <c r="D5" s="1012"/>
      <c r="E5" s="1012"/>
      <c r="F5" s="1012"/>
      <c r="G5" s="1012"/>
      <c r="H5" s="1012"/>
      <c r="I5" s="1012"/>
      <c r="J5" s="1012"/>
      <c r="K5" s="1012"/>
      <c r="L5" s="1012"/>
      <c r="M5" s="1012"/>
      <c r="N5" s="1012"/>
      <c r="O5" s="1013"/>
      <c r="P5" s="1012"/>
      <c r="Q5" s="1012"/>
      <c r="R5" s="1012"/>
      <c r="S5" s="1012"/>
      <c r="T5" s="1012"/>
      <c r="U5" s="1014"/>
      <c r="V5" s="1014"/>
    </row>
    <row r="6" spans="1:22" ht="15.75">
      <c r="A6" s="1015">
        <v>1</v>
      </c>
      <c r="B6" s="1016" t="s">
        <v>658</v>
      </c>
      <c r="C6" s="1016"/>
      <c r="D6" s="1016"/>
      <c r="E6" s="1016"/>
      <c r="F6" s="1017"/>
      <c r="G6" s="1018"/>
      <c r="H6" s="1018"/>
      <c r="I6" s="1019"/>
      <c r="J6" s="1018"/>
      <c r="K6" s="1018"/>
      <c r="L6" s="1018"/>
      <c r="M6" s="1020"/>
      <c r="N6" s="1018"/>
      <c r="O6" s="1018"/>
      <c r="P6" s="1018"/>
      <c r="Q6" s="1018"/>
      <c r="R6" s="1013"/>
      <c r="S6" s="1012"/>
      <c r="T6" s="1012"/>
      <c r="U6" s="1014"/>
      <c r="V6" s="1014"/>
    </row>
    <row r="7" spans="1:22" s="1018" customFormat="1">
      <c r="A7" s="1021"/>
      <c r="B7" s="1022"/>
      <c r="C7" s="1010"/>
      <c r="D7" s="1022"/>
    </row>
    <row r="8" spans="1:22" s="1018" customFormat="1">
      <c r="A8" s="1021"/>
      <c r="B8" s="1022"/>
      <c r="C8" s="1010"/>
      <c r="D8" s="1023"/>
      <c r="E8" s="1287" t="s">
        <v>189</v>
      </c>
      <c r="F8" s="1288"/>
      <c r="G8" s="1289"/>
      <c r="H8" s="1024"/>
      <c r="M8" s="1290"/>
      <c r="N8" s="1290"/>
      <c r="O8" s="1290"/>
    </row>
    <row r="9" spans="1:22" s="1018" customFormat="1">
      <c r="A9" s="1011"/>
      <c r="B9" s="1117"/>
      <c r="C9" s="1117"/>
      <c r="D9" s="1118"/>
      <c r="E9" s="1026" t="s">
        <v>432</v>
      </c>
      <c r="F9" s="1027" t="s">
        <v>64</v>
      </c>
      <c r="G9" s="1028" t="s">
        <v>63</v>
      </c>
      <c r="H9" s="1119" t="s">
        <v>368</v>
      </c>
      <c r="I9" s="1120" t="s">
        <v>351</v>
      </c>
      <c r="J9" s="1027" t="s">
        <v>638</v>
      </c>
      <c r="K9" s="1120" t="s">
        <v>1599</v>
      </c>
      <c r="L9" s="1120" t="s">
        <v>1599</v>
      </c>
      <c r="M9" s="1120" t="s">
        <v>1602</v>
      </c>
      <c r="N9" s="1120" t="s">
        <v>1604</v>
      </c>
      <c r="O9" s="1029"/>
      <c r="P9" s="1029"/>
    </row>
    <row r="10" spans="1:22" s="1018" customFormat="1">
      <c r="A10" s="1011"/>
      <c r="B10" s="1030" t="s">
        <v>66</v>
      </c>
      <c r="C10" s="1030" t="s">
        <v>431</v>
      </c>
      <c r="D10" s="1031" t="s">
        <v>346</v>
      </c>
      <c r="E10" s="1032" t="s">
        <v>354</v>
      </c>
      <c r="F10" s="1033" t="s">
        <v>354</v>
      </c>
      <c r="G10" s="1034" t="s">
        <v>354</v>
      </c>
      <c r="H10" s="1035" t="s">
        <v>354</v>
      </c>
      <c r="I10" s="1033" t="s">
        <v>350</v>
      </c>
      <c r="J10" s="1033"/>
      <c r="K10" s="1033" t="s">
        <v>1600</v>
      </c>
      <c r="L10" s="1033" t="s">
        <v>1601</v>
      </c>
      <c r="M10" s="1033" t="s">
        <v>1603</v>
      </c>
      <c r="N10" s="1033" t="s">
        <v>1603</v>
      </c>
      <c r="O10" s="1029"/>
    </row>
    <row r="11" spans="1:22" s="1018" customFormat="1">
      <c r="A11" s="1011"/>
      <c r="B11" s="1108" t="s">
        <v>583</v>
      </c>
      <c r="C11" s="1109" t="s">
        <v>409</v>
      </c>
      <c r="D11" s="1121" t="s">
        <v>69</v>
      </c>
      <c r="E11" s="735">
        <v>0.56000000000000005</v>
      </c>
      <c r="F11" s="735">
        <v>0.3</v>
      </c>
      <c r="G11" s="735">
        <v>0.3</v>
      </c>
      <c r="H11" s="1122">
        <v>8</v>
      </c>
      <c r="I11" s="1109">
        <v>1</v>
      </c>
      <c r="J11" s="420">
        <v>0.6</v>
      </c>
      <c r="K11" s="1109">
        <v>1.05</v>
      </c>
      <c r="L11" s="1109">
        <v>1.3</v>
      </c>
      <c r="M11" s="1109">
        <v>0</v>
      </c>
      <c r="N11" s="1109">
        <v>0</v>
      </c>
      <c r="O11" s="1029"/>
      <c r="P11" s="1039"/>
      <c r="Q11" s="1040"/>
      <c r="R11" s="1039"/>
      <c r="S11" s="1039"/>
    </row>
    <row r="12" spans="1:22" s="1018" customFormat="1">
      <c r="A12" s="1011"/>
      <c r="B12" s="1108" t="s">
        <v>584</v>
      </c>
      <c r="C12" s="1109" t="s">
        <v>409</v>
      </c>
      <c r="D12" s="1121" t="s">
        <v>68</v>
      </c>
      <c r="E12" s="735">
        <v>0.5</v>
      </c>
      <c r="F12" s="735">
        <v>0.3</v>
      </c>
      <c r="G12" s="735">
        <v>0.3</v>
      </c>
      <c r="H12" s="1122">
        <v>8</v>
      </c>
      <c r="I12" s="1109">
        <v>1</v>
      </c>
      <c r="J12" s="420">
        <v>0.6</v>
      </c>
      <c r="K12" s="1109">
        <v>1.05</v>
      </c>
      <c r="L12" s="1109">
        <v>1.3</v>
      </c>
      <c r="M12" s="1109">
        <v>0</v>
      </c>
      <c r="N12" s="1109">
        <v>0</v>
      </c>
      <c r="O12" s="1029"/>
      <c r="P12" s="1041"/>
      <c r="Q12" s="1039"/>
      <c r="R12" s="1039"/>
      <c r="S12" s="1039"/>
    </row>
    <row r="13" spans="1:22" s="1018" customFormat="1">
      <c r="A13" s="1011"/>
      <c r="B13" s="1108" t="s">
        <v>585</v>
      </c>
      <c r="C13" s="1109" t="s">
        <v>409</v>
      </c>
      <c r="D13" s="1121" t="s">
        <v>433</v>
      </c>
      <c r="E13" s="735">
        <v>0.5</v>
      </c>
      <c r="F13" s="735">
        <v>0.3</v>
      </c>
      <c r="G13" s="735">
        <v>0.3</v>
      </c>
      <c r="H13" s="1122">
        <v>7.5</v>
      </c>
      <c r="I13" s="1109">
        <v>1</v>
      </c>
      <c r="J13" s="420">
        <v>0.55000000000000004</v>
      </c>
      <c r="K13" s="1109">
        <v>1.05</v>
      </c>
      <c r="L13" s="1109">
        <v>1.3</v>
      </c>
      <c r="M13" s="1109">
        <v>0</v>
      </c>
      <c r="N13" s="1109">
        <v>0</v>
      </c>
      <c r="P13" s="299"/>
      <c r="Q13" s="300"/>
      <c r="R13" s="300"/>
      <c r="S13" s="1039"/>
    </row>
    <row r="14" spans="1:22" s="1018" customFormat="1">
      <c r="A14" s="1011"/>
      <c r="B14" s="1108" t="s">
        <v>586</v>
      </c>
      <c r="C14" s="1109" t="s">
        <v>409</v>
      </c>
      <c r="D14" s="1121" t="s">
        <v>434</v>
      </c>
      <c r="E14" s="735">
        <v>0.5</v>
      </c>
      <c r="F14" s="735">
        <v>0.3</v>
      </c>
      <c r="G14" s="735">
        <v>0.3</v>
      </c>
      <c r="H14" s="1122">
        <v>7.5</v>
      </c>
      <c r="I14" s="1109">
        <v>1</v>
      </c>
      <c r="J14" s="420">
        <v>0.5</v>
      </c>
      <c r="K14" s="1109">
        <v>1.05</v>
      </c>
      <c r="L14" s="1109">
        <v>1.3</v>
      </c>
      <c r="M14" s="1109">
        <v>0</v>
      </c>
      <c r="N14" s="1109">
        <v>0</v>
      </c>
      <c r="P14" s="299"/>
      <c r="Q14" s="301"/>
      <c r="R14" s="301"/>
      <c r="S14" s="1039"/>
    </row>
    <row r="15" spans="1:22" s="1018" customFormat="1">
      <c r="A15" s="1011"/>
      <c r="B15" s="1108" t="s">
        <v>587</v>
      </c>
      <c r="C15" s="1109" t="s">
        <v>409</v>
      </c>
      <c r="D15" s="1121" t="s">
        <v>435</v>
      </c>
      <c r="E15" s="735">
        <v>0.5</v>
      </c>
      <c r="F15" s="735">
        <v>0.3</v>
      </c>
      <c r="G15" s="735">
        <v>0.3</v>
      </c>
      <c r="H15" s="1122">
        <v>7.5</v>
      </c>
      <c r="I15" s="1109">
        <v>1</v>
      </c>
      <c r="J15" s="420">
        <v>0.6</v>
      </c>
      <c r="K15" s="1109">
        <v>1.05</v>
      </c>
      <c r="L15" s="1109">
        <v>1.3</v>
      </c>
      <c r="M15" s="1109">
        <v>0</v>
      </c>
      <c r="N15" s="1109">
        <v>0</v>
      </c>
      <c r="P15" s="299"/>
      <c r="Q15" s="301"/>
      <c r="R15" s="301"/>
      <c r="S15" s="1039"/>
    </row>
    <row r="16" spans="1:22" s="1018" customFormat="1">
      <c r="A16" s="1011"/>
      <c r="B16" s="1108" t="s">
        <v>588</v>
      </c>
      <c r="C16" s="1109" t="s">
        <v>409</v>
      </c>
      <c r="D16" s="1121" t="s">
        <v>436</v>
      </c>
      <c r="E16" s="735">
        <v>0.5</v>
      </c>
      <c r="F16" s="735">
        <v>0.3</v>
      </c>
      <c r="G16" s="735">
        <v>0.3</v>
      </c>
      <c r="H16" s="1122">
        <v>7.5</v>
      </c>
      <c r="I16" s="1109">
        <v>1</v>
      </c>
      <c r="J16" s="420">
        <v>0.5</v>
      </c>
      <c r="K16" s="1109">
        <v>1.05</v>
      </c>
      <c r="L16" s="1109">
        <v>1.3</v>
      </c>
      <c r="M16" s="1109">
        <v>0</v>
      </c>
      <c r="N16" s="1109">
        <v>0</v>
      </c>
      <c r="P16" s="299"/>
      <c r="Q16" s="301"/>
      <c r="R16" s="301"/>
      <c r="S16" s="1039"/>
    </row>
    <row r="17" spans="1:22" s="1018" customFormat="1">
      <c r="A17" s="1011"/>
      <c r="B17" s="1108" t="s">
        <v>589</v>
      </c>
      <c r="C17" s="1109" t="s">
        <v>410</v>
      </c>
      <c r="D17" s="1121" t="s">
        <v>69</v>
      </c>
      <c r="E17" s="735">
        <v>0.56000000000000005</v>
      </c>
      <c r="F17" s="735">
        <v>0.24</v>
      </c>
      <c r="G17" s="735">
        <v>0.26</v>
      </c>
      <c r="H17" s="1122">
        <v>3.3</v>
      </c>
      <c r="I17" s="1109">
        <v>124</v>
      </c>
      <c r="J17" s="420">
        <v>0.8</v>
      </c>
      <c r="K17" s="1109">
        <v>130.80000000000001</v>
      </c>
      <c r="L17" s="1109">
        <v>160.5</v>
      </c>
      <c r="M17" s="1109" t="s">
        <v>349</v>
      </c>
      <c r="N17" s="1109">
        <v>16</v>
      </c>
      <c r="O17" s="1037"/>
      <c r="P17" s="299"/>
      <c r="Q17" s="301"/>
      <c r="R17" s="301"/>
      <c r="S17" s="1039"/>
    </row>
    <row r="18" spans="1:22" s="1018" customFormat="1">
      <c r="A18" s="1011"/>
      <c r="B18" s="1108" t="s">
        <v>590</v>
      </c>
      <c r="C18" s="1109" t="s">
        <v>410</v>
      </c>
      <c r="D18" s="1121" t="s">
        <v>68</v>
      </c>
      <c r="E18" s="735">
        <v>0.56000000000000005</v>
      </c>
      <c r="F18" s="735">
        <v>0.24</v>
      </c>
      <c r="G18" s="735">
        <v>0.26</v>
      </c>
      <c r="H18" s="1122">
        <v>3.3</v>
      </c>
      <c r="I18" s="1109">
        <v>124</v>
      </c>
      <c r="J18" s="420">
        <v>0.8</v>
      </c>
      <c r="K18" s="1109">
        <v>130.80000000000001</v>
      </c>
      <c r="L18" s="1109">
        <v>160.5</v>
      </c>
      <c r="M18" s="1109">
        <v>23.3</v>
      </c>
      <c r="N18" s="1109">
        <v>16</v>
      </c>
      <c r="O18" s="1037"/>
      <c r="P18" s="299"/>
      <c r="Q18" s="301"/>
      <c r="R18" s="301"/>
      <c r="S18" s="1039"/>
    </row>
    <row r="19" spans="1:22" s="1018" customFormat="1">
      <c r="A19" s="1011"/>
      <c r="B19" s="1108" t="s">
        <v>591</v>
      </c>
      <c r="C19" s="1109" t="s">
        <v>409</v>
      </c>
      <c r="D19" s="1121" t="s">
        <v>446</v>
      </c>
      <c r="E19" s="735">
        <v>0.52</v>
      </c>
      <c r="F19" s="735">
        <v>0.28999999999999998</v>
      </c>
      <c r="G19" s="735">
        <v>0.29000000000000004</v>
      </c>
      <c r="H19" s="1122">
        <v>6</v>
      </c>
      <c r="I19" s="1109">
        <v>1</v>
      </c>
      <c r="J19" s="420">
        <v>1</v>
      </c>
      <c r="K19" s="1109">
        <v>1.05</v>
      </c>
      <c r="L19" s="1109">
        <v>1.3</v>
      </c>
      <c r="M19" s="1109">
        <v>0</v>
      </c>
      <c r="N19" s="1109">
        <v>0</v>
      </c>
      <c r="O19" s="1037"/>
      <c r="P19" s="299"/>
      <c r="Q19" s="301"/>
      <c r="R19" s="301"/>
      <c r="S19" s="1039"/>
    </row>
    <row r="20" spans="1:22" s="1018" customFormat="1">
      <c r="A20" s="1011"/>
      <c r="C20" s="1020"/>
      <c r="D20" s="1029"/>
      <c r="E20" s="1029"/>
      <c r="F20" s="1029"/>
      <c r="G20" s="1029"/>
      <c r="H20" s="1029"/>
      <c r="I20" s="1029"/>
      <c r="J20" s="1029"/>
      <c r="K20" s="1029"/>
      <c r="L20" s="1029"/>
      <c r="M20" s="1029"/>
      <c r="N20" s="1029"/>
      <c r="O20" s="1029"/>
      <c r="P20" s="299"/>
      <c r="Q20" s="300"/>
      <c r="R20" s="301"/>
      <c r="S20" s="1039"/>
    </row>
    <row r="21" spans="1:22" s="1047" customFormat="1" ht="15.75">
      <c r="A21" s="1042">
        <v>2</v>
      </c>
      <c r="B21" s="1016" t="s">
        <v>631</v>
      </c>
      <c r="C21" s="1043"/>
      <c r="D21" s="1042"/>
      <c r="E21" s="1042"/>
      <c r="F21" s="1042"/>
      <c r="G21" s="1042"/>
      <c r="H21" s="1044"/>
      <c r="I21" s="1044"/>
      <c r="J21" s="1045"/>
      <c r="K21" s="1012"/>
      <c r="L21" s="1046"/>
      <c r="M21" s="1012"/>
      <c r="N21" s="1012"/>
      <c r="O21" s="1012"/>
      <c r="P21" s="1012"/>
      <c r="Q21" s="1012"/>
      <c r="R21" s="1012"/>
      <c r="S21" s="1012"/>
      <c r="T21" s="1012"/>
      <c r="U21" s="1014"/>
      <c r="V21" s="1014"/>
    </row>
    <row r="22" spans="1:22" s="1018" customFormat="1" ht="11.25">
      <c r="A22" s="1048"/>
      <c r="B22" s="1025"/>
      <c r="C22" s="1027"/>
      <c r="D22" s="1049"/>
      <c r="E22" s="1050" t="s">
        <v>35</v>
      </c>
      <c r="F22" s="1051"/>
      <c r="G22" s="1052"/>
      <c r="H22" s="1049"/>
      <c r="I22" s="1050" t="s">
        <v>34</v>
      </c>
      <c r="J22" s="1051"/>
      <c r="K22" s="1052"/>
      <c r="L22" s="1049"/>
      <c r="M22" s="1050" t="s">
        <v>33</v>
      </c>
      <c r="N22" s="1053"/>
      <c r="O22" s="1052"/>
      <c r="P22" s="1054"/>
    </row>
    <row r="23" spans="1:22" s="1018" customFormat="1" ht="11.25">
      <c r="A23" s="1048"/>
      <c r="B23" s="1025"/>
      <c r="C23" s="1055" t="s">
        <v>409</v>
      </c>
      <c r="D23" s="1056">
        <f>SUM(D26:D36)</f>
        <v>1</v>
      </c>
      <c r="E23" s="1057">
        <v>52745.061599999994</v>
      </c>
      <c r="F23" s="1058"/>
      <c r="G23" s="1059"/>
      <c r="H23" s="1056">
        <f>SUM(H26:H36)</f>
        <v>1</v>
      </c>
      <c r="I23" s="1057">
        <v>57053.581200000001</v>
      </c>
      <c r="J23" s="1058"/>
      <c r="K23" s="1059"/>
      <c r="L23" s="1056">
        <f>SUM(L26:L36)</f>
        <v>1</v>
      </c>
      <c r="M23" s="1057">
        <v>63228.211200000005</v>
      </c>
      <c r="N23" s="1060"/>
      <c r="O23" s="1059"/>
      <c r="P23" s="1054"/>
    </row>
    <row r="24" spans="1:22" s="1018" customFormat="1" ht="11.25">
      <c r="A24" s="1048"/>
      <c r="B24" s="1025"/>
      <c r="C24" s="1058" t="s">
        <v>410</v>
      </c>
      <c r="D24" s="1061"/>
      <c r="E24" s="1059"/>
      <c r="F24" s="1062">
        <f>SUM(F26:F36)</f>
        <v>1</v>
      </c>
      <c r="G24" s="1063">
        <v>117400.29839999999</v>
      </c>
      <c r="H24" s="1061"/>
      <c r="I24" s="1059"/>
      <c r="J24" s="1062">
        <f>SUM(J26:J36)</f>
        <v>1</v>
      </c>
      <c r="K24" s="1063">
        <v>124068.89880000001</v>
      </c>
      <c r="L24" s="1061"/>
      <c r="M24" s="1059"/>
      <c r="N24" s="1062">
        <f>SUM(N26:N36)</f>
        <v>1</v>
      </c>
      <c r="O24" s="1063">
        <v>134359.94879999998</v>
      </c>
      <c r="P24" s="1054"/>
    </row>
    <row r="25" spans="1:22" s="1018" customFormat="1" ht="11.25">
      <c r="A25" s="1048"/>
      <c r="B25" s="1030" t="s">
        <v>66</v>
      </c>
      <c r="C25" s="1030" t="s">
        <v>431</v>
      </c>
      <c r="D25" s="1064"/>
      <c r="E25" s="1034"/>
      <c r="F25" s="1030"/>
      <c r="G25" s="1065"/>
      <c r="H25" s="1064"/>
      <c r="I25" s="1034"/>
      <c r="J25" s="1030"/>
      <c r="K25" s="1065"/>
      <c r="L25" s="1064"/>
      <c r="M25" s="1034"/>
      <c r="N25" s="1066"/>
      <c r="O25" s="1065"/>
      <c r="P25" s="1054"/>
    </row>
    <row r="26" spans="1:22" s="1108" customFormat="1" ht="11.25">
      <c r="A26" s="1107"/>
      <c r="B26" s="1108" t="str">
        <f>B11</f>
        <v>BR01-01</v>
      </c>
      <c r="C26" s="1109" t="str">
        <f>C11</f>
        <v>[retail]</v>
      </c>
      <c r="D26" s="1112">
        <v>0.13</v>
      </c>
      <c r="E26" s="1110">
        <f t="shared" ref="E26:E34" si="0">IF(C26="[retail]",VLOOKUP(C26, retail_wholesale_oper,3,FALSE)*D26,"")</f>
        <v>6856.8580079999992</v>
      </c>
      <c r="F26" s="1109"/>
      <c r="G26" s="327" t="str">
        <f t="shared" ref="G26:G34" si="1">IF(C26="[wholesale]",F26*VLOOKUP(C26,retail_wholesale_oper,5,FALSE),"")</f>
        <v/>
      </c>
      <c r="H26" s="1112">
        <v>0.13</v>
      </c>
      <c r="I26" s="1110">
        <f t="shared" ref="I26:I34" si="2">IF(C26="[retail]",VLOOKUP(C26,retail_wholesale_oper,7,FALSE)*H26,"")</f>
        <v>7416.9655560000001</v>
      </c>
      <c r="J26" s="1109"/>
      <c r="K26" s="309" t="str">
        <f t="shared" ref="K26:K34" si="3">IF(C26="[wholesale]",VLOOKUP(C26,retail_wholesale_oper,9,FALSE)*J26,"")</f>
        <v/>
      </c>
      <c r="L26" s="1112">
        <v>0.13</v>
      </c>
      <c r="M26" s="1110">
        <f t="shared" ref="M26:M34" si="4">IF(C26="[retail]",VLOOKUP(C26,retail_wholesale_oper,11,FALSE)*L26,"")</f>
        <v>8219.667456000001</v>
      </c>
      <c r="N26" s="1111"/>
      <c r="O26" s="1110" t="str">
        <f t="shared" ref="O26:O34" si="5">IF(C26="[wholesale]",VLOOKUP(C26,retail_wholesale_oper,13,FALSE)*N26,"")</f>
        <v/>
      </c>
      <c r="P26" s="1111"/>
    </row>
    <row r="27" spans="1:22" s="1108" customFormat="1" ht="11.25">
      <c r="A27" s="1107"/>
      <c r="B27" s="1108" t="str">
        <f t="shared" ref="B27:C34" si="6">B12</f>
        <v>BR01-02</v>
      </c>
      <c r="C27" s="1109" t="str">
        <f t="shared" si="6"/>
        <v>[retail]</v>
      </c>
      <c r="D27" s="1112">
        <v>0.13</v>
      </c>
      <c r="E27" s="1110">
        <f t="shared" si="0"/>
        <v>6856.8580079999992</v>
      </c>
      <c r="F27" s="1109"/>
      <c r="G27" s="327" t="str">
        <f t="shared" si="1"/>
        <v/>
      </c>
      <c r="H27" s="1112">
        <v>0.13</v>
      </c>
      <c r="I27" s="1110">
        <f t="shared" si="2"/>
        <v>7416.9655560000001</v>
      </c>
      <c r="J27" s="1109"/>
      <c r="K27" s="309" t="str">
        <f t="shared" si="3"/>
        <v/>
      </c>
      <c r="L27" s="1112">
        <v>0.13</v>
      </c>
      <c r="M27" s="1110">
        <f t="shared" si="4"/>
        <v>8219.667456000001</v>
      </c>
      <c r="N27" s="1111"/>
      <c r="O27" s="1110" t="str">
        <f t="shared" si="5"/>
        <v/>
      </c>
      <c r="P27" s="1111"/>
    </row>
    <row r="28" spans="1:22" s="1108" customFormat="1" ht="11.25">
      <c r="A28" s="1107"/>
      <c r="B28" s="1108" t="str">
        <f t="shared" si="6"/>
        <v>BR01-03</v>
      </c>
      <c r="C28" s="1109" t="str">
        <f t="shared" si="6"/>
        <v>[retail]</v>
      </c>
      <c r="D28" s="1112">
        <v>0.17</v>
      </c>
      <c r="E28" s="1110">
        <f t="shared" si="0"/>
        <v>8966.6604719999996</v>
      </c>
      <c r="F28" s="1109"/>
      <c r="G28" s="327" t="str">
        <f t="shared" si="1"/>
        <v/>
      </c>
      <c r="H28" s="1112">
        <v>0.17</v>
      </c>
      <c r="I28" s="1110">
        <f t="shared" si="2"/>
        <v>9699.1088040000013</v>
      </c>
      <c r="J28" s="1109"/>
      <c r="K28" s="309" t="str">
        <f t="shared" si="3"/>
        <v/>
      </c>
      <c r="L28" s="1112">
        <v>0.17</v>
      </c>
      <c r="M28" s="1110">
        <f t="shared" si="4"/>
        <v>10748.795904000002</v>
      </c>
      <c r="N28" s="1111"/>
      <c r="O28" s="1110" t="str">
        <f t="shared" si="5"/>
        <v/>
      </c>
      <c r="P28" s="1111"/>
    </row>
    <row r="29" spans="1:22" s="1108" customFormat="1" ht="11.25">
      <c r="A29" s="1107"/>
      <c r="B29" s="1108" t="str">
        <f t="shared" si="6"/>
        <v>BR01-04</v>
      </c>
      <c r="C29" s="1109" t="str">
        <f t="shared" si="6"/>
        <v>[retail]</v>
      </c>
      <c r="D29" s="1112">
        <v>0.19</v>
      </c>
      <c r="E29" s="1110">
        <f t="shared" si="0"/>
        <v>10021.561704</v>
      </c>
      <c r="F29" s="1109"/>
      <c r="G29" s="327" t="str">
        <f t="shared" si="1"/>
        <v/>
      </c>
      <c r="H29" s="1112">
        <v>0.19</v>
      </c>
      <c r="I29" s="1110">
        <f t="shared" si="2"/>
        <v>10840.180428</v>
      </c>
      <c r="J29" s="1109"/>
      <c r="K29" s="309" t="str">
        <f t="shared" si="3"/>
        <v/>
      </c>
      <c r="L29" s="1112">
        <v>0.19</v>
      </c>
      <c r="M29" s="1110">
        <f t="shared" si="4"/>
        <v>12013.360128</v>
      </c>
      <c r="N29" s="1111"/>
      <c r="O29" s="1110" t="str">
        <f t="shared" si="5"/>
        <v/>
      </c>
      <c r="P29" s="1111"/>
    </row>
    <row r="30" spans="1:22" s="1108" customFormat="1" ht="11.25">
      <c r="A30" s="1107"/>
      <c r="B30" s="1108" t="str">
        <f t="shared" si="6"/>
        <v>BR01-05</v>
      </c>
      <c r="C30" s="1109" t="str">
        <f t="shared" si="6"/>
        <v>[retail]</v>
      </c>
      <c r="D30" s="1112">
        <v>0.22</v>
      </c>
      <c r="E30" s="1110">
        <f t="shared" si="0"/>
        <v>11603.913551999998</v>
      </c>
      <c r="F30" s="1109"/>
      <c r="G30" s="327" t="str">
        <f t="shared" si="1"/>
        <v/>
      </c>
      <c r="H30" s="1112">
        <v>0.22</v>
      </c>
      <c r="I30" s="1110">
        <f t="shared" si="2"/>
        <v>12551.787864</v>
      </c>
      <c r="J30" s="1109"/>
      <c r="K30" s="309" t="str">
        <f t="shared" si="3"/>
        <v/>
      </c>
      <c r="L30" s="1112">
        <v>0.22</v>
      </c>
      <c r="M30" s="1110">
        <f t="shared" si="4"/>
        <v>13910.206464000001</v>
      </c>
      <c r="N30" s="1111"/>
      <c r="O30" s="1110" t="str">
        <f t="shared" si="5"/>
        <v/>
      </c>
      <c r="P30" s="1111"/>
    </row>
    <row r="31" spans="1:22" s="1108" customFormat="1" ht="11.25">
      <c r="A31" s="1107"/>
      <c r="B31" s="1108" t="str">
        <f t="shared" si="6"/>
        <v>BR01-06</v>
      </c>
      <c r="C31" s="1109" t="str">
        <f t="shared" si="6"/>
        <v>[retail]</v>
      </c>
      <c r="D31" s="1114">
        <v>0.16</v>
      </c>
      <c r="E31" s="1110">
        <f t="shared" si="0"/>
        <v>8439.2098559999995</v>
      </c>
      <c r="F31" s="1109"/>
      <c r="G31" s="327" t="str">
        <f t="shared" si="1"/>
        <v/>
      </c>
      <c r="H31" s="1114">
        <v>0.16</v>
      </c>
      <c r="I31" s="1110">
        <f t="shared" si="2"/>
        <v>9128.5729919999994</v>
      </c>
      <c r="J31" s="1109"/>
      <c r="K31" s="309" t="str">
        <f t="shared" si="3"/>
        <v/>
      </c>
      <c r="L31" s="1114">
        <v>0.16</v>
      </c>
      <c r="M31" s="1110">
        <f t="shared" si="4"/>
        <v>10116.513792000002</v>
      </c>
      <c r="N31" s="1111"/>
      <c r="O31" s="1110" t="str">
        <f t="shared" si="5"/>
        <v/>
      </c>
      <c r="P31" s="1111"/>
    </row>
    <row r="32" spans="1:22" s="1108" customFormat="1" ht="11.25">
      <c r="A32" s="1107"/>
      <c r="B32" s="1108" t="str">
        <f t="shared" si="6"/>
        <v>BR01-07</v>
      </c>
      <c r="C32" s="1109" t="str">
        <f t="shared" si="6"/>
        <v>[wholesale]</v>
      </c>
      <c r="D32" s="1109"/>
      <c r="E32" s="1110" t="str">
        <f t="shared" si="0"/>
        <v/>
      </c>
      <c r="F32" s="1112">
        <v>0.45</v>
      </c>
      <c r="G32" s="327">
        <f t="shared" si="1"/>
        <v>52830.134279999991</v>
      </c>
      <c r="H32" s="1109"/>
      <c r="I32" s="1110" t="str">
        <f t="shared" si="2"/>
        <v/>
      </c>
      <c r="J32" s="1112">
        <v>0.48</v>
      </c>
      <c r="K32" s="309">
        <f t="shared" si="3"/>
        <v>59553.071424000002</v>
      </c>
      <c r="L32" s="1109"/>
      <c r="M32" s="1110" t="str">
        <f t="shared" si="4"/>
        <v/>
      </c>
      <c r="N32" s="512">
        <v>0.5</v>
      </c>
      <c r="O32" s="1110">
        <f t="shared" si="5"/>
        <v>67179.974399999992</v>
      </c>
      <c r="P32" s="1111"/>
    </row>
    <row r="33" spans="1:48" s="1108" customFormat="1" ht="11.25">
      <c r="A33" s="1107"/>
      <c r="B33" s="1108" t="str">
        <f t="shared" si="6"/>
        <v>BR01-08</v>
      </c>
      <c r="C33" s="1109" t="str">
        <f t="shared" si="6"/>
        <v>[wholesale]</v>
      </c>
      <c r="D33" s="1109"/>
      <c r="E33" s="1110" t="str">
        <f t="shared" si="0"/>
        <v/>
      </c>
      <c r="F33" s="1114">
        <v>0.55000000000000004</v>
      </c>
      <c r="G33" s="327">
        <f t="shared" si="1"/>
        <v>64570.164119999994</v>
      </c>
      <c r="H33" s="1109"/>
      <c r="I33" s="1110" t="str">
        <f t="shared" si="2"/>
        <v/>
      </c>
      <c r="J33" s="1114">
        <v>0.52</v>
      </c>
      <c r="K33" s="309">
        <f t="shared" si="3"/>
        <v>64515.827376000008</v>
      </c>
      <c r="L33" s="1109"/>
      <c r="M33" s="1110" t="str">
        <f t="shared" si="4"/>
        <v/>
      </c>
      <c r="N33" s="1116">
        <v>0.5</v>
      </c>
      <c r="O33" s="1110">
        <f t="shared" si="5"/>
        <v>67179.974399999992</v>
      </c>
      <c r="P33" s="1111"/>
    </row>
    <row r="34" spans="1:48" s="1108" customFormat="1" ht="11.25">
      <c r="A34" s="1107"/>
      <c r="B34" s="1108" t="str">
        <f t="shared" si="6"/>
        <v>BR01-09</v>
      </c>
      <c r="C34" s="1109" t="str">
        <f>C19</f>
        <v>[retail]</v>
      </c>
      <c r="D34" s="1038">
        <v>0</v>
      </c>
      <c r="E34" s="1110">
        <f t="shared" si="0"/>
        <v>0</v>
      </c>
      <c r="F34" s="1113"/>
      <c r="G34" s="327" t="str">
        <f t="shared" si="1"/>
        <v/>
      </c>
      <c r="H34" s="1038">
        <v>0</v>
      </c>
      <c r="I34" s="1110">
        <f t="shared" si="2"/>
        <v>0</v>
      </c>
      <c r="J34" s="1113"/>
      <c r="K34" s="309" t="str">
        <f t="shared" si="3"/>
        <v/>
      </c>
      <c r="L34" s="1038">
        <v>0</v>
      </c>
      <c r="M34" s="1110">
        <f t="shared" si="4"/>
        <v>0</v>
      </c>
      <c r="N34" s="1115"/>
      <c r="O34" s="1110" t="str">
        <f t="shared" si="5"/>
        <v/>
      </c>
      <c r="P34" s="1111"/>
    </row>
    <row r="35" spans="1:48" s="1047" customFormat="1" ht="12">
      <c r="B35" s="1067"/>
      <c r="C35" s="1018"/>
      <c r="D35" s="1029"/>
      <c r="E35" s="1068"/>
      <c r="F35" s="1029"/>
      <c r="G35" s="1068"/>
      <c r="H35" s="1029"/>
      <c r="I35" s="1068"/>
      <c r="J35" s="1029"/>
      <c r="K35" s="1068"/>
      <c r="L35" s="1029"/>
      <c r="M35" s="1068"/>
      <c r="N35" s="1029"/>
      <c r="O35" s="1068"/>
      <c r="P35" s="1018"/>
      <c r="Q35" s="1018"/>
      <c r="R35" s="1069"/>
      <c r="S35" s="1040"/>
      <c r="T35" s="1012"/>
      <c r="U35" s="1012"/>
      <c r="V35" s="1014"/>
      <c r="W35" s="1014"/>
    </row>
    <row r="36" spans="1:48">
      <c r="B36" s="1012"/>
      <c r="C36" s="1012"/>
      <c r="D36" s="1012"/>
      <c r="E36" s="1070"/>
      <c r="F36" s="1012"/>
      <c r="G36" s="1070"/>
      <c r="H36" s="1012"/>
      <c r="I36" s="1070"/>
      <c r="J36" s="1012"/>
      <c r="K36" s="1070"/>
      <c r="L36" s="1012"/>
      <c r="M36" s="1070"/>
      <c r="N36" s="1012"/>
      <c r="O36" s="1070"/>
      <c r="P36" s="1012"/>
      <c r="Q36" s="1012"/>
      <c r="R36" s="1012"/>
      <c r="S36" s="1012"/>
      <c r="T36" s="1012"/>
      <c r="U36" s="1010"/>
    </row>
    <row r="37" spans="1:48" ht="15.75">
      <c r="A37" s="1042">
        <v>3</v>
      </c>
      <c r="B37" s="1071" t="s">
        <v>632</v>
      </c>
      <c r="C37" s="1043"/>
      <c r="D37" s="1042"/>
      <c r="E37" s="1072"/>
      <c r="F37" s="1072"/>
      <c r="G37" s="1043"/>
      <c r="H37" s="1043"/>
      <c r="I37" s="1043"/>
      <c r="J37" s="1043"/>
      <c r="K37" s="1012"/>
      <c r="L37" s="1012"/>
      <c r="M37" s="1012"/>
      <c r="N37" s="1012"/>
      <c r="O37" s="1012"/>
      <c r="P37" s="1012"/>
      <c r="Q37" s="1012"/>
      <c r="R37" s="1012"/>
      <c r="S37" s="1012"/>
      <c r="T37" s="1010"/>
    </row>
    <row r="38" spans="1:48">
      <c r="B38" s="1012"/>
      <c r="C38" s="1012"/>
      <c r="D38" s="1012"/>
      <c r="E38" s="1012"/>
      <c r="F38" s="1046"/>
      <c r="G38" s="1046"/>
      <c r="H38" s="1046"/>
      <c r="I38" s="294"/>
      <c r="J38" s="294"/>
      <c r="K38" s="295"/>
      <c r="L38" s="1012"/>
      <c r="M38" s="1012"/>
      <c r="N38" s="1012"/>
      <c r="O38" s="1012"/>
      <c r="P38" s="1012"/>
      <c r="Q38" s="1012"/>
      <c r="R38" s="1012"/>
      <c r="S38" s="1012"/>
      <c r="T38" s="1012"/>
      <c r="U38" s="1010"/>
    </row>
    <row r="39" spans="1:48" s="1074" customFormat="1">
      <c r="A39" s="1073"/>
      <c r="B39" s="1074" t="s">
        <v>437</v>
      </c>
      <c r="D39" s="1031" t="str">
        <f>B11</f>
        <v>BR01-01</v>
      </c>
      <c r="E39" s="1033" t="str">
        <f>IF(B12="","",B12)</f>
        <v>BR01-02</v>
      </c>
      <c r="F39" s="1033" t="str">
        <f>IF(B13="","",B13)</f>
        <v>BR01-03</v>
      </c>
      <c r="G39" s="1033" t="str">
        <f>IF(B14="","",B14)</f>
        <v>BR01-04</v>
      </c>
      <c r="H39" s="1030" t="str">
        <f>IF(B15="","",B15)</f>
        <v>BR01-05</v>
      </c>
      <c r="I39" s="1030" t="str">
        <f>IF(B16="","",B16)</f>
        <v>BR01-06</v>
      </c>
      <c r="J39" s="1030" t="str">
        <f>IF(B17="","",B17)</f>
        <v>BR01-07</v>
      </c>
      <c r="K39" s="1030" t="str">
        <f>IFERROR(IF(B18="","",B18),"")</f>
        <v>BR01-08</v>
      </c>
      <c r="L39" s="1030" t="str">
        <f>IFERROR(IF(B19="","",B19),"")</f>
        <v>BR01-09</v>
      </c>
      <c r="M39" s="1010"/>
      <c r="N39" s="1010"/>
      <c r="O39" s="1010"/>
      <c r="P39" s="1010"/>
      <c r="Q39" s="1010"/>
      <c r="R39" s="1010"/>
      <c r="S39" s="1010"/>
      <c r="T39" s="1010"/>
      <c r="U39" s="1010"/>
      <c r="V39" s="1010"/>
      <c r="W39" s="1010"/>
      <c r="X39" s="1010"/>
      <c r="Y39" s="1010"/>
      <c r="Z39" s="1010"/>
      <c r="AA39" s="1010"/>
      <c r="AB39" s="1010"/>
      <c r="AC39" s="1010"/>
      <c r="AD39" s="1010"/>
      <c r="AE39" s="1010"/>
      <c r="AF39" s="1010"/>
      <c r="AG39" s="1010"/>
      <c r="AH39" s="1010"/>
      <c r="AI39" s="1010"/>
      <c r="AJ39" s="1010"/>
      <c r="AK39" s="1010"/>
      <c r="AL39" s="1010"/>
      <c r="AM39" s="1010"/>
      <c r="AN39" s="1010"/>
      <c r="AO39" s="1010"/>
      <c r="AP39" s="1010"/>
      <c r="AQ39" s="1010"/>
      <c r="AR39" s="1010"/>
      <c r="AS39" s="1010"/>
      <c r="AT39" s="1010"/>
      <c r="AU39" s="1010"/>
      <c r="AV39" s="1010"/>
    </row>
    <row r="40" spans="1:48" s="1074" customFormat="1">
      <c r="A40" s="1073"/>
      <c r="D40" s="1033" t="str">
        <f>C11</f>
        <v>[retail]</v>
      </c>
      <c r="E40" s="1033" t="str">
        <f>C12</f>
        <v>[retail]</v>
      </c>
      <c r="F40" s="1033" t="str">
        <f>C13</f>
        <v>[retail]</v>
      </c>
      <c r="G40" s="1033" t="str">
        <f>C14</f>
        <v>[retail]</v>
      </c>
      <c r="H40" s="1033" t="str">
        <f>C15</f>
        <v>[retail]</v>
      </c>
      <c r="I40" s="1033" t="str">
        <f>C16</f>
        <v>[retail]</v>
      </c>
      <c r="J40" s="1033" t="str">
        <f>C17</f>
        <v>[wholesale]</v>
      </c>
      <c r="K40" s="1033" t="str">
        <f>IFERROR(C18,"")</f>
        <v>[wholesale]</v>
      </c>
      <c r="L40" s="1033" t="str">
        <f>IFERROR(C19,"")</f>
        <v>[retail]</v>
      </c>
      <c r="M40" s="1010"/>
      <c r="N40" s="1010"/>
      <c r="O40" s="1010"/>
      <c r="P40" s="1010"/>
      <c r="Q40" s="1010"/>
      <c r="R40" s="1010"/>
      <c r="S40" s="1010"/>
      <c r="T40" s="1010"/>
      <c r="U40" s="1010"/>
      <c r="V40" s="1010"/>
      <c r="W40" s="1010"/>
      <c r="X40" s="1010"/>
      <c r="Y40" s="1010"/>
      <c r="Z40" s="1010"/>
      <c r="AA40" s="1010"/>
      <c r="AB40" s="1010"/>
      <c r="AC40" s="1010"/>
      <c r="AD40" s="1010"/>
      <c r="AE40" s="1010"/>
      <c r="AF40" s="1010"/>
      <c r="AG40" s="1010"/>
      <c r="AH40" s="1010"/>
      <c r="AI40" s="1010"/>
      <c r="AJ40" s="1010"/>
      <c r="AK40" s="1010"/>
      <c r="AL40" s="1010"/>
      <c r="AM40" s="1010"/>
      <c r="AN40" s="1010"/>
      <c r="AO40" s="1010"/>
      <c r="AP40" s="1010"/>
      <c r="AQ40" s="1010"/>
      <c r="AR40" s="1010"/>
      <c r="AS40" s="1010"/>
      <c r="AT40" s="1010"/>
      <c r="AU40" s="1010"/>
      <c r="AV40" s="1010"/>
    </row>
    <row r="41" spans="1:48" s="1074" customFormat="1">
      <c r="A41" s="1073"/>
      <c r="B41" s="1075" t="s">
        <v>35</v>
      </c>
      <c r="C41" s="1075"/>
      <c r="D41" s="1076" t="s">
        <v>411</v>
      </c>
      <c r="E41" s="1075"/>
      <c r="F41" s="1075"/>
      <c r="G41" s="1075"/>
      <c r="H41" s="1075"/>
      <c r="I41" s="1075"/>
      <c r="J41" s="1075"/>
      <c r="K41" s="1075"/>
      <c r="L41" s="1010"/>
      <c r="M41" s="1010"/>
      <c r="N41" s="1010"/>
      <c r="O41" s="1010"/>
      <c r="P41" s="1010"/>
      <c r="Q41" s="1010"/>
      <c r="R41" s="1010"/>
      <c r="S41" s="1010"/>
      <c r="T41" s="1010"/>
      <c r="U41" s="1010"/>
      <c r="V41" s="1010"/>
      <c r="W41" s="1010"/>
      <c r="X41" s="1010"/>
      <c r="Y41" s="1010"/>
      <c r="Z41" s="1010"/>
      <c r="AA41" s="1010"/>
      <c r="AB41" s="1010"/>
      <c r="AC41" s="1010"/>
      <c r="AD41" s="1010"/>
      <c r="AE41" s="1010"/>
      <c r="AF41" s="1010"/>
      <c r="AG41" s="1010"/>
      <c r="AH41" s="1010"/>
      <c r="AI41" s="1010"/>
      <c r="AJ41" s="1010"/>
      <c r="AK41" s="1010"/>
      <c r="AL41" s="1010"/>
      <c r="AM41" s="1010"/>
      <c r="AN41" s="1010"/>
      <c r="AO41" s="1010"/>
      <c r="AP41" s="1010"/>
      <c r="AQ41" s="1010"/>
      <c r="AR41" s="1010"/>
      <c r="AS41" s="1010"/>
      <c r="AT41" s="1010"/>
      <c r="AU41" s="1010"/>
      <c r="AV41" s="1010"/>
    </row>
    <row r="42" spans="1:48" s="1074" customFormat="1">
      <c r="A42" s="304"/>
      <c r="B42" s="1077" t="s">
        <v>47</v>
      </c>
      <c r="C42" s="1123"/>
      <c r="D42" s="188">
        <v>0.06</v>
      </c>
      <c r="E42" s="188">
        <v>0.06</v>
      </c>
      <c r="F42" s="188">
        <v>0.03</v>
      </c>
      <c r="G42" s="188">
        <v>0</v>
      </c>
      <c r="H42" s="188">
        <v>0.12</v>
      </c>
      <c r="I42" s="188">
        <v>0.18</v>
      </c>
      <c r="J42" s="188">
        <v>0.05</v>
      </c>
      <c r="K42" s="188">
        <v>0.05</v>
      </c>
      <c r="L42" s="1124"/>
      <c r="M42" s="1010"/>
      <c r="N42" s="1010"/>
      <c r="O42" s="1010"/>
      <c r="P42" s="1010"/>
      <c r="Q42" s="1010"/>
      <c r="R42" s="1010"/>
      <c r="S42" s="1010"/>
      <c r="T42" s="1010"/>
      <c r="U42" s="1010"/>
      <c r="V42" s="1010"/>
      <c r="W42" s="1010"/>
      <c r="X42" s="1010"/>
      <c r="Y42" s="1010"/>
      <c r="Z42" s="1010"/>
      <c r="AA42" s="1010"/>
      <c r="AB42" s="1010"/>
      <c r="AC42" s="1010"/>
      <c r="AD42" s="1010"/>
      <c r="AE42" s="1010"/>
      <c r="AF42" s="1010"/>
      <c r="AG42" s="1010"/>
      <c r="AH42" s="1010"/>
      <c r="AI42" s="1010"/>
      <c r="AJ42" s="1010"/>
      <c r="AK42" s="1010"/>
      <c r="AL42" s="1010"/>
      <c r="AM42" s="1010"/>
      <c r="AN42" s="1010"/>
      <c r="AO42" s="1010"/>
      <c r="AP42" s="1010"/>
      <c r="AQ42" s="1010"/>
      <c r="AR42" s="1010"/>
      <c r="AS42" s="1010"/>
      <c r="AT42" s="1010"/>
      <c r="AU42" s="1010"/>
      <c r="AV42" s="1010"/>
    </row>
    <row r="43" spans="1:48" s="1074" customFormat="1">
      <c r="A43" s="306"/>
      <c r="B43" s="1077" t="s">
        <v>46</v>
      </c>
      <c r="C43" s="1123"/>
      <c r="D43" s="188">
        <v>0.06</v>
      </c>
      <c r="E43" s="188">
        <v>0.06</v>
      </c>
      <c r="F43" s="188">
        <v>0.04</v>
      </c>
      <c r="G43" s="188">
        <v>0.02</v>
      </c>
      <c r="H43" s="188">
        <v>7.0000000000000007E-2</v>
      </c>
      <c r="I43" s="188">
        <v>0.11</v>
      </c>
      <c r="J43" s="188">
        <v>0.05</v>
      </c>
      <c r="K43" s="188">
        <v>0.05</v>
      </c>
      <c r="L43" s="1124"/>
      <c r="M43" s="1010"/>
      <c r="N43" s="1010"/>
      <c r="O43" s="1010"/>
      <c r="P43" s="1010"/>
      <c r="Q43" s="1010"/>
      <c r="R43" s="1010"/>
      <c r="S43" s="1010"/>
      <c r="T43" s="1010"/>
      <c r="U43" s="1010"/>
      <c r="V43" s="1010"/>
      <c r="W43" s="1010"/>
      <c r="X43" s="1010"/>
      <c r="Y43" s="1010"/>
      <c r="Z43" s="1010"/>
      <c r="AA43" s="1010"/>
      <c r="AB43" s="1010"/>
      <c r="AC43" s="1010"/>
      <c r="AD43" s="1010"/>
      <c r="AE43" s="1010"/>
      <c r="AF43" s="1010"/>
      <c r="AG43" s="1010"/>
      <c r="AH43" s="1010"/>
      <c r="AI43" s="1010"/>
      <c r="AJ43" s="1010"/>
      <c r="AK43" s="1010"/>
      <c r="AL43" s="1010"/>
      <c r="AM43" s="1010"/>
      <c r="AN43" s="1010"/>
      <c r="AO43" s="1010"/>
      <c r="AP43" s="1010"/>
      <c r="AQ43" s="1010"/>
      <c r="AR43" s="1010"/>
      <c r="AS43" s="1010"/>
      <c r="AT43" s="1010"/>
      <c r="AU43" s="1010"/>
      <c r="AV43" s="1010"/>
    </row>
    <row r="44" spans="1:48" s="1074" customFormat="1">
      <c r="B44" s="1078" t="s">
        <v>45</v>
      </c>
      <c r="C44" s="1123"/>
      <c r="D44" s="188">
        <v>0.06</v>
      </c>
      <c r="E44" s="188">
        <v>0.06</v>
      </c>
      <c r="F44" s="188">
        <v>0.06</v>
      </c>
      <c r="G44" s="188">
        <v>0.03</v>
      </c>
      <c r="H44" s="188">
        <v>7.0000000000000007E-2</v>
      </c>
      <c r="I44" s="188">
        <v>0.09</v>
      </c>
      <c r="J44" s="188">
        <v>0.06</v>
      </c>
      <c r="K44" s="188">
        <v>0.06</v>
      </c>
      <c r="L44" s="1124"/>
      <c r="M44" s="1010"/>
      <c r="N44" s="1010"/>
      <c r="O44" s="1010"/>
      <c r="P44" s="1010"/>
      <c r="Q44" s="1010"/>
      <c r="R44" s="1010"/>
      <c r="S44" s="1010"/>
      <c r="T44" s="1010"/>
      <c r="U44" s="1010"/>
      <c r="V44" s="1010"/>
      <c r="W44" s="1010"/>
      <c r="X44" s="1010"/>
      <c r="Y44" s="1010"/>
      <c r="Z44" s="1010"/>
      <c r="AA44" s="1010"/>
      <c r="AB44" s="1010"/>
      <c r="AC44" s="1010"/>
      <c r="AD44" s="1010"/>
      <c r="AE44" s="1010"/>
      <c r="AF44" s="1010"/>
      <c r="AG44" s="1010"/>
      <c r="AH44" s="1010"/>
      <c r="AI44" s="1010"/>
      <c r="AJ44" s="1010"/>
      <c r="AK44" s="1010"/>
      <c r="AL44" s="1010"/>
      <c r="AM44" s="1010"/>
      <c r="AN44" s="1010"/>
      <c r="AO44" s="1010"/>
      <c r="AP44" s="1010"/>
      <c r="AQ44" s="1010"/>
      <c r="AR44" s="1010"/>
      <c r="AS44" s="1010"/>
      <c r="AT44" s="1010"/>
      <c r="AU44" s="1010"/>
      <c r="AV44" s="1010"/>
    </row>
    <row r="45" spans="1:48" s="1074" customFormat="1">
      <c r="B45" s="1078" t="s">
        <v>44</v>
      </c>
      <c r="C45" s="1123"/>
      <c r="D45" s="188">
        <v>0.06</v>
      </c>
      <c r="E45" s="188">
        <v>7.0000000000000007E-2</v>
      </c>
      <c r="F45" s="188">
        <v>7.0000000000000007E-2</v>
      </c>
      <c r="G45" s="188">
        <v>7.0000000000000007E-2</v>
      </c>
      <c r="H45" s="188">
        <v>7.0000000000000007E-2</v>
      </c>
      <c r="I45" s="188">
        <v>7.0000000000000007E-2</v>
      </c>
      <c r="J45" s="188">
        <v>7.0000000000000007E-2</v>
      </c>
      <c r="K45" s="188">
        <v>7.0000000000000007E-2</v>
      </c>
      <c r="L45" s="1124"/>
      <c r="M45" s="1010"/>
      <c r="N45" s="1010"/>
      <c r="O45" s="1010"/>
      <c r="P45" s="1010"/>
      <c r="Q45" s="1010"/>
      <c r="R45" s="1010"/>
      <c r="S45" s="1010"/>
      <c r="T45" s="1010"/>
      <c r="U45" s="1010"/>
      <c r="V45" s="1010"/>
      <c r="W45" s="1010"/>
      <c r="X45" s="1010"/>
      <c r="Y45" s="1010"/>
      <c r="Z45" s="1010"/>
      <c r="AA45" s="1010"/>
      <c r="AB45" s="1010"/>
      <c r="AC45" s="1010"/>
      <c r="AD45" s="1010"/>
      <c r="AE45" s="1010"/>
      <c r="AF45" s="1010"/>
      <c r="AG45" s="1010"/>
      <c r="AH45" s="1010"/>
      <c r="AI45" s="1010"/>
      <c r="AJ45" s="1010"/>
      <c r="AK45" s="1010"/>
      <c r="AL45" s="1010"/>
      <c r="AM45" s="1010"/>
      <c r="AN45" s="1010"/>
      <c r="AO45" s="1010"/>
      <c r="AP45" s="1010"/>
      <c r="AQ45" s="1010"/>
      <c r="AR45" s="1010"/>
      <c r="AS45" s="1010"/>
      <c r="AT45" s="1010"/>
      <c r="AU45" s="1010"/>
      <c r="AV45" s="1010"/>
    </row>
    <row r="46" spans="1:48" s="1074" customFormat="1">
      <c r="B46" s="1078" t="s">
        <v>43</v>
      </c>
      <c r="C46" s="1123"/>
      <c r="D46" s="188">
        <v>0.08</v>
      </c>
      <c r="E46" s="188">
        <v>0.08</v>
      </c>
      <c r="F46" s="188">
        <v>0.08</v>
      </c>
      <c r="G46" s="188">
        <v>0.08</v>
      </c>
      <c r="H46" s="188">
        <v>0.06</v>
      </c>
      <c r="I46" s="188">
        <v>0.06</v>
      </c>
      <c r="J46" s="188">
        <v>0.08</v>
      </c>
      <c r="K46" s="188">
        <v>0.08</v>
      </c>
      <c r="L46" s="1124"/>
      <c r="M46" s="1010"/>
      <c r="N46" s="1010"/>
      <c r="O46" s="1010"/>
      <c r="P46" s="1010"/>
      <c r="Q46" s="1010"/>
      <c r="R46" s="1010"/>
      <c r="S46" s="1010"/>
      <c r="T46" s="1010"/>
      <c r="U46" s="1010"/>
      <c r="V46" s="1010"/>
      <c r="W46" s="1010"/>
      <c r="X46" s="1010"/>
      <c r="Y46" s="1010"/>
      <c r="Z46" s="1010"/>
      <c r="AA46" s="1010"/>
      <c r="AB46" s="1010"/>
      <c r="AC46" s="1010"/>
      <c r="AD46" s="1010"/>
      <c r="AE46" s="1010"/>
      <c r="AF46" s="1010"/>
      <c r="AG46" s="1010"/>
      <c r="AH46" s="1010"/>
      <c r="AI46" s="1010"/>
      <c r="AJ46" s="1010"/>
      <c r="AK46" s="1010"/>
      <c r="AL46" s="1010"/>
      <c r="AM46" s="1010"/>
      <c r="AN46" s="1010"/>
      <c r="AO46" s="1010"/>
      <c r="AP46" s="1010"/>
      <c r="AQ46" s="1010"/>
      <c r="AR46" s="1010"/>
      <c r="AS46" s="1010"/>
      <c r="AT46" s="1010"/>
      <c r="AU46" s="1010"/>
      <c r="AV46" s="1010"/>
    </row>
    <row r="47" spans="1:48" s="1074" customFormat="1">
      <c r="A47" s="1010"/>
      <c r="B47" s="1078" t="s">
        <v>42</v>
      </c>
      <c r="C47" s="1123"/>
      <c r="D47" s="188">
        <v>0.12</v>
      </c>
      <c r="E47" s="188">
        <v>0.11</v>
      </c>
      <c r="F47" s="188">
        <v>0.08</v>
      </c>
      <c r="G47" s="188">
        <v>0.17</v>
      </c>
      <c r="H47" s="188">
        <v>0.05</v>
      </c>
      <c r="I47" s="188">
        <v>0</v>
      </c>
      <c r="J47" s="188">
        <v>0.12</v>
      </c>
      <c r="K47" s="188">
        <v>0.1</v>
      </c>
      <c r="L47" s="1124"/>
      <c r="M47" s="1010"/>
      <c r="N47" s="1010"/>
      <c r="O47" s="1010"/>
      <c r="P47" s="1010"/>
      <c r="Q47" s="1010"/>
      <c r="R47" s="1010"/>
      <c r="S47" s="1010"/>
      <c r="T47" s="1010"/>
      <c r="U47" s="1010"/>
      <c r="V47" s="1010"/>
      <c r="W47" s="1010"/>
      <c r="X47" s="1010"/>
      <c r="Y47" s="1010"/>
      <c r="Z47" s="1010"/>
      <c r="AA47" s="1010"/>
      <c r="AB47" s="1010"/>
      <c r="AC47" s="1010"/>
      <c r="AD47" s="1010"/>
      <c r="AE47" s="1010"/>
      <c r="AF47" s="1010"/>
      <c r="AG47" s="1010"/>
      <c r="AH47" s="1010"/>
      <c r="AI47" s="1010"/>
      <c r="AJ47" s="1010"/>
      <c r="AK47" s="1010"/>
      <c r="AL47" s="1010"/>
      <c r="AM47" s="1010"/>
      <c r="AN47" s="1010"/>
      <c r="AO47" s="1010"/>
      <c r="AP47" s="1010"/>
      <c r="AQ47" s="1010"/>
      <c r="AR47" s="1010"/>
      <c r="AS47" s="1010"/>
      <c r="AT47" s="1010"/>
      <c r="AU47" s="1010"/>
      <c r="AV47" s="1010"/>
    </row>
    <row r="48" spans="1:48" s="1074" customFormat="1">
      <c r="A48" s="1010"/>
      <c r="B48" s="1078" t="s">
        <v>41</v>
      </c>
      <c r="C48" s="1123"/>
      <c r="D48" s="188">
        <v>0.12</v>
      </c>
      <c r="E48" s="188">
        <v>0.12</v>
      </c>
      <c r="F48" s="188">
        <v>0.22</v>
      </c>
      <c r="G48" s="188">
        <v>0.22</v>
      </c>
      <c r="H48" s="188">
        <v>0.06</v>
      </c>
      <c r="I48" s="188">
        <v>0</v>
      </c>
      <c r="J48" s="188">
        <v>0.12</v>
      </c>
      <c r="K48" s="188">
        <v>0.11</v>
      </c>
      <c r="L48" s="1124"/>
      <c r="M48" s="1010"/>
      <c r="N48" s="1010"/>
      <c r="O48" s="1010"/>
      <c r="P48" s="1010"/>
      <c r="Q48" s="1010"/>
      <c r="R48" s="1010"/>
      <c r="S48" s="1010"/>
      <c r="T48" s="1010"/>
      <c r="U48" s="1010"/>
      <c r="V48" s="1010"/>
      <c r="W48" s="1010"/>
      <c r="X48" s="1010"/>
      <c r="Y48" s="1010"/>
      <c r="Z48" s="1010"/>
      <c r="AA48" s="1010"/>
      <c r="AB48" s="1010"/>
      <c r="AC48" s="1010"/>
      <c r="AD48" s="1010"/>
      <c r="AE48" s="1010"/>
      <c r="AF48" s="1010"/>
      <c r="AG48" s="1010"/>
      <c r="AH48" s="1010"/>
      <c r="AI48" s="1010"/>
      <c r="AJ48" s="1010"/>
      <c r="AK48" s="1010"/>
      <c r="AL48" s="1010"/>
      <c r="AM48" s="1010"/>
      <c r="AN48" s="1010"/>
      <c r="AO48" s="1010"/>
      <c r="AP48" s="1010"/>
      <c r="AQ48" s="1010"/>
      <c r="AR48" s="1010"/>
      <c r="AS48" s="1010"/>
      <c r="AT48" s="1010"/>
      <c r="AU48" s="1010"/>
      <c r="AV48" s="1010"/>
    </row>
    <row r="49" spans="1:48" s="1074" customFormat="1">
      <c r="A49" s="1010"/>
      <c r="B49" s="1078" t="s">
        <v>40</v>
      </c>
      <c r="C49" s="1123"/>
      <c r="D49" s="188">
        <v>0.12</v>
      </c>
      <c r="E49" s="188">
        <v>0.11</v>
      </c>
      <c r="F49" s="188">
        <v>0.12</v>
      </c>
      <c r="G49" s="188">
        <v>0.22</v>
      </c>
      <c r="H49" s="188">
        <v>7.0000000000000007E-2</v>
      </c>
      <c r="I49" s="188">
        <v>0.02</v>
      </c>
      <c r="J49" s="188">
        <v>0.12</v>
      </c>
      <c r="K49" s="188">
        <v>0.12</v>
      </c>
      <c r="L49" s="1124"/>
      <c r="M49" s="1010"/>
      <c r="N49" s="1010"/>
      <c r="O49" s="1010"/>
      <c r="P49" s="1010"/>
      <c r="Q49" s="1010"/>
      <c r="R49" s="1010"/>
      <c r="S49" s="1010"/>
      <c r="T49" s="1010"/>
      <c r="U49" s="1010"/>
      <c r="V49" s="1010"/>
      <c r="W49" s="1010"/>
      <c r="X49" s="1010"/>
      <c r="Y49" s="1010"/>
      <c r="Z49" s="1010"/>
      <c r="AA49" s="1010"/>
      <c r="AB49" s="1010"/>
      <c r="AC49" s="1010"/>
      <c r="AD49" s="1010"/>
      <c r="AE49" s="1010"/>
      <c r="AF49" s="1010"/>
      <c r="AG49" s="1010"/>
      <c r="AH49" s="1010"/>
      <c r="AI49" s="1010"/>
      <c r="AJ49" s="1010"/>
      <c r="AK49" s="1010"/>
      <c r="AL49" s="1010"/>
      <c r="AM49" s="1010"/>
      <c r="AN49" s="1010"/>
      <c r="AO49" s="1010"/>
      <c r="AP49" s="1010"/>
      <c r="AQ49" s="1010"/>
      <c r="AR49" s="1010"/>
      <c r="AS49" s="1010"/>
      <c r="AT49" s="1010"/>
      <c r="AU49" s="1010"/>
      <c r="AV49" s="1010"/>
    </row>
    <row r="50" spans="1:48" s="1074" customFormat="1">
      <c r="A50" s="1010"/>
      <c r="B50" s="1078" t="s">
        <v>39</v>
      </c>
      <c r="C50" s="1123"/>
      <c r="D50" s="188">
        <v>0.1</v>
      </c>
      <c r="E50" s="188">
        <v>0.1</v>
      </c>
      <c r="F50" s="188">
        <v>0.12</v>
      </c>
      <c r="G50" s="188">
        <v>0.14000000000000001</v>
      </c>
      <c r="H50" s="188">
        <v>0.08</v>
      </c>
      <c r="I50" s="188">
        <v>0.06</v>
      </c>
      <c r="J50" s="188">
        <v>0.1</v>
      </c>
      <c r="K50" s="188">
        <v>0.12</v>
      </c>
      <c r="L50" s="1124"/>
      <c r="M50" s="1010"/>
      <c r="N50" s="1010"/>
      <c r="O50" s="1010"/>
      <c r="P50" s="1010"/>
      <c r="Q50" s="1010"/>
      <c r="R50" s="1010"/>
      <c r="S50" s="1010"/>
      <c r="T50" s="1010"/>
      <c r="U50" s="1010"/>
      <c r="V50" s="1010"/>
      <c r="W50" s="1010"/>
      <c r="X50" s="1010"/>
      <c r="Y50" s="1010"/>
      <c r="Z50" s="1010"/>
      <c r="AA50" s="1010"/>
      <c r="AB50" s="1010"/>
      <c r="AC50" s="1010"/>
      <c r="AD50" s="1010"/>
      <c r="AE50" s="1010"/>
      <c r="AF50" s="1010"/>
      <c r="AG50" s="1010"/>
      <c r="AH50" s="1010"/>
      <c r="AI50" s="1010"/>
      <c r="AJ50" s="1010"/>
      <c r="AK50" s="1010"/>
      <c r="AL50" s="1010"/>
      <c r="AM50" s="1010"/>
      <c r="AN50" s="1010"/>
      <c r="AO50" s="1010"/>
      <c r="AP50" s="1010"/>
      <c r="AQ50" s="1010"/>
      <c r="AR50" s="1010"/>
      <c r="AS50" s="1010"/>
      <c r="AT50" s="1010"/>
      <c r="AU50" s="1010"/>
      <c r="AV50" s="1010"/>
    </row>
    <row r="51" spans="1:48" s="1074" customFormat="1">
      <c r="A51" s="1010"/>
      <c r="B51" s="1078" t="s">
        <v>38</v>
      </c>
      <c r="C51" s="1123"/>
      <c r="D51" s="188">
        <v>0.1</v>
      </c>
      <c r="E51" s="188">
        <v>0.1</v>
      </c>
      <c r="F51" s="188">
        <v>0.11</v>
      </c>
      <c r="G51" s="188">
        <v>0.02</v>
      </c>
      <c r="H51" s="188">
        <v>0.11</v>
      </c>
      <c r="I51" s="188">
        <v>0.11</v>
      </c>
      <c r="J51" s="188">
        <v>0.09</v>
      </c>
      <c r="K51" s="188">
        <v>0.11</v>
      </c>
      <c r="L51" s="1124"/>
      <c r="M51" s="1010"/>
      <c r="N51" s="1010"/>
      <c r="O51" s="1010"/>
      <c r="P51" s="1010"/>
      <c r="Q51" s="1010"/>
      <c r="R51" s="1010"/>
      <c r="S51" s="1010"/>
      <c r="T51" s="1010"/>
      <c r="U51" s="1010"/>
      <c r="V51" s="1010"/>
      <c r="W51" s="1010"/>
      <c r="X51" s="1010"/>
      <c r="Y51" s="1010"/>
      <c r="Z51" s="1010"/>
      <c r="AA51" s="1010"/>
      <c r="AB51" s="1010"/>
      <c r="AC51" s="1010"/>
      <c r="AD51" s="1010"/>
      <c r="AE51" s="1010"/>
      <c r="AF51" s="1010"/>
      <c r="AG51" s="1010"/>
      <c r="AH51" s="1010"/>
      <c r="AI51" s="1010"/>
      <c r="AJ51" s="1010"/>
      <c r="AK51" s="1010"/>
      <c r="AL51" s="1010"/>
      <c r="AM51" s="1010"/>
      <c r="AN51" s="1010"/>
      <c r="AO51" s="1010"/>
      <c r="AP51" s="1010"/>
      <c r="AQ51" s="1010"/>
      <c r="AR51" s="1010"/>
      <c r="AS51" s="1010"/>
      <c r="AT51" s="1010"/>
      <c r="AU51" s="1010"/>
      <c r="AV51" s="1010"/>
    </row>
    <row r="52" spans="1:48" s="1074" customFormat="1">
      <c r="A52" s="1010"/>
      <c r="B52" s="1078" t="s">
        <v>37</v>
      </c>
      <c r="C52" s="1123"/>
      <c r="D52" s="188">
        <v>0.06</v>
      </c>
      <c r="E52" s="188">
        <v>0.06</v>
      </c>
      <c r="F52" s="188">
        <v>0.03</v>
      </c>
      <c r="G52" s="188">
        <v>0.03</v>
      </c>
      <c r="H52" s="188">
        <v>0.12</v>
      </c>
      <c r="I52" s="188">
        <v>0.12</v>
      </c>
      <c r="J52" s="188">
        <v>7.0000000000000007E-2</v>
      </c>
      <c r="K52" s="188">
        <v>7.0000000000000007E-2</v>
      </c>
      <c r="L52" s="1124"/>
      <c r="M52" s="1010"/>
      <c r="N52" s="1010"/>
      <c r="O52" s="1010"/>
      <c r="P52" s="1010"/>
      <c r="Q52" s="1010"/>
      <c r="R52" s="1010"/>
      <c r="S52" s="1010"/>
      <c r="T52" s="1010"/>
      <c r="U52" s="1010"/>
      <c r="V52" s="1010"/>
      <c r="W52" s="1010"/>
      <c r="X52" s="1010"/>
      <c r="Y52" s="1010"/>
      <c r="Z52" s="1010"/>
      <c r="AA52" s="1010"/>
      <c r="AB52" s="1010"/>
      <c r="AC52" s="1010"/>
      <c r="AD52" s="1010"/>
      <c r="AE52" s="1010"/>
      <c r="AF52" s="1010"/>
      <c r="AG52" s="1010"/>
      <c r="AH52" s="1010"/>
      <c r="AI52" s="1010"/>
      <c r="AJ52" s="1010"/>
      <c r="AK52" s="1010"/>
      <c r="AL52" s="1010"/>
      <c r="AM52" s="1010"/>
      <c r="AN52" s="1010"/>
      <c r="AO52" s="1010"/>
      <c r="AP52" s="1010"/>
      <c r="AQ52" s="1010"/>
      <c r="AR52" s="1010"/>
      <c r="AS52" s="1010"/>
      <c r="AT52" s="1010"/>
      <c r="AU52" s="1010"/>
      <c r="AV52" s="1010"/>
    </row>
    <row r="53" spans="1:48" s="1074" customFormat="1">
      <c r="A53" s="1010"/>
      <c r="B53" s="1078" t="s">
        <v>36</v>
      </c>
      <c r="C53" s="1123"/>
      <c r="D53" s="188">
        <v>0.06</v>
      </c>
      <c r="E53" s="188">
        <v>7.0000000000000007E-2</v>
      </c>
      <c r="F53" s="188">
        <v>0.04</v>
      </c>
      <c r="G53" s="188">
        <v>0</v>
      </c>
      <c r="H53" s="188">
        <v>0.12</v>
      </c>
      <c r="I53" s="188">
        <v>0.18</v>
      </c>
      <c r="J53" s="188">
        <v>7.0000000000000007E-2</v>
      </c>
      <c r="K53" s="188">
        <v>0.06</v>
      </c>
      <c r="L53" s="1124"/>
      <c r="M53" s="1010"/>
      <c r="N53" s="1010"/>
      <c r="O53" s="1010"/>
      <c r="P53" s="1010"/>
      <c r="Q53" s="1010"/>
      <c r="R53" s="1010"/>
      <c r="S53" s="1010"/>
      <c r="T53" s="1010"/>
      <c r="U53" s="1010"/>
      <c r="V53" s="1010"/>
      <c r="W53" s="1010"/>
      <c r="X53" s="1010"/>
      <c r="Y53" s="1010"/>
      <c r="Z53" s="1010"/>
      <c r="AA53" s="1010"/>
      <c r="AB53" s="1010"/>
      <c r="AC53" s="1010"/>
      <c r="AD53" s="1010"/>
      <c r="AE53" s="1010"/>
      <c r="AF53" s="1010"/>
      <c r="AG53" s="1010"/>
      <c r="AH53" s="1010"/>
      <c r="AI53" s="1010"/>
      <c r="AJ53" s="1010"/>
      <c r="AK53" s="1010"/>
      <c r="AL53" s="1010"/>
      <c r="AM53" s="1010"/>
      <c r="AN53" s="1010"/>
      <c r="AO53" s="1010"/>
      <c r="AP53" s="1010"/>
      <c r="AQ53" s="1010"/>
      <c r="AR53" s="1010"/>
      <c r="AS53" s="1010"/>
      <c r="AT53" s="1010"/>
      <c r="AU53" s="1010"/>
      <c r="AV53" s="1010"/>
    </row>
    <row r="54" spans="1:48" s="1074" customFormat="1">
      <c r="A54" s="1010"/>
      <c r="B54" s="1078" t="s">
        <v>412</v>
      </c>
      <c r="D54" s="1079">
        <f t="shared" ref="D54:L54" si="7">SUM(D42:D53)</f>
        <v>1</v>
      </c>
      <c r="E54" s="1079">
        <f t="shared" si="7"/>
        <v>1</v>
      </c>
      <c r="F54" s="1079">
        <f t="shared" si="7"/>
        <v>1</v>
      </c>
      <c r="G54" s="1079">
        <f t="shared" si="7"/>
        <v>1</v>
      </c>
      <c r="H54" s="1079">
        <f t="shared" si="7"/>
        <v>1</v>
      </c>
      <c r="I54" s="1079">
        <f t="shared" si="7"/>
        <v>1</v>
      </c>
      <c r="J54" s="1079">
        <f t="shared" si="7"/>
        <v>1</v>
      </c>
      <c r="K54" s="1079">
        <f t="shared" si="7"/>
        <v>1</v>
      </c>
      <c r="L54" s="1079">
        <f t="shared" si="7"/>
        <v>0</v>
      </c>
      <c r="M54" s="1010"/>
      <c r="N54" s="1010"/>
      <c r="O54" s="1010"/>
      <c r="P54" s="1010"/>
      <c r="Q54" s="1010"/>
      <c r="R54" s="1010"/>
      <c r="S54" s="1010"/>
      <c r="T54" s="1010"/>
      <c r="U54" s="1010"/>
      <c r="V54" s="1010"/>
      <c r="W54" s="1010"/>
      <c r="AG54" s="1010"/>
      <c r="AH54" s="1010"/>
      <c r="AI54" s="1010"/>
      <c r="AJ54" s="1010"/>
      <c r="AK54" s="1010"/>
      <c r="AL54" s="1010"/>
      <c r="AM54" s="1010"/>
      <c r="AN54" s="1010"/>
      <c r="AO54" s="1010"/>
      <c r="AP54" s="1010"/>
      <c r="AQ54" s="1010"/>
      <c r="AR54" s="1010"/>
      <c r="AS54" s="1010"/>
      <c r="AT54" s="1010"/>
      <c r="AU54" s="1010"/>
      <c r="AV54" s="1010"/>
    </row>
    <row r="55" spans="1:48" s="1074" customFormat="1">
      <c r="A55" s="1010"/>
      <c r="B55" s="1078"/>
      <c r="D55" s="1080" t="s">
        <v>1605</v>
      </c>
      <c r="E55" s="1081"/>
      <c r="F55" s="1081"/>
      <c r="G55" s="1081"/>
      <c r="H55" s="1081"/>
      <c r="I55" s="1081"/>
      <c r="J55" s="1081"/>
      <c r="K55" s="1081"/>
      <c r="L55" s="1081"/>
      <c r="M55" s="1010"/>
      <c r="N55" s="1010"/>
      <c r="O55" s="1010"/>
      <c r="P55" s="1010"/>
      <c r="Q55" s="1010"/>
      <c r="R55" s="1010"/>
      <c r="S55" s="1010"/>
      <c r="T55" s="1010"/>
      <c r="U55" s="1010"/>
      <c r="V55" s="1010"/>
      <c r="W55" s="1010"/>
      <c r="AG55" s="1010"/>
      <c r="AH55" s="1010"/>
      <c r="AI55" s="1010"/>
      <c r="AJ55" s="1010"/>
      <c r="AK55" s="1010"/>
      <c r="AL55" s="1010"/>
      <c r="AM55" s="1010"/>
      <c r="AN55" s="1010"/>
      <c r="AO55" s="1010"/>
      <c r="AP55" s="1010"/>
      <c r="AQ55" s="1010"/>
      <c r="AR55" s="1010"/>
      <c r="AS55" s="1010"/>
      <c r="AT55" s="1010"/>
      <c r="AU55" s="1010"/>
      <c r="AV55" s="1010"/>
    </row>
    <row r="56" spans="1:48" s="1074" customFormat="1">
      <c r="A56" s="1073"/>
      <c r="B56" s="1077" t="s">
        <v>47</v>
      </c>
      <c r="D56" s="1082">
        <f t="shared" ref="D56:L56" si="8">D68*D42</f>
        <v>411.41148047999997</v>
      </c>
      <c r="E56" s="1082">
        <f t="shared" si="8"/>
        <v>411.41148047999997</v>
      </c>
      <c r="F56" s="1082">
        <f t="shared" si="8"/>
        <v>268.99981415999997</v>
      </c>
      <c r="G56" s="1082">
        <f t="shared" si="8"/>
        <v>0</v>
      </c>
      <c r="H56" s="1082">
        <f t="shared" si="8"/>
        <v>1392.4696262399998</v>
      </c>
      <c r="I56" s="1082">
        <f t="shared" si="8"/>
        <v>1519.0577740799999</v>
      </c>
      <c r="J56" s="1082">
        <f t="shared" si="8"/>
        <v>2641.5067139999996</v>
      </c>
      <c r="K56" s="1082">
        <f t="shared" si="8"/>
        <v>3228.508206</v>
      </c>
      <c r="L56" s="1082">
        <f t="shared" si="8"/>
        <v>0</v>
      </c>
      <c r="M56" s="1010"/>
      <c r="N56" s="1010"/>
      <c r="O56" s="1010"/>
      <c r="P56" s="1010"/>
      <c r="Q56" s="1010"/>
      <c r="R56" s="1010"/>
      <c r="S56" s="1010"/>
      <c r="T56" s="1010"/>
      <c r="U56" s="1010"/>
      <c r="V56" s="1010"/>
      <c r="W56" s="1010"/>
      <c r="AG56" s="1010"/>
      <c r="AH56" s="1010"/>
      <c r="AI56" s="1010"/>
      <c r="AJ56" s="1010"/>
      <c r="AK56" s="1010"/>
      <c r="AL56" s="1010"/>
      <c r="AM56" s="1010"/>
      <c r="AN56" s="1010"/>
      <c r="AO56" s="1010"/>
      <c r="AP56" s="1010"/>
      <c r="AQ56" s="1010"/>
      <c r="AR56" s="1010"/>
      <c r="AS56" s="1010"/>
      <c r="AT56" s="1010"/>
      <c r="AU56" s="1010"/>
      <c r="AV56" s="1010"/>
    </row>
    <row r="57" spans="1:48" s="1074" customFormat="1">
      <c r="A57" s="1073"/>
      <c r="B57" s="1077" t="s">
        <v>46</v>
      </c>
      <c r="D57" s="1082">
        <f t="shared" ref="D57:L57" si="9">D68*D43</f>
        <v>411.41148047999997</v>
      </c>
      <c r="E57" s="1082">
        <f t="shared" si="9"/>
        <v>411.41148047999997</v>
      </c>
      <c r="F57" s="1082">
        <f t="shared" si="9"/>
        <v>358.66641887999998</v>
      </c>
      <c r="G57" s="1082">
        <f t="shared" si="9"/>
        <v>200.43123408</v>
      </c>
      <c r="H57" s="1082">
        <f t="shared" si="9"/>
        <v>812.27394863999996</v>
      </c>
      <c r="I57" s="1082">
        <f t="shared" si="9"/>
        <v>928.3130841599999</v>
      </c>
      <c r="J57" s="1082">
        <f t="shared" si="9"/>
        <v>2641.5067139999996</v>
      </c>
      <c r="K57" s="1082">
        <f t="shared" si="9"/>
        <v>3228.508206</v>
      </c>
      <c r="L57" s="1082">
        <f t="shared" si="9"/>
        <v>0</v>
      </c>
      <c r="M57" s="1010"/>
      <c r="N57" s="1010"/>
      <c r="O57" s="1010"/>
      <c r="P57" s="1010"/>
      <c r="Q57" s="1010"/>
      <c r="R57" s="1010"/>
      <c r="S57" s="1010"/>
      <c r="T57" s="1010"/>
      <c r="U57" s="1010"/>
      <c r="V57" s="1010"/>
      <c r="W57" s="1010"/>
      <c r="AG57" s="1010"/>
      <c r="AH57" s="1010"/>
      <c r="AI57" s="1010"/>
      <c r="AJ57" s="1010"/>
      <c r="AK57" s="1010"/>
      <c r="AL57" s="1010"/>
      <c r="AM57" s="1010"/>
      <c r="AN57" s="1010"/>
      <c r="AO57" s="1010"/>
      <c r="AP57" s="1010"/>
      <c r="AQ57" s="1010"/>
      <c r="AR57" s="1010"/>
      <c r="AS57" s="1010"/>
      <c r="AT57" s="1010"/>
      <c r="AU57" s="1010"/>
      <c r="AV57" s="1010"/>
    </row>
    <row r="58" spans="1:48" s="1074" customFormat="1">
      <c r="A58" s="1073"/>
      <c r="B58" s="1078" t="s">
        <v>45</v>
      </c>
      <c r="D58" s="1082">
        <f t="shared" ref="D58:L58" si="10">D68*D44</f>
        <v>411.41148047999997</v>
      </c>
      <c r="E58" s="1082">
        <f t="shared" si="10"/>
        <v>411.41148047999997</v>
      </c>
      <c r="F58" s="1082">
        <f t="shared" si="10"/>
        <v>537.99962831999994</v>
      </c>
      <c r="G58" s="1082">
        <f t="shared" si="10"/>
        <v>300.64685112000001</v>
      </c>
      <c r="H58" s="1082">
        <f t="shared" si="10"/>
        <v>812.27394863999996</v>
      </c>
      <c r="I58" s="1082">
        <f t="shared" si="10"/>
        <v>759.52888703999997</v>
      </c>
      <c r="J58" s="1082">
        <f t="shared" si="10"/>
        <v>3169.8080567999996</v>
      </c>
      <c r="K58" s="1082">
        <f t="shared" si="10"/>
        <v>3874.2098471999993</v>
      </c>
      <c r="L58" s="1082">
        <f t="shared" si="10"/>
        <v>0</v>
      </c>
      <c r="M58" s="1010"/>
      <c r="N58" s="1010"/>
      <c r="O58" s="1010"/>
      <c r="P58" s="1010"/>
      <c r="Q58" s="1010"/>
      <c r="R58" s="1010"/>
      <c r="S58" s="1010"/>
      <c r="T58" s="1010"/>
      <c r="U58" s="1010"/>
      <c r="V58" s="1010"/>
      <c r="W58" s="1010"/>
      <c r="AG58" s="1010"/>
      <c r="AH58" s="1010"/>
      <c r="AI58" s="1010"/>
      <c r="AJ58" s="1010"/>
      <c r="AK58" s="1010"/>
      <c r="AL58" s="1010"/>
      <c r="AM58" s="1010"/>
      <c r="AN58" s="1010"/>
      <c r="AO58" s="1010"/>
      <c r="AP58" s="1010"/>
      <c r="AQ58" s="1010"/>
      <c r="AR58" s="1010"/>
      <c r="AS58" s="1010"/>
      <c r="AT58" s="1010"/>
      <c r="AU58" s="1010"/>
      <c r="AV58" s="1010"/>
    </row>
    <row r="59" spans="1:48" s="1074" customFormat="1">
      <c r="A59" s="1073"/>
      <c r="B59" s="1078" t="s">
        <v>44</v>
      </c>
      <c r="D59" s="1082">
        <f t="shared" ref="D59:L59" si="11">D68*D45</f>
        <v>411.41148047999997</v>
      </c>
      <c r="E59" s="1082">
        <f t="shared" si="11"/>
        <v>479.98006055999997</v>
      </c>
      <c r="F59" s="1082">
        <f t="shared" si="11"/>
        <v>627.66623304000007</v>
      </c>
      <c r="G59" s="1082">
        <f t="shared" si="11"/>
        <v>701.50931928</v>
      </c>
      <c r="H59" s="1082">
        <f t="shared" si="11"/>
        <v>812.27394863999996</v>
      </c>
      <c r="I59" s="1082">
        <f t="shared" si="11"/>
        <v>590.74468992000004</v>
      </c>
      <c r="J59" s="1082">
        <f t="shared" si="11"/>
        <v>3698.1093995999995</v>
      </c>
      <c r="K59" s="1082">
        <f t="shared" si="11"/>
        <v>4519.9114884000001</v>
      </c>
      <c r="L59" s="1082">
        <f t="shared" si="11"/>
        <v>0</v>
      </c>
      <c r="M59" s="1010"/>
      <c r="N59" s="1010"/>
      <c r="O59" s="1010"/>
      <c r="P59" s="1010"/>
      <c r="Q59" s="1010"/>
      <c r="R59" s="1010"/>
      <c r="S59" s="1010"/>
      <c r="T59" s="1010"/>
      <c r="U59" s="1010"/>
    </row>
    <row r="60" spans="1:48" s="1074" customFormat="1">
      <c r="A60" s="1073"/>
      <c r="B60" s="1078" t="s">
        <v>43</v>
      </c>
      <c r="D60" s="1082">
        <f t="shared" ref="D60:L60" si="12">D68*D46</f>
        <v>548.54864063999992</v>
      </c>
      <c r="E60" s="1082">
        <f t="shared" si="12"/>
        <v>548.54864063999992</v>
      </c>
      <c r="F60" s="1082">
        <f t="shared" si="12"/>
        <v>717.33283775999996</v>
      </c>
      <c r="G60" s="1082">
        <f t="shared" si="12"/>
        <v>801.72493631999998</v>
      </c>
      <c r="H60" s="1082">
        <f t="shared" si="12"/>
        <v>696.2348131199999</v>
      </c>
      <c r="I60" s="1082">
        <f t="shared" si="12"/>
        <v>506.35259135999996</v>
      </c>
      <c r="J60" s="1082">
        <f t="shared" si="12"/>
        <v>4226.4107423999994</v>
      </c>
      <c r="K60" s="1082">
        <f t="shared" si="12"/>
        <v>5165.6131295999994</v>
      </c>
      <c r="L60" s="1082">
        <f t="shared" si="12"/>
        <v>0</v>
      </c>
      <c r="M60" s="1010"/>
      <c r="N60" s="1010"/>
      <c r="O60" s="1010"/>
      <c r="P60" s="1010"/>
      <c r="Q60" s="1010"/>
      <c r="R60" s="1010"/>
      <c r="S60" s="1010"/>
      <c r="T60" s="1010"/>
      <c r="U60" s="1010"/>
    </row>
    <row r="61" spans="1:48" s="1074" customFormat="1">
      <c r="A61" s="1073"/>
      <c r="B61" s="1078" t="s">
        <v>42</v>
      </c>
      <c r="D61" s="1082">
        <f t="shared" ref="D61:L61" si="13">D68*D47</f>
        <v>822.82296095999993</v>
      </c>
      <c r="E61" s="1082">
        <f t="shared" si="13"/>
        <v>754.25438087999987</v>
      </c>
      <c r="F61" s="1082">
        <f t="shared" si="13"/>
        <v>717.33283775999996</v>
      </c>
      <c r="G61" s="1082">
        <f t="shared" si="13"/>
        <v>1703.6654896800001</v>
      </c>
      <c r="H61" s="1082">
        <f t="shared" si="13"/>
        <v>580.19567759999995</v>
      </c>
      <c r="I61" s="1082">
        <f t="shared" si="13"/>
        <v>0</v>
      </c>
      <c r="J61" s="1082">
        <f t="shared" si="13"/>
        <v>6339.6161135999992</v>
      </c>
      <c r="K61" s="1082">
        <f t="shared" si="13"/>
        <v>6457.0164119999999</v>
      </c>
      <c r="L61" s="1082">
        <f t="shared" si="13"/>
        <v>0</v>
      </c>
      <c r="M61" s="1010"/>
      <c r="N61" s="1010"/>
      <c r="O61" s="1010"/>
      <c r="P61" s="1010"/>
      <c r="Q61" s="1010"/>
      <c r="R61" s="1010"/>
      <c r="S61" s="1010"/>
      <c r="T61" s="1010"/>
      <c r="U61" s="1010"/>
    </row>
    <row r="62" spans="1:48" s="1074" customFormat="1">
      <c r="A62" s="1073"/>
      <c r="B62" s="1078" t="s">
        <v>41</v>
      </c>
      <c r="D62" s="1082">
        <f t="shared" ref="D62:L62" si="14">D68*D48</f>
        <v>822.82296095999993</v>
      </c>
      <c r="E62" s="1082">
        <f t="shared" si="14"/>
        <v>822.82296095999993</v>
      </c>
      <c r="F62" s="1082">
        <f t="shared" si="14"/>
        <v>1972.66530384</v>
      </c>
      <c r="G62" s="1082">
        <f t="shared" si="14"/>
        <v>2204.7435748799999</v>
      </c>
      <c r="H62" s="1082">
        <f t="shared" si="14"/>
        <v>696.2348131199999</v>
      </c>
      <c r="I62" s="1082">
        <f t="shared" si="14"/>
        <v>0</v>
      </c>
      <c r="J62" s="1082">
        <f t="shared" si="14"/>
        <v>6339.6161135999992</v>
      </c>
      <c r="K62" s="1082">
        <f t="shared" si="14"/>
        <v>7102.7180531999993</v>
      </c>
      <c r="L62" s="1082">
        <f t="shared" si="14"/>
        <v>0</v>
      </c>
      <c r="M62" s="1010"/>
      <c r="N62" s="1010"/>
      <c r="O62" s="1010"/>
      <c r="P62" s="1010"/>
      <c r="Q62" s="1010"/>
      <c r="R62" s="1010"/>
      <c r="S62" s="1010"/>
      <c r="T62" s="1010"/>
      <c r="U62" s="1010"/>
    </row>
    <row r="63" spans="1:48" s="1074" customFormat="1">
      <c r="A63" s="1073"/>
      <c r="B63" s="1078" t="s">
        <v>40</v>
      </c>
      <c r="D63" s="1082">
        <f t="shared" ref="D63:L63" si="15">D68*D49</f>
        <v>822.82296095999993</v>
      </c>
      <c r="E63" s="1082">
        <f t="shared" si="15"/>
        <v>754.25438087999987</v>
      </c>
      <c r="F63" s="1082">
        <f t="shared" si="15"/>
        <v>1075.9992566399999</v>
      </c>
      <c r="G63" s="1082">
        <f t="shared" si="15"/>
        <v>2204.7435748799999</v>
      </c>
      <c r="H63" s="1082">
        <f t="shared" si="15"/>
        <v>812.27394863999996</v>
      </c>
      <c r="I63" s="1082">
        <f t="shared" si="15"/>
        <v>168.78419711999999</v>
      </c>
      <c r="J63" s="1082">
        <f t="shared" si="15"/>
        <v>6339.6161135999992</v>
      </c>
      <c r="K63" s="1082">
        <f t="shared" si="15"/>
        <v>7748.4196943999987</v>
      </c>
      <c r="L63" s="1082">
        <f t="shared" si="15"/>
        <v>0</v>
      </c>
      <c r="M63" s="1010"/>
      <c r="N63" s="1010"/>
      <c r="O63" s="1010"/>
      <c r="P63" s="1010"/>
      <c r="Q63" s="1010"/>
      <c r="R63" s="1010"/>
      <c r="S63" s="1010"/>
      <c r="T63" s="1010"/>
      <c r="U63" s="1010"/>
    </row>
    <row r="64" spans="1:48" s="1074" customFormat="1">
      <c r="A64" s="1073"/>
      <c r="B64" s="1078" t="s">
        <v>39</v>
      </c>
      <c r="D64" s="1082">
        <f t="shared" ref="D64:L64" si="16">D68*D50</f>
        <v>685.68580079999992</v>
      </c>
      <c r="E64" s="1082">
        <f t="shared" si="16"/>
        <v>685.68580079999992</v>
      </c>
      <c r="F64" s="1082">
        <f t="shared" si="16"/>
        <v>1075.9992566399999</v>
      </c>
      <c r="G64" s="1082">
        <f t="shared" si="16"/>
        <v>1403.01863856</v>
      </c>
      <c r="H64" s="1082">
        <f t="shared" si="16"/>
        <v>928.3130841599999</v>
      </c>
      <c r="I64" s="1082">
        <f t="shared" si="16"/>
        <v>506.35259135999996</v>
      </c>
      <c r="J64" s="1082">
        <f t="shared" si="16"/>
        <v>5283.0134279999993</v>
      </c>
      <c r="K64" s="1082">
        <f t="shared" si="16"/>
        <v>7748.4196943999987</v>
      </c>
      <c r="L64" s="1082">
        <f t="shared" si="16"/>
        <v>0</v>
      </c>
      <c r="M64" s="1010"/>
      <c r="N64" s="1010"/>
      <c r="O64" s="1010"/>
      <c r="P64" s="1010"/>
      <c r="Q64" s="1010"/>
      <c r="R64" s="1010"/>
      <c r="S64" s="1010"/>
      <c r="T64" s="1010"/>
      <c r="U64" s="1010"/>
    </row>
    <row r="65" spans="1:21" s="1074" customFormat="1">
      <c r="A65" s="1073"/>
      <c r="B65" s="1078" t="s">
        <v>38</v>
      </c>
      <c r="D65" s="1082">
        <f t="shared" ref="D65:L65" si="17">D68*D51</f>
        <v>685.68580079999992</v>
      </c>
      <c r="E65" s="1082">
        <f t="shared" si="17"/>
        <v>685.68580079999992</v>
      </c>
      <c r="F65" s="1082">
        <f t="shared" si="17"/>
        <v>986.33265191999999</v>
      </c>
      <c r="G65" s="1082">
        <f t="shared" si="17"/>
        <v>200.43123408</v>
      </c>
      <c r="H65" s="1082">
        <f t="shared" si="17"/>
        <v>1276.4304907199999</v>
      </c>
      <c r="I65" s="1082">
        <f t="shared" si="17"/>
        <v>928.3130841599999</v>
      </c>
      <c r="J65" s="1082">
        <f t="shared" si="17"/>
        <v>4754.7120851999989</v>
      </c>
      <c r="K65" s="1082">
        <f t="shared" si="17"/>
        <v>7102.7180531999993</v>
      </c>
      <c r="L65" s="1082">
        <f t="shared" si="17"/>
        <v>0</v>
      </c>
      <c r="M65" s="1010"/>
      <c r="N65" s="1010"/>
      <c r="O65" s="1010"/>
      <c r="P65" s="1010"/>
      <c r="Q65" s="1010"/>
      <c r="R65" s="1010"/>
      <c r="S65" s="1010"/>
      <c r="T65" s="1010"/>
      <c r="U65" s="1010"/>
    </row>
    <row r="66" spans="1:21" s="1074" customFormat="1">
      <c r="A66" s="1073"/>
      <c r="B66" s="1078" t="s">
        <v>37</v>
      </c>
      <c r="D66" s="1082">
        <f t="shared" ref="D66:L66" si="18">D68*D52</f>
        <v>411.41148047999997</v>
      </c>
      <c r="E66" s="1082">
        <f t="shared" si="18"/>
        <v>411.41148047999997</v>
      </c>
      <c r="F66" s="1082">
        <f t="shared" si="18"/>
        <v>268.99981415999997</v>
      </c>
      <c r="G66" s="1082">
        <f t="shared" si="18"/>
        <v>300.64685112000001</v>
      </c>
      <c r="H66" s="1082">
        <f t="shared" si="18"/>
        <v>1392.4696262399998</v>
      </c>
      <c r="I66" s="1082">
        <f t="shared" si="18"/>
        <v>1012.7051827199999</v>
      </c>
      <c r="J66" s="1082">
        <f t="shared" si="18"/>
        <v>3698.1093995999995</v>
      </c>
      <c r="K66" s="1082">
        <f t="shared" si="18"/>
        <v>4519.9114884000001</v>
      </c>
      <c r="L66" s="1082">
        <f t="shared" si="18"/>
        <v>0</v>
      </c>
      <c r="M66" s="1010"/>
      <c r="N66" s="1010"/>
      <c r="O66" s="1010"/>
      <c r="P66" s="1010"/>
      <c r="Q66" s="1010"/>
      <c r="R66" s="1010"/>
      <c r="S66" s="1010"/>
      <c r="T66" s="1010"/>
      <c r="U66" s="1010"/>
    </row>
    <row r="67" spans="1:21" s="1074" customFormat="1">
      <c r="A67" s="1073"/>
      <c r="B67" s="1078" t="s">
        <v>36</v>
      </c>
      <c r="D67" s="1082">
        <f t="shared" ref="D67:L67" si="19">D68*D53</f>
        <v>411.41148047999997</v>
      </c>
      <c r="E67" s="1082">
        <f t="shared" si="19"/>
        <v>479.98006055999997</v>
      </c>
      <c r="F67" s="1082">
        <f t="shared" si="19"/>
        <v>358.66641887999998</v>
      </c>
      <c r="G67" s="1082">
        <f t="shared" si="19"/>
        <v>0</v>
      </c>
      <c r="H67" s="1082">
        <f t="shared" si="19"/>
        <v>1392.4696262399998</v>
      </c>
      <c r="I67" s="1082">
        <f t="shared" si="19"/>
        <v>1519.0577740799999</v>
      </c>
      <c r="J67" s="1082">
        <f t="shared" si="19"/>
        <v>3698.1093995999995</v>
      </c>
      <c r="K67" s="1082">
        <f t="shared" si="19"/>
        <v>3874.2098471999993</v>
      </c>
      <c r="L67" s="1082">
        <f t="shared" si="19"/>
        <v>0</v>
      </c>
      <c r="M67" s="1010"/>
      <c r="N67" s="1010"/>
      <c r="O67" s="1010"/>
      <c r="P67" s="1010"/>
      <c r="Q67" s="1010"/>
      <c r="R67" s="1010"/>
      <c r="S67" s="1010"/>
      <c r="T67" s="1010"/>
      <c r="U67" s="1010"/>
    </row>
    <row r="68" spans="1:21" s="1074" customFormat="1">
      <c r="A68" s="1073"/>
      <c r="B68" s="1078" t="s">
        <v>412</v>
      </c>
      <c r="D68" s="1082">
        <f t="shared" ref="D68:L68" si="20">VLOOKUP(D39,TargetedMSo,IF(D40="[retail]",4,6),FALSE)</f>
        <v>6856.8580079999992</v>
      </c>
      <c r="E68" s="1082">
        <f t="shared" si="20"/>
        <v>6856.8580079999992</v>
      </c>
      <c r="F68" s="1082">
        <f t="shared" si="20"/>
        <v>8966.6604719999996</v>
      </c>
      <c r="G68" s="1082">
        <f t="shared" si="20"/>
        <v>10021.561704</v>
      </c>
      <c r="H68" s="1082">
        <f t="shared" si="20"/>
        <v>11603.913551999998</v>
      </c>
      <c r="I68" s="1082">
        <f t="shared" si="20"/>
        <v>8439.2098559999995</v>
      </c>
      <c r="J68" s="1082">
        <f t="shared" si="20"/>
        <v>52830.134279999991</v>
      </c>
      <c r="K68" s="1082">
        <f t="shared" si="20"/>
        <v>64570.164119999994</v>
      </c>
      <c r="L68" s="1082">
        <f t="shared" si="20"/>
        <v>0</v>
      </c>
      <c r="M68" s="1010"/>
      <c r="N68" s="1010"/>
      <c r="O68" s="1010"/>
      <c r="P68" s="1010"/>
      <c r="Q68" s="1010"/>
      <c r="R68" s="1010"/>
      <c r="S68" s="1010"/>
      <c r="T68" s="1010"/>
      <c r="U68" s="1010"/>
    </row>
    <row r="69" spans="1:21" s="1010" customFormat="1">
      <c r="A69" s="1073"/>
      <c r="B69" s="1077" t="s">
        <v>414</v>
      </c>
      <c r="D69" s="307" t="str">
        <f t="shared" ref="D69:L69" si="21">IF(D40="[wholesale]",D68/capacity,"")</f>
        <v/>
      </c>
      <c r="E69" s="307" t="str">
        <f t="shared" si="21"/>
        <v/>
      </c>
      <c r="F69" s="307" t="str">
        <f t="shared" si="21"/>
        <v/>
      </c>
      <c r="G69" s="307" t="str">
        <f t="shared" si="21"/>
        <v/>
      </c>
      <c r="H69" s="307" t="str">
        <f t="shared" si="21"/>
        <v/>
      </c>
      <c r="I69" s="307" t="str">
        <f t="shared" si="21"/>
        <v/>
      </c>
      <c r="J69" s="307">
        <f t="shared" si="21"/>
        <v>42.604946999999996</v>
      </c>
      <c r="K69" s="307">
        <f t="shared" si="21"/>
        <v>52.072712999999993</v>
      </c>
      <c r="L69" s="307" t="str">
        <f t="shared" si="21"/>
        <v/>
      </c>
    </row>
    <row r="70" spans="1:21" s="1022" customFormat="1">
      <c r="A70" s="1083"/>
      <c r="B70" s="1084"/>
      <c r="C70" s="1021" t="s">
        <v>101</v>
      </c>
      <c r="D70" s="1080" t="s">
        <v>1606</v>
      </c>
      <c r="E70" s="1080"/>
      <c r="F70" s="1080"/>
      <c r="G70" s="1080"/>
      <c r="H70" s="1080"/>
      <c r="I70" s="1080"/>
      <c r="J70" s="1080"/>
      <c r="K70" s="1080"/>
      <c r="L70" s="1080"/>
      <c r="O70" s="1081"/>
      <c r="R70" s="1081"/>
      <c r="S70" s="1081"/>
    </row>
    <row r="71" spans="1:21" s="1010" customFormat="1">
      <c r="A71" s="304"/>
      <c r="B71" s="1077" t="s">
        <v>47</v>
      </c>
      <c r="C71" s="308">
        <f>SUM(D71:Z71)</f>
        <v>6.9999999999999991</v>
      </c>
      <c r="D71" s="309">
        <f t="shared" ref="D71:L71" si="22">ProductionFY1o(1,D39,VLOOKUP(D39,ProductsRangeOper,3,FALSE),D56)</f>
        <v>0.26952014713258654</v>
      </c>
      <c r="E71" s="309">
        <f t="shared" si="22"/>
        <v>0.33908287757677741</v>
      </c>
      <c r="F71" s="309">
        <f t="shared" si="22"/>
        <v>0</v>
      </c>
      <c r="G71" s="309">
        <f t="shared" si="22"/>
        <v>0</v>
      </c>
      <c r="H71" s="309">
        <f t="shared" si="22"/>
        <v>1</v>
      </c>
      <c r="I71" s="309">
        <f t="shared" si="22"/>
        <v>1</v>
      </c>
      <c r="J71" s="309">
        <f t="shared" si="22"/>
        <v>1.7304798528674135</v>
      </c>
      <c r="K71" s="309">
        <f t="shared" si="22"/>
        <v>2.6609171224232222</v>
      </c>
      <c r="L71" s="309">
        <f t="shared" si="22"/>
        <v>0</v>
      </c>
      <c r="M71" s="458"/>
      <c r="N71" s="1085"/>
      <c r="O71" s="1086"/>
      <c r="R71" s="1086"/>
      <c r="S71" s="1086"/>
    </row>
    <row r="72" spans="1:21" s="1010" customFormat="1">
      <c r="A72" s="306"/>
      <c r="B72" s="1077" t="s">
        <v>46</v>
      </c>
      <c r="C72" s="308">
        <f t="shared" ref="C72:C82" si="23">SUM(D72:Z72)</f>
        <v>6.9999999999999991</v>
      </c>
      <c r="D72" s="309">
        <f t="shared" ref="D72:L72" si="24">ProductionFY1o(2,D39,VLOOKUP(D39,ProductsRangeOper,3,FALSE),D57)</f>
        <v>0.26952014713258654</v>
      </c>
      <c r="E72" s="309">
        <f t="shared" si="24"/>
        <v>0.33908287757677741</v>
      </c>
      <c r="F72" s="309">
        <f t="shared" si="24"/>
        <v>0</v>
      </c>
      <c r="G72" s="309">
        <f t="shared" si="24"/>
        <v>0</v>
      </c>
      <c r="H72" s="309">
        <f t="shared" si="24"/>
        <v>1</v>
      </c>
      <c r="I72" s="309">
        <f t="shared" si="24"/>
        <v>1</v>
      </c>
      <c r="J72" s="309">
        <f t="shared" si="24"/>
        <v>1.7304798528674135</v>
      </c>
      <c r="K72" s="309">
        <f t="shared" si="24"/>
        <v>2.6609171224232222</v>
      </c>
      <c r="L72" s="309">
        <f t="shared" si="24"/>
        <v>0</v>
      </c>
      <c r="M72" s="304"/>
      <c r="O72" s="1086"/>
      <c r="R72" s="1086"/>
      <c r="S72" s="1086"/>
    </row>
    <row r="73" spans="1:21" s="1010" customFormat="1">
      <c r="A73" s="1074"/>
      <c r="B73" s="1078" t="s">
        <v>45</v>
      </c>
      <c r="C73" s="308">
        <f t="shared" si="23"/>
        <v>8</v>
      </c>
      <c r="D73" s="309">
        <f t="shared" ref="D73:L73" si="25">ProductionFY1o(3,D39,VLOOKUP(D39,ProductsRangeOper,3,FALSE),D58)</f>
        <v>0.34464082098061577</v>
      </c>
      <c r="E73" s="309">
        <f t="shared" si="25"/>
        <v>0.28799428299190094</v>
      </c>
      <c r="F73" s="309">
        <f t="shared" si="25"/>
        <v>0</v>
      </c>
      <c r="G73" s="309">
        <f t="shared" si="25"/>
        <v>0</v>
      </c>
      <c r="H73" s="309">
        <f t="shared" si="25"/>
        <v>1</v>
      </c>
      <c r="I73" s="309">
        <f t="shared" si="25"/>
        <v>1</v>
      </c>
      <c r="J73" s="309">
        <f t="shared" si="25"/>
        <v>2.655359179019384</v>
      </c>
      <c r="K73" s="309">
        <f t="shared" si="25"/>
        <v>2.7120057170080991</v>
      </c>
      <c r="L73" s="309">
        <f t="shared" si="25"/>
        <v>0</v>
      </c>
      <c r="M73" s="304"/>
      <c r="O73" s="1086"/>
      <c r="R73" s="1086"/>
      <c r="S73" s="1086"/>
    </row>
    <row r="74" spans="1:21" s="1010" customFormat="1">
      <c r="A74" s="1074"/>
      <c r="B74" s="1078" t="s">
        <v>44</v>
      </c>
      <c r="C74" s="308">
        <f t="shared" si="23"/>
        <v>9</v>
      </c>
      <c r="D74" s="309">
        <f t="shared" ref="D74:L74" si="26">ProductionFY1o(4,D39,VLOOKUP(D39,ProductsRangeOper,3,FALSE),D59)</f>
        <v>0.30033536206682404</v>
      </c>
      <c r="E74" s="309">
        <f t="shared" si="26"/>
        <v>0.38399237732253449</v>
      </c>
      <c r="F74" s="309">
        <f t="shared" si="26"/>
        <v>0</v>
      </c>
      <c r="G74" s="309">
        <f t="shared" si="26"/>
        <v>1</v>
      </c>
      <c r="H74" s="309">
        <f t="shared" si="26"/>
        <v>1</v>
      </c>
      <c r="I74" s="309">
        <f t="shared" si="26"/>
        <v>0</v>
      </c>
      <c r="J74" s="309">
        <f t="shared" si="26"/>
        <v>2.6996646379331759</v>
      </c>
      <c r="K74" s="309">
        <f t="shared" si="26"/>
        <v>3.6160076226774653</v>
      </c>
      <c r="L74" s="309">
        <f t="shared" si="26"/>
        <v>0</v>
      </c>
      <c r="M74" s="304"/>
      <c r="O74" s="1086"/>
      <c r="R74" s="1086"/>
      <c r="S74" s="1086"/>
    </row>
    <row r="75" spans="1:21" s="1010" customFormat="1">
      <c r="A75" s="1074"/>
      <c r="B75" s="1078" t="s">
        <v>43</v>
      </c>
      <c r="C75" s="308">
        <f t="shared" si="23"/>
        <v>10</v>
      </c>
      <c r="D75" s="309">
        <f t="shared" ref="D75:L75" si="27">ProductionFY1o(5,D39,VLOOKUP(D39,ProductsRangeOper,3,FALSE),D60)</f>
        <v>0.45952109464082103</v>
      </c>
      <c r="E75" s="309">
        <f t="shared" si="27"/>
        <v>0.38399237732253455</v>
      </c>
      <c r="F75" s="309">
        <f t="shared" si="27"/>
        <v>1</v>
      </c>
      <c r="G75" s="309">
        <f t="shared" si="27"/>
        <v>1</v>
      </c>
      <c r="H75" s="309">
        <f t="shared" si="27"/>
        <v>0</v>
      </c>
      <c r="I75" s="309">
        <f t="shared" si="27"/>
        <v>0</v>
      </c>
      <c r="J75" s="309">
        <f t="shared" si="27"/>
        <v>3.5404789053591794</v>
      </c>
      <c r="K75" s="309">
        <f t="shared" si="27"/>
        <v>3.6160076226774658</v>
      </c>
      <c r="L75" s="309">
        <f t="shared" si="27"/>
        <v>0</v>
      </c>
      <c r="M75" s="304"/>
      <c r="O75" s="1086"/>
      <c r="R75" s="1086"/>
      <c r="S75" s="1086"/>
    </row>
    <row r="76" spans="1:21" s="1010" customFormat="1">
      <c r="B76" s="1078" t="s">
        <v>42</v>
      </c>
      <c r="C76" s="308">
        <f t="shared" si="23"/>
        <v>13</v>
      </c>
      <c r="D76" s="309">
        <f t="shared" ref="D76:L76" si="28">ProductionFY1o(6,D39,VLOOKUP(D39,ProductsRangeOper,3,FALSE),D61)</f>
        <v>0.57440136830102617</v>
      </c>
      <c r="E76" s="309">
        <f t="shared" si="28"/>
        <v>0.62756293797041252</v>
      </c>
      <c r="F76" s="309">
        <f t="shared" si="28"/>
        <v>1</v>
      </c>
      <c r="G76" s="309">
        <f t="shared" si="28"/>
        <v>1</v>
      </c>
      <c r="H76" s="309">
        <f t="shared" si="28"/>
        <v>0</v>
      </c>
      <c r="I76" s="309">
        <f t="shared" si="28"/>
        <v>0</v>
      </c>
      <c r="J76" s="309">
        <f t="shared" si="28"/>
        <v>4.4255986316989739</v>
      </c>
      <c r="K76" s="309">
        <f t="shared" si="28"/>
        <v>5.3724370620295874</v>
      </c>
      <c r="L76" s="309">
        <f t="shared" si="28"/>
        <v>0</v>
      </c>
      <c r="M76" s="304"/>
      <c r="O76" s="1086"/>
      <c r="R76" s="1086"/>
      <c r="S76" s="1086"/>
    </row>
    <row r="77" spans="1:21" s="1010" customFormat="1">
      <c r="B77" s="1078" t="s">
        <v>41</v>
      </c>
      <c r="C77" s="308">
        <f t="shared" si="23"/>
        <v>15</v>
      </c>
      <c r="D77" s="309">
        <f t="shared" ref="D77:L77" si="29">ProductionFY1o(7,D39,VLOOKUP(D39,ProductsRangeOper,3,FALSE),D62)</f>
        <v>0.57440136830102617</v>
      </c>
      <c r="E77" s="309">
        <f t="shared" si="29"/>
        <v>0.62291492239325053</v>
      </c>
      <c r="F77" s="309">
        <f t="shared" si="29"/>
        <v>2</v>
      </c>
      <c r="G77" s="309">
        <f t="shared" si="29"/>
        <v>2</v>
      </c>
      <c r="H77" s="309">
        <f t="shared" si="29"/>
        <v>0</v>
      </c>
      <c r="I77" s="309">
        <f t="shared" si="29"/>
        <v>0</v>
      </c>
      <c r="J77" s="309">
        <f t="shared" si="29"/>
        <v>4.4255986316989739</v>
      </c>
      <c r="K77" s="309">
        <f t="shared" si="29"/>
        <v>5.3770850776067496</v>
      </c>
      <c r="L77" s="309">
        <f t="shared" si="29"/>
        <v>0</v>
      </c>
      <c r="M77" s="304"/>
      <c r="O77" s="1086"/>
      <c r="R77" s="1086"/>
      <c r="S77" s="1086"/>
    </row>
    <row r="78" spans="1:21" s="1010" customFormat="1">
      <c r="B78" s="1078" t="s">
        <v>40</v>
      </c>
      <c r="C78" s="308">
        <f t="shared" si="23"/>
        <v>16</v>
      </c>
      <c r="D78" s="309">
        <f t="shared" ref="D78:L78" si="30">ProductionFY1o(8,D39,VLOOKUP(D39,ProductsRangeOper,3,FALSE),D63)</f>
        <v>0.57440136830102617</v>
      </c>
      <c r="E78" s="309">
        <f t="shared" si="30"/>
        <v>0.62095531587057018</v>
      </c>
      <c r="F78" s="309">
        <f t="shared" si="30"/>
        <v>1</v>
      </c>
      <c r="G78" s="309">
        <f t="shared" si="30"/>
        <v>2</v>
      </c>
      <c r="H78" s="309">
        <f t="shared" si="30"/>
        <v>1</v>
      </c>
      <c r="I78" s="309">
        <f t="shared" si="30"/>
        <v>0</v>
      </c>
      <c r="J78" s="309">
        <f t="shared" si="30"/>
        <v>4.4255986316989739</v>
      </c>
      <c r="K78" s="309">
        <f t="shared" si="30"/>
        <v>6.3790446841294299</v>
      </c>
      <c r="L78" s="309">
        <f t="shared" si="30"/>
        <v>0</v>
      </c>
      <c r="M78" s="304"/>
      <c r="O78" s="1086"/>
      <c r="R78" s="1086"/>
      <c r="S78" s="1086"/>
    </row>
    <row r="79" spans="1:21" s="1010" customFormat="1">
      <c r="B79" s="1078" t="s">
        <v>39</v>
      </c>
      <c r="C79" s="308">
        <f t="shared" si="23"/>
        <v>15</v>
      </c>
      <c r="D79" s="309">
        <f t="shared" ref="D79:L79" si="31">ProductionFY1o(9,D39,VLOOKUP(D39,ProductsRangeOper,3,FALSE),D64)</f>
        <v>0.57440136830102628</v>
      </c>
      <c r="E79" s="309">
        <f t="shared" si="31"/>
        <v>0.56909421020778705</v>
      </c>
      <c r="F79" s="309">
        <f t="shared" si="31"/>
        <v>1</v>
      </c>
      <c r="G79" s="309">
        <f t="shared" si="31"/>
        <v>1</v>
      </c>
      <c r="H79" s="309">
        <f t="shared" si="31"/>
        <v>1</v>
      </c>
      <c r="I79" s="309">
        <f t="shared" si="31"/>
        <v>0</v>
      </c>
      <c r="J79" s="309">
        <f t="shared" si="31"/>
        <v>4.4255986316989739</v>
      </c>
      <c r="K79" s="309">
        <f t="shared" si="31"/>
        <v>6.4309057897922139</v>
      </c>
      <c r="L79" s="309">
        <f t="shared" si="31"/>
        <v>0</v>
      </c>
      <c r="M79" s="304"/>
      <c r="O79" s="1086"/>
      <c r="R79" s="1086"/>
      <c r="S79" s="1086"/>
    </row>
    <row r="80" spans="1:21" s="1010" customFormat="1">
      <c r="B80" s="1078" t="s">
        <v>38</v>
      </c>
      <c r="C80" s="308">
        <f t="shared" si="23"/>
        <v>13</v>
      </c>
      <c r="D80" s="309">
        <f t="shared" ref="D80:L80" si="32">ProductionFY1o(10,D39,VLOOKUP(D39,ProductsRangeOper,3,FALSE),D65)</f>
        <v>0.5041438623924942</v>
      </c>
      <c r="E80" s="309">
        <f t="shared" si="32"/>
        <v>0.52823593664664115</v>
      </c>
      <c r="F80" s="309">
        <f t="shared" si="32"/>
        <v>1</v>
      </c>
      <c r="G80" s="309">
        <f t="shared" si="32"/>
        <v>0</v>
      </c>
      <c r="H80" s="309">
        <f t="shared" si="32"/>
        <v>1</v>
      </c>
      <c r="I80" s="309">
        <f t="shared" si="32"/>
        <v>1</v>
      </c>
      <c r="J80" s="309">
        <f t="shared" si="32"/>
        <v>3.4958561376075057</v>
      </c>
      <c r="K80" s="309">
        <f t="shared" si="32"/>
        <v>5.4717640633533593</v>
      </c>
      <c r="L80" s="309">
        <f t="shared" si="32"/>
        <v>0</v>
      </c>
      <c r="M80" s="304"/>
      <c r="O80" s="1086"/>
      <c r="R80" s="1086"/>
      <c r="S80" s="1086"/>
    </row>
    <row r="81" spans="1:48" s="1010" customFormat="1">
      <c r="B81" s="1078" t="s">
        <v>37</v>
      </c>
      <c r="C81" s="308">
        <f t="shared" si="23"/>
        <v>9</v>
      </c>
      <c r="D81" s="309">
        <f t="shared" ref="D81:L81" si="33">ProductionFY1o(11,D39,VLOOKUP(D39,ProductsRangeOper,3,FALSE),D66)</f>
        <v>0.30033536206682404</v>
      </c>
      <c r="E81" s="309">
        <f t="shared" si="33"/>
        <v>0.33371286616292306</v>
      </c>
      <c r="F81" s="309">
        <f t="shared" si="33"/>
        <v>0</v>
      </c>
      <c r="G81" s="309">
        <f t="shared" si="33"/>
        <v>0</v>
      </c>
      <c r="H81" s="309">
        <f t="shared" si="33"/>
        <v>1</v>
      </c>
      <c r="I81" s="309">
        <f t="shared" si="33"/>
        <v>1</v>
      </c>
      <c r="J81" s="309">
        <f t="shared" si="33"/>
        <v>2.6996646379331759</v>
      </c>
      <c r="K81" s="309">
        <f t="shared" si="33"/>
        <v>3.6662871338370766</v>
      </c>
      <c r="L81" s="309">
        <f t="shared" si="33"/>
        <v>0</v>
      </c>
      <c r="M81" s="304"/>
      <c r="O81" s="1086"/>
      <c r="R81" s="1086"/>
      <c r="S81" s="1086"/>
    </row>
    <row r="82" spans="1:48" s="1010" customFormat="1">
      <c r="B82" s="1078" t="s">
        <v>36</v>
      </c>
      <c r="C82" s="308">
        <f t="shared" si="23"/>
        <v>8</v>
      </c>
      <c r="D82" s="309">
        <f t="shared" ref="D82:L82" si="34">ProductionFY1o(12,D39,VLOOKUP(D39,ProductsRangeOper,3,FALSE),D67)</f>
        <v>0.30033536206682404</v>
      </c>
      <c r="E82" s="309">
        <f t="shared" si="34"/>
        <v>0.33070219999218481</v>
      </c>
      <c r="F82" s="309">
        <f t="shared" si="34"/>
        <v>0</v>
      </c>
      <c r="G82" s="309">
        <f t="shared" si="34"/>
        <v>0</v>
      </c>
      <c r="H82" s="309">
        <f t="shared" si="34"/>
        <v>1</v>
      </c>
      <c r="I82" s="309">
        <f t="shared" si="34"/>
        <v>1</v>
      </c>
      <c r="J82" s="309">
        <f t="shared" si="34"/>
        <v>2.6996646379331759</v>
      </c>
      <c r="K82" s="309">
        <f t="shared" si="34"/>
        <v>2.6692978000078154</v>
      </c>
      <c r="L82" s="309">
        <f t="shared" si="34"/>
        <v>0</v>
      </c>
      <c r="M82" s="304"/>
      <c r="O82" s="1086"/>
      <c r="R82" s="1086"/>
      <c r="S82" s="1086"/>
    </row>
    <row r="83" spans="1:48" s="1010" customFormat="1">
      <c r="A83" s="1087" t="s">
        <v>416</v>
      </c>
      <c r="B83" s="1074"/>
      <c r="C83" s="1077" t="s">
        <v>85</v>
      </c>
      <c r="D83" s="1088">
        <f t="shared" ref="D83:I83" si="35">SUM(D56:D67)</f>
        <v>6856.8580079999992</v>
      </c>
      <c r="E83" s="1089">
        <f t="shared" si="35"/>
        <v>6856.8580079999992</v>
      </c>
      <c r="F83" s="1089">
        <f t="shared" si="35"/>
        <v>8966.6604720000014</v>
      </c>
      <c r="G83" s="1089">
        <f t="shared" si="35"/>
        <v>10021.561704000002</v>
      </c>
      <c r="H83" s="1089">
        <f t="shared" si="35"/>
        <v>11603.913551999996</v>
      </c>
      <c r="I83" s="1089">
        <f t="shared" si="35"/>
        <v>8439.2098559999977</v>
      </c>
      <c r="J83" s="310">
        <f>J68</f>
        <v>52830.134279999991</v>
      </c>
      <c r="K83" s="310">
        <f>K68</f>
        <v>64570.164119999994</v>
      </c>
      <c r="L83" s="310">
        <f>L68</f>
        <v>0</v>
      </c>
      <c r="O83" s="1086"/>
      <c r="R83" s="1086"/>
      <c r="S83" s="1086"/>
    </row>
    <row r="84" spans="1:48" s="1010" customFormat="1">
      <c r="A84" s="1087" t="s">
        <v>417</v>
      </c>
      <c r="B84" s="1074"/>
      <c r="C84" s="1077" t="s">
        <v>85</v>
      </c>
      <c r="D84" s="1088">
        <f t="shared" ref="D84:L84" si="36">SUM(D71:D82)*capacity</f>
        <v>6256.9874632877645</v>
      </c>
      <c r="E84" s="1088">
        <f t="shared" si="36"/>
        <v>6655.4807457225252</v>
      </c>
      <c r="F84" s="1088">
        <f t="shared" si="36"/>
        <v>8680</v>
      </c>
      <c r="G84" s="1088">
        <f t="shared" si="36"/>
        <v>9920</v>
      </c>
      <c r="H84" s="1088">
        <f t="shared" si="36"/>
        <v>11160</v>
      </c>
      <c r="I84" s="1088">
        <f t="shared" si="36"/>
        <v>7440</v>
      </c>
      <c r="J84" s="1088">
        <f t="shared" si="36"/>
        <v>48303.012536712238</v>
      </c>
      <c r="K84" s="1088">
        <f t="shared" si="36"/>
        <v>62784.519254277482</v>
      </c>
      <c r="L84" s="1088">
        <f t="shared" si="36"/>
        <v>0</v>
      </c>
      <c r="O84" s="1086"/>
      <c r="R84" s="1086"/>
      <c r="S84" s="1086"/>
    </row>
    <row r="85" spans="1:48" s="1010" customFormat="1">
      <c r="A85" s="1087" t="s">
        <v>418</v>
      </c>
      <c r="B85" s="1074"/>
      <c r="C85" s="1077" t="s">
        <v>85</v>
      </c>
      <c r="D85" s="1088">
        <f t="shared" ref="D85:L85" si="37">D83-D84</f>
        <v>599.87054471223473</v>
      </c>
      <c r="E85" s="1089">
        <f t="shared" si="37"/>
        <v>201.37726227747407</v>
      </c>
      <c r="F85" s="1089">
        <f t="shared" si="37"/>
        <v>286.66047200000139</v>
      </c>
      <c r="G85" s="1089">
        <f t="shared" si="37"/>
        <v>101.56170400000155</v>
      </c>
      <c r="H85" s="1089">
        <f t="shared" si="37"/>
        <v>443.91355199999634</v>
      </c>
      <c r="I85" s="1089">
        <f t="shared" si="37"/>
        <v>999.20985599999767</v>
      </c>
      <c r="J85" s="1089">
        <f t="shared" si="37"/>
        <v>4527.1217432877529</v>
      </c>
      <c r="K85" s="1089">
        <f t="shared" si="37"/>
        <v>1785.6448657225119</v>
      </c>
      <c r="L85" s="1089">
        <f t="shared" si="37"/>
        <v>0</v>
      </c>
      <c r="O85" s="1086"/>
      <c r="R85" s="1086"/>
      <c r="S85" s="1086"/>
    </row>
    <row r="86" spans="1:48" s="1074" customFormat="1">
      <c r="A86" s="1073"/>
      <c r="B86" s="1075" t="s">
        <v>34</v>
      </c>
      <c r="C86" s="1075"/>
      <c r="D86" s="1090" t="s">
        <v>1607</v>
      </c>
      <c r="E86" s="1090"/>
      <c r="F86" s="1090"/>
      <c r="G86" s="1090"/>
      <c r="H86" s="1090"/>
      <c r="I86" s="1090"/>
      <c r="J86" s="1090"/>
      <c r="K86" s="1090"/>
      <c r="L86" s="1090"/>
      <c r="M86" s="1010"/>
      <c r="N86" s="1010"/>
      <c r="O86" s="1010"/>
      <c r="P86" s="1010"/>
      <c r="Q86" s="1010"/>
      <c r="R86" s="1010"/>
      <c r="S86" s="1010"/>
      <c r="T86" s="1010"/>
      <c r="U86" s="1010"/>
      <c r="V86" s="1010"/>
      <c r="W86" s="1010"/>
      <c r="AG86" s="1010"/>
      <c r="AH86" s="1010"/>
      <c r="AI86" s="1010"/>
      <c r="AJ86" s="1010"/>
      <c r="AK86" s="1010"/>
      <c r="AL86" s="1010"/>
      <c r="AM86" s="1010"/>
      <c r="AN86" s="1010"/>
      <c r="AO86" s="1010"/>
      <c r="AP86" s="1010"/>
      <c r="AQ86" s="1010"/>
      <c r="AR86" s="1010"/>
      <c r="AS86" s="1010"/>
      <c r="AT86" s="1010"/>
      <c r="AU86" s="1010"/>
      <c r="AV86" s="1010"/>
    </row>
    <row r="87" spans="1:48" s="1074" customFormat="1">
      <c r="A87" s="304"/>
      <c r="B87" s="1077" t="s">
        <v>47</v>
      </c>
      <c r="C87" s="1123"/>
      <c r="D87" s="188">
        <v>0.06</v>
      </c>
      <c r="E87" s="188">
        <v>0.06</v>
      </c>
      <c r="F87" s="188">
        <v>0</v>
      </c>
      <c r="G87" s="188">
        <v>0.03</v>
      </c>
      <c r="H87" s="188">
        <v>0.15</v>
      </c>
      <c r="I87" s="188">
        <v>0.18</v>
      </c>
      <c r="J87" s="188">
        <v>0</v>
      </c>
      <c r="K87" s="188">
        <v>0.06</v>
      </c>
      <c r="L87" s="1124"/>
      <c r="M87" s="1010"/>
      <c r="N87" s="1010"/>
      <c r="O87" s="1010"/>
      <c r="P87" s="1010"/>
      <c r="Q87" s="1010"/>
      <c r="R87" s="1010"/>
      <c r="S87" s="1010"/>
      <c r="T87" s="1010"/>
      <c r="U87" s="1010"/>
      <c r="V87" s="1010"/>
      <c r="W87" s="1010"/>
      <c r="AG87" s="1010"/>
      <c r="AH87" s="1010"/>
      <c r="AI87" s="1010"/>
      <c r="AJ87" s="1010"/>
      <c r="AK87" s="1010"/>
      <c r="AL87" s="1010"/>
      <c r="AM87" s="1010"/>
      <c r="AN87" s="1010"/>
      <c r="AO87" s="1010"/>
      <c r="AP87" s="1010"/>
      <c r="AQ87" s="1010"/>
      <c r="AR87" s="1010"/>
      <c r="AS87" s="1010"/>
      <c r="AT87" s="1010"/>
      <c r="AU87" s="1010"/>
      <c r="AV87" s="1010"/>
    </row>
    <row r="88" spans="1:48" s="1074" customFormat="1">
      <c r="A88" s="306"/>
      <c r="B88" s="1077" t="s">
        <v>46</v>
      </c>
      <c r="C88" s="1123"/>
      <c r="D88" s="188">
        <v>0.06</v>
      </c>
      <c r="E88" s="188">
        <v>0.06</v>
      </c>
      <c r="F88" s="188">
        <v>0.03</v>
      </c>
      <c r="G88" s="188">
        <v>0.05</v>
      </c>
      <c r="H88" s="188">
        <v>7.0000000000000007E-2</v>
      </c>
      <c r="I88" s="188">
        <v>0.11</v>
      </c>
      <c r="J88" s="188">
        <v>0.05</v>
      </c>
      <c r="K88" s="188">
        <v>0.06</v>
      </c>
      <c r="L88" s="1124"/>
      <c r="M88" s="1010"/>
      <c r="N88" s="1010"/>
      <c r="O88" s="1010"/>
      <c r="P88" s="1010"/>
      <c r="Q88" s="1010"/>
      <c r="R88" s="1010"/>
      <c r="S88" s="1010"/>
      <c r="T88" s="1010"/>
      <c r="U88" s="1010"/>
      <c r="V88" s="1010"/>
      <c r="W88" s="1010"/>
      <c r="AG88" s="1010"/>
      <c r="AH88" s="1010"/>
      <c r="AI88" s="1010"/>
      <c r="AJ88" s="1010"/>
      <c r="AK88" s="1010"/>
      <c r="AL88" s="1010"/>
      <c r="AM88" s="1010"/>
      <c r="AN88" s="1010"/>
      <c r="AO88" s="1010"/>
      <c r="AP88" s="1010"/>
      <c r="AQ88" s="1010"/>
      <c r="AR88" s="1010"/>
      <c r="AS88" s="1010"/>
      <c r="AT88" s="1010"/>
      <c r="AU88" s="1010"/>
      <c r="AV88" s="1010"/>
    </row>
    <row r="89" spans="1:48" s="1074" customFormat="1">
      <c r="B89" s="1078" t="s">
        <v>45</v>
      </c>
      <c r="C89" s="1123"/>
      <c r="D89" s="188">
        <v>0.06</v>
      </c>
      <c r="E89" s="188">
        <v>0.06</v>
      </c>
      <c r="F89" s="188">
        <v>0.06</v>
      </c>
      <c r="G89" s="188">
        <v>0.06</v>
      </c>
      <c r="H89" s="188">
        <v>7.0000000000000007E-2</v>
      </c>
      <c r="I89" s="188">
        <v>0.09</v>
      </c>
      <c r="J89" s="188">
        <v>0.06</v>
      </c>
      <c r="K89" s="188">
        <v>0.06</v>
      </c>
      <c r="L89" s="1124"/>
      <c r="M89" s="1010"/>
      <c r="N89" s="1010"/>
      <c r="O89" s="1010"/>
      <c r="P89" s="1010"/>
      <c r="Q89" s="1010"/>
      <c r="R89" s="1010"/>
      <c r="S89" s="1010"/>
      <c r="T89" s="1010"/>
      <c r="U89" s="1010"/>
      <c r="V89" s="1010"/>
      <c r="W89" s="1010"/>
      <c r="AG89" s="1010"/>
      <c r="AH89" s="1010"/>
      <c r="AI89" s="1010"/>
      <c r="AJ89" s="1010"/>
      <c r="AK89" s="1010"/>
      <c r="AL89" s="1010"/>
      <c r="AM89" s="1010"/>
      <c r="AN89" s="1010"/>
      <c r="AO89" s="1010"/>
      <c r="AP89" s="1010"/>
      <c r="AQ89" s="1010"/>
      <c r="AR89" s="1010"/>
      <c r="AS89" s="1010"/>
      <c r="AT89" s="1010"/>
      <c r="AU89" s="1010"/>
      <c r="AV89" s="1010"/>
    </row>
    <row r="90" spans="1:48" s="1074" customFormat="1">
      <c r="B90" s="1078" t="s">
        <v>44</v>
      </c>
      <c r="C90" s="1123"/>
      <c r="D90" s="188">
        <v>0.06</v>
      </c>
      <c r="E90" s="188">
        <v>7.0000000000000007E-2</v>
      </c>
      <c r="F90" s="188">
        <v>7.0000000000000007E-2</v>
      </c>
      <c r="G90" s="188">
        <v>7.0000000000000007E-2</v>
      </c>
      <c r="H90" s="188">
        <v>7.0000000000000007E-2</v>
      </c>
      <c r="I90" s="188">
        <v>7.0000000000000007E-2</v>
      </c>
      <c r="J90" s="188">
        <v>7.0000000000000007E-2</v>
      </c>
      <c r="K90" s="188">
        <v>7.0000000000000007E-2</v>
      </c>
      <c r="L90" s="1124"/>
      <c r="M90" s="1010"/>
      <c r="N90" s="1010"/>
      <c r="O90" s="1010"/>
      <c r="P90" s="1010"/>
      <c r="Q90" s="1010"/>
      <c r="R90" s="1010"/>
      <c r="S90" s="1010"/>
      <c r="T90" s="1010"/>
      <c r="U90" s="1010"/>
      <c r="V90" s="1010"/>
      <c r="W90" s="1010"/>
      <c r="AG90" s="1010"/>
      <c r="AH90" s="1010"/>
      <c r="AI90" s="1010"/>
      <c r="AJ90" s="1010"/>
      <c r="AK90" s="1010"/>
      <c r="AL90" s="1010"/>
      <c r="AM90" s="1010"/>
      <c r="AN90" s="1010"/>
      <c r="AO90" s="1010"/>
      <c r="AP90" s="1010"/>
      <c r="AQ90" s="1010"/>
      <c r="AR90" s="1010"/>
      <c r="AS90" s="1010"/>
      <c r="AT90" s="1010"/>
      <c r="AU90" s="1010"/>
      <c r="AV90" s="1010"/>
    </row>
    <row r="91" spans="1:48" s="1074" customFormat="1">
      <c r="B91" s="1078" t="s">
        <v>43</v>
      </c>
      <c r="C91" s="1123"/>
      <c r="D91" s="188">
        <v>0.08</v>
      </c>
      <c r="E91" s="188">
        <v>0.08</v>
      </c>
      <c r="F91" s="188">
        <v>0.08</v>
      </c>
      <c r="G91" s="188">
        <v>0.08</v>
      </c>
      <c r="H91" s="188">
        <v>0.06</v>
      </c>
      <c r="I91" s="188">
        <v>0.06</v>
      </c>
      <c r="J91" s="188">
        <v>0.08</v>
      </c>
      <c r="K91" s="188">
        <v>0.08</v>
      </c>
      <c r="L91" s="1124"/>
      <c r="M91" s="1010"/>
      <c r="N91" s="1010"/>
      <c r="O91" s="1010"/>
      <c r="P91" s="1010"/>
      <c r="Q91" s="1010"/>
      <c r="R91" s="1010"/>
      <c r="S91" s="1010"/>
      <c r="T91" s="1010"/>
      <c r="U91" s="1010"/>
      <c r="V91" s="1010"/>
      <c r="W91" s="1010"/>
      <c r="AG91" s="1010"/>
      <c r="AH91" s="1010"/>
      <c r="AI91" s="1010"/>
      <c r="AJ91" s="1010"/>
      <c r="AK91" s="1010"/>
      <c r="AL91" s="1010"/>
      <c r="AM91" s="1010"/>
      <c r="AN91" s="1010"/>
      <c r="AO91" s="1010"/>
      <c r="AP91" s="1010"/>
      <c r="AQ91" s="1010"/>
      <c r="AR91" s="1010"/>
      <c r="AS91" s="1010"/>
      <c r="AT91" s="1010"/>
      <c r="AU91" s="1010"/>
      <c r="AV91" s="1010"/>
    </row>
    <row r="92" spans="1:48" s="1074" customFormat="1">
      <c r="A92" s="1010"/>
      <c r="B92" s="1078" t="s">
        <v>42</v>
      </c>
      <c r="C92" s="1123"/>
      <c r="D92" s="188">
        <v>0.12</v>
      </c>
      <c r="E92" s="188">
        <v>0.11</v>
      </c>
      <c r="F92" s="188">
        <v>0.08</v>
      </c>
      <c r="G92" s="188">
        <v>0.09</v>
      </c>
      <c r="H92" s="188">
        <v>0.03</v>
      </c>
      <c r="I92" s="188">
        <v>0</v>
      </c>
      <c r="J92" s="188">
        <v>0.09</v>
      </c>
      <c r="K92" s="188">
        <v>0.11</v>
      </c>
      <c r="L92" s="1124"/>
      <c r="M92" s="1010"/>
      <c r="N92" s="1010"/>
      <c r="O92" s="1010"/>
      <c r="P92" s="1010"/>
      <c r="Q92" s="1010"/>
      <c r="R92" s="1010"/>
      <c r="S92" s="1010"/>
      <c r="T92" s="1010"/>
      <c r="U92" s="1010"/>
      <c r="V92" s="1010"/>
      <c r="W92" s="1010"/>
      <c r="X92" s="1010"/>
      <c r="Y92" s="1010"/>
      <c r="Z92" s="1010"/>
      <c r="AA92" s="1010"/>
      <c r="AB92" s="1010"/>
      <c r="AC92" s="1010"/>
      <c r="AD92" s="1010"/>
      <c r="AE92" s="1010"/>
      <c r="AF92" s="1010"/>
      <c r="AG92" s="1010"/>
      <c r="AH92" s="1010"/>
      <c r="AI92" s="1010"/>
      <c r="AJ92" s="1010"/>
      <c r="AK92" s="1010"/>
      <c r="AL92" s="1010"/>
      <c r="AM92" s="1010"/>
      <c r="AN92" s="1010"/>
      <c r="AO92" s="1010"/>
      <c r="AP92" s="1010"/>
      <c r="AQ92" s="1010"/>
      <c r="AR92" s="1010"/>
      <c r="AS92" s="1010"/>
      <c r="AT92" s="1010"/>
      <c r="AU92" s="1010"/>
      <c r="AV92" s="1010"/>
    </row>
    <row r="93" spans="1:48" s="1074" customFormat="1">
      <c r="A93" s="1010"/>
      <c r="B93" s="1078" t="s">
        <v>41</v>
      </c>
      <c r="C93" s="1123"/>
      <c r="D93" s="188">
        <v>0.12</v>
      </c>
      <c r="E93" s="188">
        <v>0.11</v>
      </c>
      <c r="F93" s="188">
        <v>0.21</v>
      </c>
      <c r="G93" s="188">
        <v>0.16</v>
      </c>
      <c r="H93" s="188">
        <v>0.03</v>
      </c>
      <c r="I93" s="188">
        <v>0</v>
      </c>
      <c r="J93" s="188">
        <v>0.18</v>
      </c>
      <c r="K93" s="188">
        <v>0.11</v>
      </c>
      <c r="L93" s="1124"/>
      <c r="M93" s="1010"/>
      <c r="N93" s="1010"/>
      <c r="O93" s="1010"/>
      <c r="P93" s="1010"/>
      <c r="Q93" s="1010"/>
      <c r="R93" s="1010"/>
      <c r="S93" s="1010"/>
      <c r="T93" s="1010"/>
      <c r="U93" s="1010"/>
      <c r="V93" s="1010"/>
      <c r="W93" s="1010"/>
      <c r="X93" s="1010"/>
      <c r="Y93" s="1010"/>
      <c r="Z93" s="1010"/>
      <c r="AA93" s="1010"/>
      <c r="AB93" s="1010"/>
      <c r="AC93" s="1010"/>
      <c r="AD93" s="1010"/>
      <c r="AE93" s="1010"/>
      <c r="AF93" s="1010"/>
      <c r="AG93" s="1010"/>
      <c r="AH93" s="1010"/>
      <c r="AI93" s="1010"/>
      <c r="AJ93" s="1010"/>
      <c r="AK93" s="1010"/>
      <c r="AL93" s="1010"/>
      <c r="AM93" s="1010"/>
      <c r="AN93" s="1010"/>
      <c r="AO93" s="1010"/>
      <c r="AP93" s="1010"/>
      <c r="AQ93" s="1010"/>
      <c r="AR93" s="1010"/>
      <c r="AS93" s="1010"/>
      <c r="AT93" s="1010"/>
      <c r="AU93" s="1010"/>
      <c r="AV93" s="1010"/>
    </row>
    <row r="94" spans="1:48" s="1074" customFormat="1">
      <c r="A94" s="1010"/>
      <c r="B94" s="1078" t="s">
        <v>40</v>
      </c>
      <c r="C94" s="1123"/>
      <c r="D94" s="188">
        <v>0.12</v>
      </c>
      <c r="E94" s="188">
        <v>0.11</v>
      </c>
      <c r="F94" s="188">
        <v>0.2</v>
      </c>
      <c r="G94" s="188">
        <v>0.12</v>
      </c>
      <c r="H94" s="188">
        <v>7.0000000000000007E-2</v>
      </c>
      <c r="I94" s="188">
        <v>0.02</v>
      </c>
      <c r="J94" s="188">
        <v>0.16</v>
      </c>
      <c r="K94" s="188">
        <v>0.11</v>
      </c>
      <c r="L94" s="1124"/>
      <c r="M94" s="1010"/>
      <c r="N94" s="1010"/>
      <c r="O94" s="1010"/>
      <c r="P94" s="1010"/>
      <c r="Q94" s="1010"/>
      <c r="R94" s="1010"/>
      <c r="S94" s="1010"/>
      <c r="T94" s="1010"/>
      <c r="U94" s="1010"/>
      <c r="V94" s="1010"/>
      <c r="W94" s="1010"/>
      <c r="X94" s="1010"/>
      <c r="Y94" s="1010"/>
      <c r="Z94" s="1010"/>
      <c r="AA94" s="1010"/>
      <c r="AB94" s="1010"/>
      <c r="AC94" s="1010"/>
      <c r="AD94" s="1010"/>
      <c r="AE94" s="1010"/>
      <c r="AF94" s="1010"/>
      <c r="AG94" s="1010"/>
      <c r="AH94" s="1010"/>
      <c r="AI94" s="1010"/>
      <c r="AJ94" s="1010"/>
      <c r="AK94" s="1010"/>
      <c r="AL94" s="1010"/>
      <c r="AM94" s="1010"/>
      <c r="AN94" s="1010"/>
      <c r="AO94" s="1010"/>
      <c r="AP94" s="1010"/>
      <c r="AQ94" s="1010"/>
      <c r="AR94" s="1010"/>
      <c r="AS94" s="1010"/>
      <c r="AT94" s="1010"/>
      <c r="AU94" s="1010"/>
      <c r="AV94" s="1010"/>
    </row>
    <row r="95" spans="1:48" s="1074" customFormat="1">
      <c r="A95" s="1010"/>
      <c r="B95" s="1078" t="s">
        <v>39</v>
      </c>
      <c r="C95" s="1123"/>
      <c r="D95" s="188">
        <v>0.1</v>
      </c>
      <c r="E95" s="188">
        <v>0.11</v>
      </c>
      <c r="F95" s="188">
        <v>0.12</v>
      </c>
      <c r="G95" s="188">
        <v>0.12</v>
      </c>
      <c r="H95" s="188">
        <v>0.08</v>
      </c>
      <c r="I95" s="188">
        <v>0.06</v>
      </c>
      <c r="J95" s="188">
        <v>0.12</v>
      </c>
      <c r="K95" s="188">
        <v>0.11</v>
      </c>
      <c r="L95" s="1124"/>
      <c r="M95" s="1010"/>
      <c r="N95" s="1010"/>
      <c r="O95" s="1010"/>
      <c r="P95" s="1010"/>
      <c r="Q95" s="1010"/>
      <c r="R95" s="1010"/>
      <c r="S95" s="1010"/>
      <c r="T95" s="1010"/>
      <c r="U95" s="1010"/>
      <c r="V95" s="1010"/>
      <c r="W95" s="1010"/>
      <c r="X95" s="1010"/>
      <c r="Y95" s="1010"/>
      <c r="Z95" s="1010"/>
      <c r="AA95" s="1010"/>
      <c r="AB95" s="1010"/>
      <c r="AC95" s="1010"/>
      <c r="AD95" s="1010"/>
      <c r="AE95" s="1010"/>
      <c r="AF95" s="1010"/>
      <c r="AG95" s="1010"/>
      <c r="AH95" s="1010"/>
      <c r="AI95" s="1010"/>
      <c r="AJ95" s="1010"/>
      <c r="AK95" s="1010"/>
      <c r="AL95" s="1010"/>
      <c r="AM95" s="1010"/>
      <c r="AN95" s="1010"/>
      <c r="AO95" s="1010"/>
      <c r="AP95" s="1010"/>
      <c r="AQ95" s="1010"/>
      <c r="AR95" s="1010"/>
      <c r="AS95" s="1010"/>
      <c r="AT95" s="1010"/>
      <c r="AU95" s="1010"/>
      <c r="AV95" s="1010"/>
    </row>
    <row r="96" spans="1:48" s="1074" customFormat="1">
      <c r="A96" s="1010"/>
      <c r="B96" s="1078" t="s">
        <v>38</v>
      </c>
      <c r="C96" s="1123"/>
      <c r="D96" s="188">
        <v>0.1</v>
      </c>
      <c r="E96" s="188">
        <v>0.1</v>
      </c>
      <c r="F96" s="188">
        <v>0.11</v>
      </c>
      <c r="G96" s="188">
        <v>0.12</v>
      </c>
      <c r="H96" s="188">
        <v>0.11</v>
      </c>
      <c r="I96" s="188">
        <v>0.11</v>
      </c>
      <c r="J96" s="188">
        <v>0.12</v>
      </c>
      <c r="K96" s="188">
        <v>0.1</v>
      </c>
      <c r="L96" s="1124"/>
      <c r="M96" s="1010"/>
      <c r="N96" s="1010"/>
      <c r="O96" s="1010"/>
      <c r="P96" s="1010"/>
      <c r="Q96" s="1010"/>
      <c r="R96" s="1010"/>
      <c r="S96" s="1010"/>
      <c r="T96" s="1010"/>
      <c r="U96" s="1010"/>
      <c r="V96" s="1010"/>
      <c r="W96" s="1010"/>
      <c r="X96" s="1010"/>
      <c r="Y96" s="1010"/>
      <c r="Z96" s="1010"/>
      <c r="AA96" s="1010"/>
      <c r="AB96" s="1010"/>
      <c r="AC96" s="1010"/>
      <c r="AD96" s="1010"/>
      <c r="AE96" s="1010"/>
      <c r="AF96" s="1010"/>
      <c r="AG96" s="1010"/>
      <c r="AH96" s="1010"/>
      <c r="AI96" s="1010"/>
      <c r="AJ96" s="1010"/>
      <c r="AK96" s="1010"/>
      <c r="AL96" s="1010"/>
      <c r="AM96" s="1010"/>
      <c r="AN96" s="1010"/>
      <c r="AO96" s="1010"/>
      <c r="AP96" s="1010"/>
      <c r="AQ96" s="1010"/>
      <c r="AR96" s="1010"/>
      <c r="AS96" s="1010"/>
      <c r="AT96" s="1010"/>
      <c r="AU96" s="1010"/>
      <c r="AV96" s="1010"/>
    </row>
    <row r="97" spans="1:48" s="1074" customFormat="1">
      <c r="A97" s="1010"/>
      <c r="B97" s="1078" t="s">
        <v>37</v>
      </c>
      <c r="C97" s="1123"/>
      <c r="D97" s="188">
        <v>0.06</v>
      </c>
      <c r="E97" s="188">
        <v>0.06</v>
      </c>
      <c r="F97" s="188">
        <v>0.03</v>
      </c>
      <c r="G97" s="188">
        <v>7.0000000000000007E-2</v>
      </c>
      <c r="H97" s="188">
        <v>0.12</v>
      </c>
      <c r="I97" s="188">
        <v>0.12</v>
      </c>
      <c r="J97" s="188">
        <v>7.0000000000000007E-2</v>
      </c>
      <c r="K97" s="188">
        <v>0.06</v>
      </c>
      <c r="L97" s="1124"/>
      <c r="M97" s="1010"/>
      <c r="N97" s="1010"/>
      <c r="O97" s="1010"/>
      <c r="P97" s="1010"/>
      <c r="Q97" s="1010"/>
      <c r="R97" s="1010"/>
      <c r="S97" s="1010"/>
      <c r="T97" s="1010"/>
      <c r="U97" s="1010"/>
      <c r="V97" s="1010"/>
      <c r="W97" s="1010"/>
      <c r="X97" s="1010"/>
      <c r="Y97" s="1010"/>
      <c r="Z97" s="1010"/>
      <c r="AA97" s="1010"/>
      <c r="AB97" s="1010"/>
      <c r="AC97" s="1010"/>
      <c r="AD97" s="1010"/>
      <c r="AE97" s="1010"/>
      <c r="AF97" s="1010"/>
      <c r="AG97" s="1010"/>
      <c r="AH97" s="1010"/>
      <c r="AI97" s="1010"/>
      <c r="AJ97" s="1010"/>
      <c r="AK97" s="1010"/>
      <c r="AL97" s="1010"/>
      <c r="AM97" s="1010"/>
      <c r="AN97" s="1010"/>
      <c r="AO97" s="1010"/>
      <c r="AP97" s="1010"/>
      <c r="AQ97" s="1010"/>
      <c r="AR97" s="1010"/>
      <c r="AS97" s="1010"/>
      <c r="AT97" s="1010"/>
      <c r="AU97" s="1010"/>
      <c r="AV97" s="1010"/>
    </row>
    <row r="98" spans="1:48" s="1074" customFormat="1">
      <c r="A98" s="1010"/>
      <c r="B98" s="1078" t="s">
        <v>36</v>
      </c>
      <c r="C98" s="1123"/>
      <c r="D98" s="188">
        <v>0.06</v>
      </c>
      <c r="E98" s="188">
        <v>7.0000000000000007E-2</v>
      </c>
      <c r="F98" s="188">
        <v>0.01</v>
      </c>
      <c r="G98" s="188">
        <v>0.03</v>
      </c>
      <c r="H98" s="188">
        <v>0.14000000000000001</v>
      </c>
      <c r="I98" s="188">
        <v>0.18</v>
      </c>
      <c r="J98" s="188">
        <v>0</v>
      </c>
      <c r="K98" s="188">
        <v>7.0000000000000007E-2</v>
      </c>
      <c r="L98" s="1124"/>
      <c r="M98" s="1010"/>
      <c r="N98" s="1010"/>
      <c r="O98" s="1010"/>
      <c r="P98" s="1010"/>
      <c r="Q98" s="1010"/>
      <c r="R98" s="1010"/>
      <c r="S98" s="1010"/>
      <c r="T98" s="1010"/>
      <c r="U98" s="1010"/>
      <c r="V98" s="1010"/>
      <c r="W98" s="1010"/>
      <c r="X98" s="1010"/>
      <c r="Y98" s="1010"/>
      <c r="Z98" s="1010"/>
      <c r="AA98" s="1010"/>
      <c r="AB98" s="1010"/>
      <c r="AC98" s="1010"/>
      <c r="AD98" s="1010"/>
      <c r="AE98" s="1010"/>
      <c r="AF98" s="1010"/>
      <c r="AG98" s="1010"/>
      <c r="AH98" s="1010"/>
      <c r="AI98" s="1010"/>
      <c r="AJ98" s="1010"/>
      <c r="AK98" s="1010"/>
      <c r="AL98" s="1010"/>
      <c r="AM98" s="1010"/>
      <c r="AN98" s="1010"/>
      <c r="AO98" s="1010"/>
      <c r="AP98" s="1010"/>
      <c r="AQ98" s="1010"/>
      <c r="AR98" s="1010"/>
      <c r="AS98" s="1010"/>
      <c r="AT98" s="1010"/>
      <c r="AU98" s="1010"/>
      <c r="AV98" s="1010"/>
    </row>
    <row r="99" spans="1:48" s="1074" customFormat="1">
      <c r="A99" s="1010"/>
      <c r="B99" s="1078" t="s">
        <v>412</v>
      </c>
      <c r="D99" s="1079">
        <f t="shared" ref="D99:L99" si="38">SUM(D87:D98)</f>
        <v>1</v>
      </c>
      <c r="E99" s="1079">
        <f t="shared" si="38"/>
        <v>1</v>
      </c>
      <c r="F99" s="1079">
        <f t="shared" si="38"/>
        <v>1</v>
      </c>
      <c r="G99" s="1079">
        <f t="shared" si="38"/>
        <v>1</v>
      </c>
      <c r="H99" s="1079">
        <f t="shared" si="38"/>
        <v>1</v>
      </c>
      <c r="I99" s="1079">
        <f t="shared" si="38"/>
        <v>1</v>
      </c>
      <c r="J99" s="1079">
        <f t="shared" si="38"/>
        <v>1</v>
      </c>
      <c r="K99" s="1079">
        <f t="shared" si="38"/>
        <v>1</v>
      </c>
      <c r="L99" s="1079">
        <f t="shared" si="38"/>
        <v>0</v>
      </c>
      <c r="M99" s="1010"/>
      <c r="N99" s="1010"/>
      <c r="O99" s="1010"/>
      <c r="P99" s="1010"/>
      <c r="Q99" s="1010"/>
      <c r="R99" s="1010"/>
      <c r="S99" s="1010"/>
      <c r="T99" s="1010"/>
      <c r="U99" s="1010"/>
      <c r="V99" s="1010"/>
      <c r="W99" s="1010"/>
      <c r="X99" s="1010"/>
      <c r="Y99" s="1010"/>
      <c r="Z99" s="1010"/>
      <c r="AA99" s="1010"/>
      <c r="AB99" s="1010"/>
      <c r="AC99" s="1010"/>
      <c r="AD99" s="1010"/>
      <c r="AE99" s="1010"/>
      <c r="AF99" s="1010"/>
      <c r="AG99" s="1010"/>
      <c r="AH99" s="1010"/>
      <c r="AI99" s="1010"/>
      <c r="AJ99" s="1010"/>
      <c r="AK99" s="1010"/>
      <c r="AL99" s="1010"/>
      <c r="AM99" s="1010"/>
      <c r="AN99" s="1010"/>
      <c r="AO99" s="1010"/>
      <c r="AP99" s="1010"/>
      <c r="AQ99" s="1010"/>
      <c r="AR99" s="1010"/>
      <c r="AS99" s="1010"/>
      <c r="AT99" s="1010"/>
      <c r="AU99" s="1010"/>
      <c r="AV99" s="1010"/>
    </row>
    <row r="100" spans="1:48" s="1074" customFormat="1">
      <c r="A100" s="1010"/>
      <c r="B100" s="1078"/>
      <c r="D100" s="1080" t="s">
        <v>1605</v>
      </c>
      <c r="E100" s="1080"/>
      <c r="F100" s="1080"/>
      <c r="G100" s="1080"/>
      <c r="H100" s="1080"/>
      <c r="I100" s="1080"/>
      <c r="J100" s="1080"/>
      <c r="K100" s="1080"/>
      <c r="L100" s="1080"/>
      <c r="M100" s="1010"/>
      <c r="N100" s="1010"/>
      <c r="O100" s="1010"/>
      <c r="P100" s="1010"/>
      <c r="Q100" s="1010"/>
      <c r="R100" s="1010"/>
      <c r="S100" s="1010"/>
      <c r="T100" s="1010"/>
      <c r="U100" s="1010"/>
      <c r="V100" s="1010"/>
      <c r="W100" s="1010"/>
      <c r="X100" s="1010"/>
      <c r="Y100" s="1010"/>
      <c r="Z100" s="1010"/>
      <c r="AA100" s="1010"/>
      <c r="AB100" s="1010"/>
      <c r="AC100" s="1010"/>
      <c r="AD100" s="1010"/>
      <c r="AE100" s="1010"/>
      <c r="AF100" s="1010"/>
      <c r="AG100" s="1010"/>
      <c r="AH100" s="1010"/>
      <c r="AI100" s="1010"/>
      <c r="AJ100" s="1010"/>
      <c r="AK100" s="1010"/>
      <c r="AL100" s="1010"/>
      <c r="AM100" s="1010"/>
      <c r="AN100" s="1010"/>
      <c r="AO100" s="1010"/>
      <c r="AP100" s="1010"/>
      <c r="AQ100" s="1010"/>
      <c r="AR100" s="1010"/>
      <c r="AS100" s="1010"/>
      <c r="AT100" s="1010"/>
      <c r="AU100" s="1010"/>
      <c r="AV100" s="1010"/>
    </row>
    <row r="101" spans="1:48" s="1010" customFormat="1">
      <c r="A101" s="1073"/>
      <c r="B101" s="1077" t="s">
        <v>47</v>
      </c>
      <c r="D101" s="1082">
        <f t="shared" ref="D101:L101" si="39">D87*D113</f>
        <v>445.01793335999997</v>
      </c>
      <c r="E101" s="1082">
        <f t="shared" si="39"/>
        <v>445.01793335999997</v>
      </c>
      <c r="F101" s="1082">
        <f t="shared" si="39"/>
        <v>0</v>
      </c>
      <c r="G101" s="1082">
        <f t="shared" si="39"/>
        <v>325.20541283999995</v>
      </c>
      <c r="H101" s="1082">
        <f t="shared" si="39"/>
        <v>1882.7681795999999</v>
      </c>
      <c r="I101" s="1082">
        <f t="shared" si="39"/>
        <v>1643.1431385599999</v>
      </c>
      <c r="J101" s="1082">
        <f t="shared" si="39"/>
        <v>0</v>
      </c>
      <c r="K101" s="1082">
        <f t="shared" si="39"/>
        <v>3870.9496425600005</v>
      </c>
      <c r="L101" s="1082">
        <f t="shared" si="39"/>
        <v>0</v>
      </c>
    </row>
    <row r="102" spans="1:48" s="1010" customFormat="1">
      <c r="A102" s="1073"/>
      <c r="B102" s="1077" t="s">
        <v>46</v>
      </c>
      <c r="D102" s="1082">
        <f t="shared" ref="D102:L102" si="40">D88*D113</f>
        <v>445.01793335999997</v>
      </c>
      <c r="E102" s="1082">
        <f t="shared" si="40"/>
        <v>445.01793335999997</v>
      </c>
      <c r="F102" s="1082">
        <f t="shared" si="40"/>
        <v>290.97326412000001</v>
      </c>
      <c r="G102" s="1082">
        <f t="shared" si="40"/>
        <v>542.00902140000005</v>
      </c>
      <c r="H102" s="1082">
        <f t="shared" si="40"/>
        <v>878.62515048000012</v>
      </c>
      <c r="I102" s="1082">
        <f t="shared" si="40"/>
        <v>1004.1430291199999</v>
      </c>
      <c r="J102" s="1082">
        <f t="shared" si="40"/>
        <v>2977.6535712000004</v>
      </c>
      <c r="K102" s="1082">
        <f t="shared" si="40"/>
        <v>3870.9496425600005</v>
      </c>
      <c r="L102" s="1082">
        <f t="shared" si="40"/>
        <v>0</v>
      </c>
    </row>
    <row r="103" spans="1:48" s="1010" customFormat="1">
      <c r="A103" s="1073"/>
      <c r="B103" s="1078" t="s">
        <v>45</v>
      </c>
      <c r="D103" s="1082">
        <f t="shared" ref="D103:L103" si="41">D89*D113</f>
        <v>445.01793335999997</v>
      </c>
      <c r="E103" s="1082">
        <f t="shared" si="41"/>
        <v>445.01793335999997</v>
      </c>
      <c r="F103" s="1082">
        <f t="shared" si="41"/>
        <v>581.94652824000002</v>
      </c>
      <c r="G103" s="1082">
        <f t="shared" si="41"/>
        <v>650.4108256799999</v>
      </c>
      <c r="H103" s="1082">
        <f t="shared" si="41"/>
        <v>878.62515048000012</v>
      </c>
      <c r="I103" s="1082">
        <f t="shared" si="41"/>
        <v>821.57156927999995</v>
      </c>
      <c r="J103" s="1082">
        <f t="shared" si="41"/>
        <v>3573.1842854400002</v>
      </c>
      <c r="K103" s="1082">
        <f t="shared" si="41"/>
        <v>3870.9496425600005</v>
      </c>
      <c r="L103" s="1082">
        <f t="shared" si="41"/>
        <v>0</v>
      </c>
    </row>
    <row r="104" spans="1:48" s="1010" customFormat="1">
      <c r="A104" s="1073"/>
      <c r="B104" s="1078" t="s">
        <v>44</v>
      </c>
      <c r="D104" s="1082">
        <f t="shared" ref="D104:L104" si="42">D90*D113</f>
        <v>445.01793335999997</v>
      </c>
      <c r="E104" s="1082">
        <f t="shared" si="42"/>
        <v>519.18758892000005</v>
      </c>
      <c r="F104" s="1082">
        <f t="shared" si="42"/>
        <v>678.93761628000016</v>
      </c>
      <c r="G104" s="1082">
        <f t="shared" si="42"/>
        <v>758.81262996000009</v>
      </c>
      <c r="H104" s="1082">
        <f t="shared" si="42"/>
        <v>878.62515048000012</v>
      </c>
      <c r="I104" s="1082">
        <f t="shared" si="42"/>
        <v>639.00010944000007</v>
      </c>
      <c r="J104" s="1082">
        <f t="shared" si="42"/>
        <v>4168.7149996800008</v>
      </c>
      <c r="K104" s="1082">
        <f t="shared" si="42"/>
        <v>4516.1079163200011</v>
      </c>
      <c r="L104" s="1082">
        <f t="shared" si="42"/>
        <v>0</v>
      </c>
    </row>
    <row r="105" spans="1:48" s="1010" customFormat="1">
      <c r="A105" s="1036"/>
      <c r="B105" s="1078" t="s">
        <v>43</v>
      </c>
      <c r="D105" s="1082">
        <f t="shared" ref="D105:L105" si="43">D91*D113</f>
        <v>593.35724448000008</v>
      </c>
      <c r="E105" s="1082">
        <f t="shared" si="43"/>
        <v>593.35724448000008</v>
      </c>
      <c r="F105" s="1082">
        <f t="shared" si="43"/>
        <v>775.92870432000018</v>
      </c>
      <c r="G105" s="1082">
        <f t="shared" si="43"/>
        <v>867.21443423999995</v>
      </c>
      <c r="H105" s="1082">
        <f t="shared" si="43"/>
        <v>753.10727183999995</v>
      </c>
      <c r="I105" s="1082">
        <f t="shared" si="43"/>
        <v>547.71437951999997</v>
      </c>
      <c r="J105" s="1082">
        <f t="shared" si="43"/>
        <v>4764.2457139200005</v>
      </c>
      <c r="K105" s="1082">
        <f t="shared" si="43"/>
        <v>5161.2661900800003</v>
      </c>
      <c r="L105" s="1082">
        <f t="shared" si="43"/>
        <v>0</v>
      </c>
    </row>
    <row r="106" spans="1:48" s="1010" customFormat="1">
      <c r="A106" s="1091"/>
      <c r="B106" s="1078" t="s">
        <v>42</v>
      </c>
      <c r="D106" s="1082">
        <f t="shared" ref="D106:L106" si="44">D92*D113</f>
        <v>890.03586671999994</v>
      </c>
      <c r="E106" s="1082">
        <f t="shared" si="44"/>
        <v>815.86621116000003</v>
      </c>
      <c r="F106" s="1082">
        <f t="shared" si="44"/>
        <v>775.92870432000018</v>
      </c>
      <c r="G106" s="1082">
        <f t="shared" si="44"/>
        <v>975.61623851999991</v>
      </c>
      <c r="H106" s="1082">
        <f t="shared" si="44"/>
        <v>376.55363591999998</v>
      </c>
      <c r="I106" s="1082">
        <f t="shared" si="44"/>
        <v>0</v>
      </c>
      <c r="J106" s="1082">
        <f t="shared" si="44"/>
        <v>5359.7764281600003</v>
      </c>
      <c r="K106" s="1082">
        <f t="shared" si="44"/>
        <v>7096.7410113600008</v>
      </c>
      <c r="L106" s="1082">
        <f t="shared" si="44"/>
        <v>0</v>
      </c>
    </row>
    <row r="107" spans="1:48" s="1010" customFormat="1">
      <c r="A107" s="1091"/>
      <c r="B107" s="1078" t="s">
        <v>41</v>
      </c>
      <c r="D107" s="1082">
        <f t="shared" ref="D107:L107" si="45">D93*D113</f>
        <v>890.03586671999994</v>
      </c>
      <c r="E107" s="1082">
        <f t="shared" si="45"/>
        <v>815.86621116000003</v>
      </c>
      <c r="F107" s="1082">
        <f t="shared" si="45"/>
        <v>2036.8128488400002</v>
      </c>
      <c r="G107" s="1082">
        <f t="shared" si="45"/>
        <v>1734.4288684799999</v>
      </c>
      <c r="H107" s="1082">
        <f t="shared" si="45"/>
        <v>376.55363591999998</v>
      </c>
      <c r="I107" s="1082">
        <f t="shared" si="45"/>
        <v>0</v>
      </c>
      <c r="J107" s="1082">
        <f t="shared" si="45"/>
        <v>10719.552856320001</v>
      </c>
      <c r="K107" s="1082">
        <f t="shared" si="45"/>
        <v>7096.7410113600008</v>
      </c>
      <c r="L107" s="1082">
        <f t="shared" si="45"/>
        <v>0</v>
      </c>
    </row>
    <row r="108" spans="1:48" s="1010" customFormat="1">
      <c r="A108" s="1091"/>
      <c r="B108" s="1078" t="s">
        <v>40</v>
      </c>
      <c r="D108" s="1082">
        <f t="shared" ref="D108:L108" si="46">D94*D113</f>
        <v>890.03586671999994</v>
      </c>
      <c r="E108" s="1082">
        <f t="shared" si="46"/>
        <v>815.86621116000003</v>
      </c>
      <c r="F108" s="1082">
        <f t="shared" si="46"/>
        <v>1939.8217608000004</v>
      </c>
      <c r="G108" s="1082">
        <f t="shared" si="46"/>
        <v>1300.8216513599998</v>
      </c>
      <c r="H108" s="1082">
        <f t="shared" si="46"/>
        <v>878.62515048000012</v>
      </c>
      <c r="I108" s="1082">
        <f t="shared" si="46"/>
        <v>182.57145983999999</v>
      </c>
      <c r="J108" s="1082">
        <f t="shared" si="46"/>
        <v>9528.4914278400011</v>
      </c>
      <c r="K108" s="1082">
        <f t="shared" si="46"/>
        <v>7096.7410113600008</v>
      </c>
      <c r="L108" s="1082">
        <f t="shared" si="46"/>
        <v>0</v>
      </c>
    </row>
    <row r="109" spans="1:48" s="1010" customFormat="1">
      <c r="A109" s="1092"/>
      <c r="B109" s="1078" t="s">
        <v>39</v>
      </c>
      <c r="D109" s="1082">
        <f t="shared" ref="D109:L109" si="47">D95*D113</f>
        <v>741.69655560000001</v>
      </c>
      <c r="E109" s="1082">
        <f t="shared" si="47"/>
        <v>815.86621116000003</v>
      </c>
      <c r="F109" s="1082">
        <f t="shared" si="47"/>
        <v>1163.89305648</v>
      </c>
      <c r="G109" s="1082">
        <f t="shared" si="47"/>
        <v>1300.8216513599998</v>
      </c>
      <c r="H109" s="1082">
        <f t="shared" si="47"/>
        <v>1004.1430291200001</v>
      </c>
      <c r="I109" s="1082">
        <f t="shared" si="47"/>
        <v>547.71437951999997</v>
      </c>
      <c r="J109" s="1082">
        <f t="shared" si="47"/>
        <v>7146.3685708800003</v>
      </c>
      <c r="K109" s="1082">
        <f t="shared" si="47"/>
        <v>7096.7410113600008</v>
      </c>
      <c r="L109" s="1082">
        <f t="shared" si="47"/>
        <v>0</v>
      </c>
    </row>
    <row r="110" spans="1:48" s="1010" customFormat="1">
      <c r="A110" s="1092"/>
      <c r="B110" s="1078" t="s">
        <v>38</v>
      </c>
      <c r="D110" s="1082">
        <f t="shared" ref="D110:L110" si="48">D96*D113</f>
        <v>741.69655560000001</v>
      </c>
      <c r="E110" s="1082">
        <f t="shared" si="48"/>
        <v>741.69655560000001</v>
      </c>
      <c r="F110" s="1082">
        <f t="shared" si="48"/>
        <v>1066.9019684400002</v>
      </c>
      <c r="G110" s="1082">
        <f t="shared" si="48"/>
        <v>1300.8216513599998</v>
      </c>
      <c r="H110" s="1082">
        <f t="shared" si="48"/>
        <v>1380.69666504</v>
      </c>
      <c r="I110" s="1082">
        <f t="shared" si="48"/>
        <v>1004.1430291199999</v>
      </c>
      <c r="J110" s="1082">
        <f t="shared" si="48"/>
        <v>7146.3685708800003</v>
      </c>
      <c r="K110" s="1082">
        <f t="shared" si="48"/>
        <v>6451.5827376000016</v>
      </c>
      <c r="L110" s="1082">
        <f t="shared" si="48"/>
        <v>0</v>
      </c>
    </row>
    <row r="111" spans="1:48" s="1010" customFormat="1">
      <c r="A111" s="1092"/>
      <c r="B111" s="1078" t="s">
        <v>37</v>
      </c>
      <c r="D111" s="1082">
        <f t="shared" ref="D111:L111" si="49">D97*D113</f>
        <v>445.01793335999997</v>
      </c>
      <c r="E111" s="1082">
        <f t="shared" si="49"/>
        <v>445.01793335999997</v>
      </c>
      <c r="F111" s="1082">
        <f t="shared" si="49"/>
        <v>290.97326412000001</v>
      </c>
      <c r="G111" s="1082">
        <f t="shared" si="49"/>
        <v>758.81262996000009</v>
      </c>
      <c r="H111" s="1082">
        <f t="shared" si="49"/>
        <v>1506.2145436799999</v>
      </c>
      <c r="I111" s="1082">
        <f t="shared" si="49"/>
        <v>1095.4287590399999</v>
      </c>
      <c r="J111" s="1082">
        <f t="shared" si="49"/>
        <v>4168.7149996800008</v>
      </c>
      <c r="K111" s="1082">
        <f t="shared" si="49"/>
        <v>3870.9496425600005</v>
      </c>
      <c r="L111" s="1082">
        <f t="shared" si="49"/>
        <v>0</v>
      </c>
    </row>
    <row r="112" spans="1:48" s="1074" customFormat="1">
      <c r="A112" s="1092"/>
      <c r="B112" s="1078" t="s">
        <v>36</v>
      </c>
      <c r="D112" s="1082">
        <f t="shared" ref="D112:L112" si="50">D98*D113</f>
        <v>445.01793335999997</v>
      </c>
      <c r="E112" s="1082">
        <f t="shared" si="50"/>
        <v>519.18758892000005</v>
      </c>
      <c r="F112" s="1082">
        <f t="shared" si="50"/>
        <v>96.991088040000022</v>
      </c>
      <c r="G112" s="1082">
        <f t="shared" si="50"/>
        <v>325.20541283999995</v>
      </c>
      <c r="H112" s="1082">
        <f t="shared" si="50"/>
        <v>1757.2503009600002</v>
      </c>
      <c r="I112" s="1082">
        <f t="shared" si="50"/>
        <v>1643.1431385599999</v>
      </c>
      <c r="J112" s="1082">
        <f t="shared" si="50"/>
        <v>0</v>
      </c>
      <c r="K112" s="1082">
        <f t="shared" si="50"/>
        <v>4516.1079163200011</v>
      </c>
      <c r="L112" s="1082">
        <f t="shared" si="50"/>
        <v>0</v>
      </c>
      <c r="M112" s="1010"/>
      <c r="N112" s="1010"/>
      <c r="O112" s="1010"/>
      <c r="P112" s="1010"/>
      <c r="Q112" s="1010"/>
      <c r="R112" s="1010"/>
      <c r="S112" s="1010"/>
      <c r="T112" s="1010"/>
      <c r="U112" s="1010"/>
    </row>
    <row r="113" spans="1:21" s="1074" customFormat="1">
      <c r="A113" s="1092"/>
      <c r="B113" s="1078" t="s">
        <v>412</v>
      </c>
      <c r="D113" s="1082">
        <f t="shared" ref="D113:L113" si="51">VLOOKUP(D39,TargetedMSo,IF(D40="[retail]",8,10),FALSE)</f>
        <v>7416.9655560000001</v>
      </c>
      <c r="E113" s="1082">
        <f t="shared" si="51"/>
        <v>7416.9655560000001</v>
      </c>
      <c r="F113" s="1082">
        <f t="shared" si="51"/>
        <v>9699.1088040000013</v>
      </c>
      <c r="G113" s="1082">
        <f t="shared" si="51"/>
        <v>10840.180428</v>
      </c>
      <c r="H113" s="1082">
        <f t="shared" si="51"/>
        <v>12551.787864</v>
      </c>
      <c r="I113" s="1082">
        <f t="shared" si="51"/>
        <v>9128.5729919999994</v>
      </c>
      <c r="J113" s="1082">
        <f t="shared" si="51"/>
        <v>59553.071424000002</v>
      </c>
      <c r="K113" s="1082">
        <f t="shared" si="51"/>
        <v>64515.827376000008</v>
      </c>
      <c r="L113" s="1082">
        <f t="shared" si="51"/>
        <v>0</v>
      </c>
      <c r="M113" s="1010"/>
      <c r="N113" s="1010"/>
      <c r="O113" s="1010"/>
      <c r="P113" s="1010"/>
      <c r="Q113" s="1010"/>
      <c r="R113" s="1010"/>
      <c r="S113" s="1010"/>
      <c r="T113" s="1010"/>
      <c r="U113" s="1010"/>
    </row>
    <row r="114" spans="1:21" s="1074" customFormat="1">
      <c r="A114" s="1073"/>
      <c r="B114" s="1077" t="s">
        <v>414</v>
      </c>
      <c r="D114" s="307" t="str">
        <f t="shared" ref="D114:L114" si="52">IF(D40="[wholesale]",D113/capacity,"")</f>
        <v/>
      </c>
      <c r="E114" s="307" t="str">
        <f t="shared" si="52"/>
        <v/>
      </c>
      <c r="F114" s="307" t="str">
        <f t="shared" si="52"/>
        <v/>
      </c>
      <c r="G114" s="307" t="str">
        <f t="shared" si="52"/>
        <v/>
      </c>
      <c r="H114" s="307" t="str">
        <f t="shared" si="52"/>
        <v/>
      </c>
      <c r="I114" s="307" t="str">
        <f t="shared" si="52"/>
        <v/>
      </c>
      <c r="J114" s="307">
        <f t="shared" si="52"/>
        <v>48.026670503225809</v>
      </c>
      <c r="K114" s="307">
        <f t="shared" si="52"/>
        <v>52.028893045161297</v>
      </c>
      <c r="L114" s="307" t="str">
        <f t="shared" si="52"/>
        <v/>
      </c>
      <c r="M114" s="1010"/>
      <c r="N114" s="1010"/>
      <c r="O114" s="1010"/>
      <c r="P114" s="1010"/>
      <c r="Q114" s="1010"/>
      <c r="R114" s="1010"/>
      <c r="S114" s="1010"/>
      <c r="T114" s="1010"/>
      <c r="U114" s="1010"/>
    </row>
    <row r="115" spans="1:21" s="1010" customFormat="1">
      <c r="A115" s="1073"/>
      <c r="B115" s="1077"/>
      <c r="C115" s="1093" t="s">
        <v>101</v>
      </c>
      <c r="D115" s="1080" t="s">
        <v>1606</v>
      </c>
      <c r="E115" s="1080"/>
      <c r="F115" s="1080"/>
      <c r="G115" s="1080"/>
      <c r="H115" s="1080"/>
      <c r="I115" s="1080"/>
      <c r="J115" s="1080"/>
      <c r="K115" s="1080"/>
      <c r="L115" s="1080"/>
      <c r="O115" s="1086"/>
      <c r="P115" s="1086"/>
      <c r="R115" s="1086"/>
      <c r="S115" s="1086"/>
    </row>
    <row r="116" spans="1:21" s="1010" customFormat="1">
      <c r="A116" s="304"/>
      <c r="B116" s="1077" t="s">
        <v>47</v>
      </c>
      <c r="C116" s="308">
        <f t="shared" ref="C116:C127" si="53">SUM(D116:Z116)</f>
        <v>5</v>
      </c>
      <c r="D116" s="311">
        <f t="shared" ref="D116:L116" si="54">ProductionFY2o(1,D39,VLOOKUP(D39,ProductsRangeOper,3,FALSE),D101)</f>
        <v>0</v>
      </c>
      <c r="E116" s="311">
        <f t="shared" si="54"/>
        <v>0.30932896890343692</v>
      </c>
      <c r="F116" s="311">
        <f t="shared" si="54"/>
        <v>0</v>
      </c>
      <c r="G116" s="311">
        <f t="shared" si="54"/>
        <v>0</v>
      </c>
      <c r="H116" s="311">
        <f t="shared" si="54"/>
        <v>1</v>
      </c>
      <c r="I116" s="311">
        <f t="shared" si="54"/>
        <v>1</v>
      </c>
      <c r="J116" s="311">
        <f t="shared" si="54"/>
        <v>0</v>
      </c>
      <c r="K116" s="311">
        <f t="shared" si="54"/>
        <v>2.6906710310965627</v>
      </c>
      <c r="L116" s="311">
        <f t="shared" si="54"/>
        <v>0</v>
      </c>
      <c r="M116" s="304"/>
      <c r="O116" s="1086"/>
      <c r="P116" s="1086"/>
      <c r="R116" s="1086"/>
      <c r="S116" s="1086"/>
    </row>
    <row r="117" spans="1:21" s="1010" customFormat="1">
      <c r="A117" s="306"/>
      <c r="B117" s="1077" t="s">
        <v>46</v>
      </c>
      <c r="C117" s="308">
        <f t="shared" si="53"/>
        <v>7</v>
      </c>
      <c r="D117" s="311">
        <f t="shared" ref="D117:L117" si="55">ProductionFY2o(2,D39,VLOOKUP(D39,ProductsRangeOper,3,FALSE),D102)</f>
        <v>0.26004127639307822</v>
      </c>
      <c r="E117" s="311">
        <f t="shared" si="55"/>
        <v>0.30932896890343692</v>
      </c>
      <c r="F117" s="311">
        <f t="shared" si="55"/>
        <v>0</v>
      </c>
      <c r="G117" s="311">
        <f t="shared" si="55"/>
        <v>0</v>
      </c>
      <c r="H117" s="311">
        <f t="shared" si="55"/>
        <v>1</v>
      </c>
      <c r="I117" s="311">
        <f t="shared" si="55"/>
        <v>1</v>
      </c>
      <c r="J117" s="311">
        <f t="shared" si="55"/>
        <v>1.7399587236069218</v>
      </c>
      <c r="K117" s="311">
        <f t="shared" si="55"/>
        <v>2.6906710310965627</v>
      </c>
      <c r="L117" s="311">
        <f t="shared" si="55"/>
        <v>0</v>
      </c>
      <c r="M117" s="304"/>
      <c r="O117" s="1086"/>
      <c r="P117" s="1086"/>
      <c r="R117" s="1086"/>
      <c r="S117" s="1086"/>
    </row>
    <row r="118" spans="1:21" s="1010" customFormat="1">
      <c r="A118" s="1074"/>
      <c r="B118" s="1078" t="s">
        <v>45</v>
      </c>
      <c r="C118" s="308">
        <f t="shared" si="53"/>
        <v>9</v>
      </c>
      <c r="D118" s="311">
        <f t="shared" ref="D118:L118" si="56">ProductionFY2o(3,D39,VLOOKUP(D39,ProductsRangeOper,3,FALSE),D103)</f>
        <v>0.33225152129817442</v>
      </c>
      <c r="E118" s="311">
        <f t="shared" si="56"/>
        <v>0.30932896890343692</v>
      </c>
      <c r="F118" s="311">
        <f t="shared" si="56"/>
        <v>0</v>
      </c>
      <c r="G118" s="311">
        <f t="shared" si="56"/>
        <v>1</v>
      </c>
      <c r="H118" s="311">
        <f t="shared" si="56"/>
        <v>1</v>
      </c>
      <c r="I118" s="311">
        <f t="shared" si="56"/>
        <v>1</v>
      </c>
      <c r="J118" s="311">
        <f t="shared" si="56"/>
        <v>2.6677484787018257</v>
      </c>
      <c r="K118" s="311">
        <f t="shared" si="56"/>
        <v>2.6906710310965627</v>
      </c>
      <c r="L118" s="311">
        <f t="shared" si="56"/>
        <v>0</v>
      </c>
      <c r="M118" s="304"/>
      <c r="O118" s="1086"/>
      <c r="P118" s="1086"/>
      <c r="R118" s="1086"/>
      <c r="S118" s="1086"/>
    </row>
    <row r="119" spans="1:21" s="1010" customFormat="1">
      <c r="A119" s="1074"/>
      <c r="B119" s="1078" t="s">
        <v>44</v>
      </c>
      <c r="C119" s="308">
        <f t="shared" si="53"/>
        <v>10</v>
      </c>
      <c r="D119" s="311">
        <f t="shared" ref="D119:L119" si="57">ProductionFY2o(4,D39,VLOOKUP(D39,ProductsRangeOper,3,FALSE),D104)</f>
        <v>0.2893652102225886</v>
      </c>
      <c r="E119" s="311">
        <f t="shared" si="57"/>
        <v>0.41243862520458258</v>
      </c>
      <c r="F119" s="311">
        <f t="shared" si="57"/>
        <v>0</v>
      </c>
      <c r="G119" s="311">
        <f t="shared" si="57"/>
        <v>1</v>
      </c>
      <c r="H119" s="311">
        <f t="shared" si="57"/>
        <v>1</v>
      </c>
      <c r="I119" s="311">
        <f t="shared" si="57"/>
        <v>1</v>
      </c>
      <c r="J119" s="311">
        <f t="shared" si="57"/>
        <v>2.7106347897774117</v>
      </c>
      <c r="K119" s="311">
        <f t="shared" si="57"/>
        <v>3.5875613747954174</v>
      </c>
      <c r="L119" s="311">
        <f t="shared" si="57"/>
        <v>0</v>
      </c>
      <c r="M119" s="304"/>
      <c r="O119" s="1086"/>
      <c r="P119" s="1086"/>
      <c r="R119" s="1086"/>
      <c r="S119" s="1086"/>
    </row>
    <row r="120" spans="1:21" s="1010" customFormat="1">
      <c r="A120" s="1074"/>
      <c r="B120" s="1078" t="s">
        <v>43</v>
      </c>
      <c r="C120" s="308">
        <f t="shared" si="53"/>
        <v>11</v>
      </c>
      <c r="D120" s="311">
        <f t="shared" ref="D120:L120" si="58">ProductionFY2o(5,D39,VLOOKUP(D39,ProductsRangeOper,3,FALSE),D105)</f>
        <v>0.44300202839756592</v>
      </c>
      <c r="E120" s="311">
        <f t="shared" si="58"/>
        <v>0.41243862520458269</v>
      </c>
      <c r="F120" s="311">
        <f t="shared" si="58"/>
        <v>1</v>
      </c>
      <c r="G120" s="311">
        <f t="shared" si="58"/>
        <v>1</v>
      </c>
      <c r="H120" s="311">
        <f t="shared" si="58"/>
        <v>1</v>
      </c>
      <c r="I120" s="311">
        <f t="shared" si="58"/>
        <v>0</v>
      </c>
      <c r="J120" s="311">
        <f t="shared" si="58"/>
        <v>3.556997971602434</v>
      </c>
      <c r="K120" s="311">
        <f t="shared" si="58"/>
        <v>3.5875613747954174</v>
      </c>
      <c r="L120" s="311">
        <f t="shared" si="58"/>
        <v>0</v>
      </c>
      <c r="M120" s="304"/>
      <c r="O120" s="1086"/>
      <c r="P120" s="1086"/>
      <c r="R120" s="1086"/>
      <c r="S120" s="1086"/>
    </row>
    <row r="121" spans="1:21" s="1010" customFormat="1">
      <c r="B121" s="1078" t="s">
        <v>42</v>
      </c>
      <c r="C121" s="308">
        <f t="shared" si="53"/>
        <v>13</v>
      </c>
      <c r="D121" s="311">
        <f t="shared" ref="D121:L121" si="59">ProductionFY2o(6,D39,VLOOKUP(D39,ProductsRangeOper,3,FALSE),D106)</f>
        <v>0.7120500782472613</v>
      </c>
      <c r="E121" s="311">
        <f t="shared" si="59"/>
        <v>0.61865793780687395</v>
      </c>
      <c r="F121" s="311">
        <f t="shared" si="59"/>
        <v>1</v>
      </c>
      <c r="G121" s="311">
        <f t="shared" si="59"/>
        <v>1</v>
      </c>
      <c r="H121" s="311">
        <f t="shared" si="59"/>
        <v>0</v>
      </c>
      <c r="I121" s="311">
        <f t="shared" si="59"/>
        <v>0</v>
      </c>
      <c r="J121" s="311">
        <f t="shared" si="59"/>
        <v>4.2879499217527384</v>
      </c>
      <c r="K121" s="311">
        <f t="shared" si="59"/>
        <v>5.3813420621931263</v>
      </c>
      <c r="L121" s="311">
        <f t="shared" si="59"/>
        <v>0</v>
      </c>
      <c r="M121" s="304"/>
      <c r="O121" s="1086"/>
      <c r="P121" s="1086"/>
      <c r="R121" s="1086"/>
      <c r="S121" s="1086"/>
    </row>
    <row r="122" spans="1:21" s="1010" customFormat="1">
      <c r="B122" s="1078" t="s">
        <v>41</v>
      </c>
      <c r="C122" s="308">
        <f t="shared" si="53"/>
        <v>18</v>
      </c>
      <c r="D122" s="311">
        <f t="shared" ref="D122:L122" si="60">ProductionFY2o(7,D39,VLOOKUP(D39,ProductsRangeOper,3,FALSE),D107)</f>
        <v>0.68997472620050537</v>
      </c>
      <c r="E122" s="311">
        <f t="shared" si="60"/>
        <v>0.61865793780687395</v>
      </c>
      <c r="F122" s="311">
        <f t="shared" si="60"/>
        <v>2</v>
      </c>
      <c r="G122" s="311">
        <f t="shared" si="60"/>
        <v>1</v>
      </c>
      <c r="H122" s="311">
        <f t="shared" si="60"/>
        <v>0</v>
      </c>
      <c r="I122" s="311">
        <f t="shared" si="60"/>
        <v>0</v>
      </c>
      <c r="J122" s="311">
        <f t="shared" si="60"/>
        <v>8.3100252737994946</v>
      </c>
      <c r="K122" s="311">
        <f t="shared" si="60"/>
        <v>5.3813420621931263</v>
      </c>
      <c r="L122" s="311">
        <f t="shared" si="60"/>
        <v>0</v>
      </c>
      <c r="M122" s="304"/>
      <c r="O122" s="1086"/>
      <c r="P122" s="1086"/>
      <c r="R122" s="1086"/>
      <c r="S122" s="1086"/>
    </row>
    <row r="123" spans="1:21" s="1010" customFormat="1">
      <c r="B123" s="1078" t="s">
        <v>40</v>
      </c>
      <c r="C123" s="308">
        <f t="shared" si="53"/>
        <v>18</v>
      </c>
      <c r="D123" s="311">
        <f t="shared" ref="D123:L123" si="61">ProductionFY2o(8,D39,VLOOKUP(D39,ProductsRangeOper,3,FALSE),D108)</f>
        <v>0.68342547199332415</v>
      </c>
      <c r="E123" s="311">
        <f t="shared" si="61"/>
        <v>0.61865793780687395</v>
      </c>
      <c r="F123" s="311">
        <f t="shared" si="61"/>
        <v>2</v>
      </c>
      <c r="G123" s="311">
        <f t="shared" si="61"/>
        <v>1</v>
      </c>
      <c r="H123" s="311">
        <f t="shared" si="61"/>
        <v>1</v>
      </c>
      <c r="I123" s="311">
        <f t="shared" si="61"/>
        <v>0</v>
      </c>
      <c r="J123" s="311">
        <f t="shared" si="61"/>
        <v>7.3165745280066758</v>
      </c>
      <c r="K123" s="311">
        <f t="shared" si="61"/>
        <v>5.3813420621931263</v>
      </c>
      <c r="L123" s="311">
        <f t="shared" si="61"/>
        <v>0</v>
      </c>
      <c r="M123" s="304"/>
      <c r="O123" s="1086"/>
      <c r="P123" s="1086"/>
      <c r="R123" s="1086"/>
      <c r="S123" s="1086"/>
    </row>
    <row r="124" spans="1:21" s="1010" customFormat="1">
      <c r="B124" s="1078" t="s">
        <v>39</v>
      </c>
      <c r="C124" s="308">
        <f t="shared" si="53"/>
        <v>15</v>
      </c>
      <c r="D124" s="311">
        <f t="shared" ref="D124:L124" si="62">ProductionFY2o(9,D39,VLOOKUP(D39,ProductsRangeOper,3,FALSE),D109)</f>
        <v>0.56416615003099813</v>
      </c>
      <c r="E124" s="311">
        <f t="shared" si="62"/>
        <v>0.61865793780687395</v>
      </c>
      <c r="F124" s="311">
        <f t="shared" si="62"/>
        <v>1</v>
      </c>
      <c r="G124" s="311">
        <f t="shared" si="62"/>
        <v>1</v>
      </c>
      <c r="H124" s="311">
        <f t="shared" si="62"/>
        <v>1</v>
      </c>
      <c r="I124" s="311">
        <f t="shared" si="62"/>
        <v>0</v>
      </c>
      <c r="J124" s="311">
        <f t="shared" si="62"/>
        <v>5.4358338499690024</v>
      </c>
      <c r="K124" s="311">
        <f t="shared" si="62"/>
        <v>5.3813420621931263</v>
      </c>
      <c r="L124" s="311">
        <f t="shared" si="62"/>
        <v>0</v>
      </c>
      <c r="M124" s="304"/>
      <c r="O124" s="1086"/>
      <c r="P124" s="1086"/>
      <c r="R124" s="1086"/>
      <c r="S124" s="1086"/>
    </row>
    <row r="125" spans="1:21" s="1010" customFormat="1">
      <c r="B125" s="1078" t="s">
        <v>38</v>
      </c>
      <c r="C125" s="308">
        <f t="shared" si="53"/>
        <v>16</v>
      </c>
      <c r="D125" s="311">
        <f t="shared" ref="D125:L125" si="63">ProductionFY2o(10,D39,VLOOKUP(D39,ProductsRangeOper,3,FALSE),D110)</f>
        <v>0.56416615003099813</v>
      </c>
      <c r="E125" s="311">
        <f t="shared" si="63"/>
        <v>0.61865793780687384</v>
      </c>
      <c r="F125" s="311">
        <f t="shared" si="63"/>
        <v>1</v>
      </c>
      <c r="G125" s="311">
        <f t="shared" si="63"/>
        <v>1</v>
      </c>
      <c r="H125" s="311">
        <f t="shared" si="63"/>
        <v>1</v>
      </c>
      <c r="I125" s="311">
        <f t="shared" si="63"/>
        <v>1</v>
      </c>
      <c r="J125" s="311">
        <f t="shared" si="63"/>
        <v>5.4358338499690024</v>
      </c>
      <c r="K125" s="311">
        <f t="shared" si="63"/>
        <v>5.3813420621931263</v>
      </c>
      <c r="L125" s="311">
        <f t="shared" si="63"/>
        <v>0</v>
      </c>
      <c r="M125" s="304"/>
      <c r="O125" s="1086"/>
      <c r="P125" s="1086"/>
      <c r="R125" s="1086"/>
      <c r="S125" s="1086"/>
    </row>
    <row r="126" spans="1:21" s="1010" customFormat="1">
      <c r="B126" s="1078" t="s">
        <v>37</v>
      </c>
      <c r="C126" s="308">
        <f t="shared" si="53"/>
        <v>9</v>
      </c>
      <c r="D126" s="311">
        <f t="shared" ref="D126:L126" si="64">ProductionFY2o(11,D39,VLOOKUP(D39,ProductsRangeOper,3,FALSE),D111)</f>
        <v>0.2893652102225886</v>
      </c>
      <c r="E126" s="311">
        <f t="shared" si="64"/>
        <v>0.30932896890343692</v>
      </c>
      <c r="F126" s="311">
        <f t="shared" si="64"/>
        <v>0</v>
      </c>
      <c r="G126" s="311">
        <f t="shared" si="64"/>
        <v>1</v>
      </c>
      <c r="H126" s="311">
        <f t="shared" si="64"/>
        <v>1</v>
      </c>
      <c r="I126" s="311">
        <f t="shared" si="64"/>
        <v>1</v>
      </c>
      <c r="J126" s="311">
        <f t="shared" si="64"/>
        <v>2.7106347897774117</v>
      </c>
      <c r="K126" s="311">
        <f t="shared" si="64"/>
        <v>2.6906710310965627</v>
      </c>
      <c r="L126" s="311">
        <f t="shared" si="64"/>
        <v>0</v>
      </c>
      <c r="M126" s="304"/>
      <c r="O126" s="1086"/>
      <c r="P126" s="1086"/>
      <c r="R126" s="1086"/>
      <c r="S126" s="1086"/>
    </row>
    <row r="127" spans="1:21" s="1010" customFormat="1">
      <c r="B127" s="1078" t="s">
        <v>36</v>
      </c>
      <c r="C127" s="308">
        <f t="shared" si="53"/>
        <v>6</v>
      </c>
      <c r="D127" s="311">
        <f t="shared" ref="D127:L127" si="65">ProductionFY2o(12,D39,VLOOKUP(D39,ProductsRangeOper,3,FALSE),D112)</f>
        <v>0</v>
      </c>
      <c r="E127" s="311">
        <f t="shared" si="65"/>
        <v>0.41243862520458258</v>
      </c>
      <c r="F127" s="311">
        <f t="shared" si="65"/>
        <v>0</v>
      </c>
      <c r="G127" s="311">
        <f t="shared" si="65"/>
        <v>0</v>
      </c>
      <c r="H127" s="311">
        <f t="shared" si="65"/>
        <v>1</v>
      </c>
      <c r="I127" s="311">
        <f t="shared" si="65"/>
        <v>1</v>
      </c>
      <c r="J127" s="311">
        <f t="shared" si="65"/>
        <v>0</v>
      </c>
      <c r="K127" s="311">
        <f t="shared" si="65"/>
        <v>3.5875613747954174</v>
      </c>
      <c r="L127" s="311">
        <f t="shared" si="65"/>
        <v>0</v>
      </c>
      <c r="M127" s="304"/>
      <c r="O127" s="1086"/>
      <c r="P127" s="1086"/>
      <c r="R127" s="1086"/>
      <c r="S127" s="1086"/>
    </row>
    <row r="128" spans="1:21" s="1074" customFormat="1">
      <c r="A128" s="1087" t="s">
        <v>416</v>
      </c>
      <c r="C128" s="1077" t="s">
        <v>85</v>
      </c>
      <c r="D128" s="1088">
        <f t="shared" ref="D128:I128" si="66">SUM(D101:D112)</f>
        <v>7416.9655559999992</v>
      </c>
      <c r="E128" s="1089">
        <f t="shared" si="66"/>
        <v>7416.9655560000001</v>
      </c>
      <c r="F128" s="1089">
        <f t="shared" si="66"/>
        <v>9699.1088040000031</v>
      </c>
      <c r="G128" s="1089">
        <f t="shared" si="66"/>
        <v>10840.180428</v>
      </c>
      <c r="H128" s="1089">
        <f t="shared" si="66"/>
        <v>12551.787864</v>
      </c>
      <c r="I128" s="1089">
        <f t="shared" si="66"/>
        <v>9128.5729920000012</v>
      </c>
      <c r="J128" s="310">
        <f>J113</f>
        <v>59553.071424000002</v>
      </c>
      <c r="K128" s="310">
        <f>K113</f>
        <v>64515.827376000008</v>
      </c>
      <c r="L128" s="310">
        <f>L113</f>
        <v>0</v>
      </c>
      <c r="M128" s="1010"/>
      <c r="N128" s="1010"/>
      <c r="O128" s="1086"/>
      <c r="P128" s="1086"/>
      <c r="Q128" s="1010"/>
      <c r="R128" s="1086"/>
      <c r="S128" s="1086"/>
    </row>
    <row r="129" spans="1:48" s="1074" customFormat="1">
      <c r="A129" s="1087" t="s">
        <v>417</v>
      </c>
      <c r="C129" s="1077" t="s">
        <v>85</v>
      </c>
      <c r="D129" s="1088">
        <f t="shared" ref="D129:L129" si="67">SUM(D116:D127)*capacity</f>
        <v>5986.4817005659825</v>
      </c>
      <c r="E129" s="1088">
        <f t="shared" si="67"/>
        <v>6904.2225859247119</v>
      </c>
      <c r="F129" s="1088">
        <f t="shared" si="67"/>
        <v>9920</v>
      </c>
      <c r="G129" s="1088">
        <f t="shared" si="67"/>
        <v>11160</v>
      </c>
      <c r="H129" s="1088">
        <f t="shared" si="67"/>
        <v>12400</v>
      </c>
      <c r="I129" s="1088">
        <f t="shared" si="67"/>
        <v>8680</v>
      </c>
      <c r="J129" s="1088">
        <f t="shared" si="67"/>
        <v>54773.518299434007</v>
      </c>
      <c r="K129" s="1088">
        <f t="shared" si="67"/>
        <v>60055.777414075288</v>
      </c>
      <c r="L129" s="1088">
        <f t="shared" si="67"/>
        <v>0</v>
      </c>
      <c r="M129" s="1010"/>
      <c r="N129" s="1010"/>
      <c r="O129" s="1086"/>
      <c r="P129" s="1086"/>
      <c r="Q129" s="1010"/>
      <c r="R129" s="1086"/>
      <c r="S129" s="1086"/>
    </row>
    <row r="130" spans="1:48" s="1074" customFormat="1">
      <c r="A130" s="1087" t="s">
        <v>418</v>
      </c>
      <c r="C130" s="1077" t="s">
        <v>85</v>
      </c>
      <c r="D130" s="1088">
        <f t="shared" ref="D130:L130" si="68">D128-D129</f>
        <v>1430.4838554340167</v>
      </c>
      <c r="E130" s="1089">
        <f t="shared" si="68"/>
        <v>512.74297007528821</v>
      </c>
      <c r="F130" s="1089">
        <f t="shared" si="68"/>
        <v>-220.89119599999685</v>
      </c>
      <c r="G130" s="1089">
        <f t="shared" si="68"/>
        <v>-319.81957200000033</v>
      </c>
      <c r="H130" s="1089">
        <f t="shared" si="68"/>
        <v>151.7878639999999</v>
      </c>
      <c r="I130" s="1089">
        <f t="shared" si="68"/>
        <v>448.57299200000125</v>
      </c>
      <c r="J130" s="1089">
        <f t="shared" si="68"/>
        <v>4779.5531245659949</v>
      </c>
      <c r="K130" s="1089">
        <f t="shared" si="68"/>
        <v>4460.0499619247203</v>
      </c>
      <c r="L130" s="1089">
        <f t="shared" si="68"/>
        <v>0</v>
      </c>
      <c r="M130" s="1010"/>
      <c r="N130" s="1010"/>
      <c r="O130" s="1086"/>
      <c r="P130" s="1086"/>
      <c r="Q130" s="1010"/>
      <c r="R130" s="1086"/>
      <c r="S130" s="1086"/>
    </row>
    <row r="131" spans="1:48" s="1074" customFormat="1">
      <c r="A131" s="1073"/>
      <c r="B131" s="1075" t="s">
        <v>33</v>
      </c>
      <c r="C131" s="1075"/>
      <c r="D131" s="1076" t="s">
        <v>1607</v>
      </c>
      <c r="E131" s="1076"/>
      <c r="F131" s="1076"/>
      <c r="G131" s="1076"/>
      <c r="H131" s="1076"/>
      <c r="I131" s="1076"/>
      <c r="J131" s="1076"/>
      <c r="K131" s="1076"/>
      <c r="L131" s="1076"/>
      <c r="M131" s="1010"/>
      <c r="N131" s="1010"/>
      <c r="O131" s="1010"/>
      <c r="P131" s="1010"/>
      <c r="Q131" s="1010"/>
      <c r="R131" s="1010"/>
      <c r="S131" s="1010"/>
      <c r="T131" s="1010"/>
      <c r="U131" s="1010"/>
      <c r="V131" s="1010"/>
      <c r="W131" s="1010"/>
      <c r="X131" s="1010"/>
      <c r="Y131" s="1010"/>
      <c r="Z131" s="1010"/>
      <c r="AA131" s="1010"/>
      <c r="AB131" s="1010"/>
      <c r="AC131" s="1010"/>
      <c r="AD131" s="1010"/>
      <c r="AE131" s="1010"/>
      <c r="AF131" s="1010"/>
      <c r="AG131" s="1010"/>
      <c r="AH131" s="1010"/>
      <c r="AI131" s="1010"/>
      <c r="AJ131" s="1010"/>
      <c r="AK131" s="1010"/>
      <c r="AL131" s="1010"/>
      <c r="AM131" s="1010"/>
      <c r="AN131" s="1010"/>
      <c r="AO131" s="1010"/>
      <c r="AP131" s="1010"/>
      <c r="AQ131" s="1010"/>
      <c r="AR131" s="1010"/>
      <c r="AS131" s="1010"/>
      <c r="AT131" s="1010"/>
      <c r="AU131" s="1010"/>
      <c r="AV131" s="1010"/>
    </row>
    <row r="132" spans="1:48" s="1074" customFormat="1">
      <c r="A132" s="304"/>
      <c r="B132" s="1077" t="s">
        <v>47</v>
      </c>
      <c r="C132" s="1123"/>
      <c r="D132" s="188">
        <v>0.06</v>
      </c>
      <c r="E132" s="188">
        <v>0.06</v>
      </c>
      <c r="F132" s="188">
        <v>0.05</v>
      </c>
      <c r="G132" s="188">
        <v>0.05</v>
      </c>
      <c r="H132" s="188">
        <v>0.12</v>
      </c>
      <c r="I132" s="188">
        <v>0.18</v>
      </c>
      <c r="J132" s="188">
        <v>0.05</v>
      </c>
      <c r="K132" s="188">
        <v>0.05</v>
      </c>
      <c r="L132" s="1124"/>
      <c r="M132" s="1010"/>
      <c r="N132" s="1010"/>
      <c r="O132" s="1010"/>
      <c r="P132" s="1010"/>
      <c r="Q132" s="1010"/>
      <c r="R132" s="1010"/>
      <c r="S132" s="1010"/>
      <c r="T132" s="1010"/>
      <c r="U132" s="1010"/>
      <c r="V132" s="1010"/>
      <c r="W132" s="1010"/>
      <c r="X132" s="1010"/>
      <c r="Y132" s="1010"/>
      <c r="Z132" s="1010"/>
      <c r="AA132" s="1010"/>
      <c r="AB132" s="1010"/>
      <c r="AC132" s="1010"/>
      <c r="AD132" s="1010"/>
      <c r="AE132" s="1010"/>
      <c r="AF132" s="1010"/>
      <c r="AG132" s="1010"/>
      <c r="AH132" s="1010"/>
      <c r="AI132" s="1010"/>
      <c r="AJ132" s="1010"/>
      <c r="AK132" s="1010"/>
      <c r="AL132" s="1010"/>
      <c r="AM132" s="1010"/>
      <c r="AN132" s="1010"/>
      <c r="AO132" s="1010"/>
      <c r="AP132" s="1010"/>
      <c r="AQ132" s="1010"/>
      <c r="AR132" s="1010"/>
      <c r="AS132" s="1010"/>
      <c r="AT132" s="1010"/>
      <c r="AU132" s="1010"/>
      <c r="AV132" s="1010"/>
    </row>
    <row r="133" spans="1:48" s="1074" customFormat="1">
      <c r="A133" s="306"/>
      <c r="B133" s="1077" t="s">
        <v>46</v>
      </c>
      <c r="C133" s="1123"/>
      <c r="D133" s="188">
        <v>0.06</v>
      </c>
      <c r="E133" s="188">
        <v>0.06</v>
      </c>
      <c r="F133" s="188">
        <v>0.05</v>
      </c>
      <c r="G133" s="188">
        <v>0.05</v>
      </c>
      <c r="H133" s="188">
        <v>7.0000000000000007E-2</v>
      </c>
      <c r="I133" s="188">
        <v>0.14000000000000001</v>
      </c>
      <c r="J133" s="188">
        <v>0.05</v>
      </c>
      <c r="K133" s="188">
        <v>0.05</v>
      </c>
      <c r="L133" s="1124"/>
      <c r="M133" s="1010"/>
      <c r="N133" s="1010"/>
      <c r="O133" s="1010"/>
      <c r="P133" s="1010"/>
      <c r="Q133" s="1010"/>
      <c r="R133" s="1010"/>
      <c r="S133" s="1010"/>
      <c r="T133" s="1010"/>
      <c r="U133" s="1010"/>
      <c r="V133" s="1010"/>
      <c r="W133" s="1010"/>
      <c r="X133" s="1010"/>
      <c r="Y133" s="1010"/>
      <c r="Z133" s="1010"/>
      <c r="AA133" s="1010"/>
      <c r="AB133" s="1010"/>
      <c r="AC133" s="1010"/>
      <c r="AD133" s="1010"/>
      <c r="AE133" s="1010"/>
      <c r="AF133" s="1010"/>
      <c r="AG133" s="1010"/>
      <c r="AH133" s="1010"/>
      <c r="AI133" s="1010"/>
      <c r="AJ133" s="1010"/>
      <c r="AK133" s="1010"/>
      <c r="AL133" s="1010"/>
      <c r="AM133" s="1010"/>
      <c r="AN133" s="1010"/>
      <c r="AO133" s="1010"/>
      <c r="AP133" s="1010"/>
      <c r="AQ133" s="1010"/>
      <c r="AR133" s="1010"/>
      <c r="AS133" s="1010"/>
      <c r="AT133" s="1010"/>
      <c r="AU133" s="1010"/>
      <c r="AV133" s="1010"/>
    </row>
    <row r="134" spans="1:48" s="1074" customFormat="1">
      <c r="B134" s="1078" t="s">
        <v>45</v>
      </c>
      <c r="C134" s="1123"/>
      <c r="D134" s="188">
        <v>0.06</v>
      </c>
      <c r="E134" s="188">
        <v>0.06</v>
      </c>
      <c r="F134" s="188">
        <v>0.06</v>
      </c>
      <c r="G134" s="188">
        <v>0.06</v>
      </c>
      <c r="H134" s="188">
        <v>7.0000000000000007E-2</v>
      </c>
      <c r="I134" s="188">
        <v>0.09</v>
      </c>
      <c r="J134" s="188">
        <v>0.06</v>
      </c>
      <c r="K134" s="188">
        <v>0.06</v>
      </c>
      <c r="L134" s="1124"/>
      <c r="M134" s="1010"/>
      <c r="N134" s="1010"/>
      <c r="O134" s="1010"/>
      <c r="P134" s="1010"/>
      <c r="Q134" s="1010"/>
      <c r="R134" s="1010"/>
      <c r="S134" s="1010"/>
      <c r="T134" s="1010"/>
      <c r="U134" s="1010"/>
      <c r="V134" s="1010"/>
      <c r="W134" s="1010"/>
      <c r="X134" s="1010"/>
      <c r="Y134" s="1010"/>
      <c r="Z134" s="1010"/>
      <c r="AA134" s="1010"/>
      <c r="AB134" s="1010"/>
      <c r="AC134" s="1010"/>
      <c r="AD134" s="1010"/>
      <c r="AE134" s="1010"/>
      <c r="AF134" s="1010"/>
      <c r="AG134" s="1010"/>
      <c r="AH134" s="1010"/>
      <c r="AI134" s="1010"/>
      <c r="AJ134" s="1010"/>
      <c r="AK134" s="1010"/>
      <c r="AL134" s="1010"/>
      <c r="AM134" s="1010"/>
      <c r="AN134" s="1010"/>
      <c r="AO134" s="1010"/>
      <c r="AP134" s="1010"/>
      <c r="AQ134" s="1010"/>
      <c r="AR134" s="1010"/>
      <c r="AS134" s="1010"/>
      <c r="AT134" s="1010"/>
      <c r="AU134" s="1010"/>
      <c r="AV134" s="1010"/>
    </row>
    <row r="135" spans="1:48" s="1074" customFormat="1">
      <c r="B135" s="1078" t="s">
        <v>44</v>
      </c>
      <c r="C135" s="1123"/>
      <c r="D135" s="188">
        <v>0.06</v>
      </c>
      <c r="E135" s="188">
        <v>7.0000000000000007E-2</v>
      </c>
      <c r="F135" s="188">
        <v>7.0000000000000007E-2</v>
      </c>
      <c r="G135" s="188">
        <v>7.0000000000000007E-2</v>
      </c>
      <c r="H135" s="188">
        <v>7.0000000000000007E-2</v>
      </c>
      <c r="I135" s="188">
        <v>7.0000000000000007E-2</v>
      </c>
      <c r="J135" s="188">
        <v>7.0000000000000007E-2</v>
      </c>
      <c r="K135" s="188">
        <v>7.0000000000000007E-2</v>
      </c>
      <c r="L135" s="1124"/>
      <c r="M135" s="1010"/>
      <c r="N135" s="1010"/>
      <c r="O135" s="1010"/>
      <c r="P135" s="1010"/>
      <c r="Q135" s="1010"/>
      <c r="R135" s="1010"/>
      <c r="S135" s="1010"/>
      <c r="T135" s="1010"/>
      <c r="U135" s="1010"/>
      <c r="V135" s="1010"/>
      <c r="W135" s="1010"/>
      <c r="X135" s="1010"/>
      <c r="Y135" s="1010"/>
      <c r="Z135" s="1010"/>
      <c r="AA135" s="1010"/>
      <c r="AB135" s="1010"/>
      <c r="AC135" s="1010"/>
      <c r="AD135" s="1010"/>
      <c r="AE135" s="1010"/>
      <c r="AF135" s="1010"/>
      <c r="AG135" s="1010"/>
      <c r="AH135" s="1010"/>
      <c r="AI135" s="1010"/>
      <c r="AJ135" s="1010"/>
      <c r="AK135" s="1010"/>
      <c r="AL135" s="1010"/>
      <c r="AM135" s="1010"/>
      <c r="AN135" s="1010"/>
      <c r="AO135" s="1010"/>
      <c r="AP135" s="1010"/>
      <c r="AQ135" s="1010"/>
      <c r="AR135" s="1010"/>
      <c r="AS135" s="1010"/>
      <c r="AT135" s="1010"/>
      <c r="AU135" s="1010"/>
      <c r="AV135" s="1010"/>
    </row>
    <row r="136" spans="1:48" s="1074" customFormat="1">
      <c r="B136" s="1078" t="s">
        <v>43</v>
      </c>
      <c r="C136" s="1123"/>
      <c r="D136" s="188">
        <v>0.08</v>
      </c>
      <c r="E136" s="188">
        <v>0.08</v>
      </c>
      <c r="F136" s="188">
        <v>0.08</v>
      </c>
      <c r="G136" s="188">
        <v>0.08</v>
      </c>
      <c r="H136" s="188">
        <v>0.06</v>
      </c>
      <c r="I136" s="188">
        <v>0.03</v>
      </c>
      <c r="J136" s="188">
        <v>0.08</v>
      </c>
      <c r="K136" s="188">
        <v>0.08</v>
      </c>
      <c r="L136" s="1124"/>
      <c r="M136" s="1010"/>
      <c r="N136" s="1010"/>
      <c r="O136" s="1010"/>
      <c r="P136" s="1010"/>
      <c r="Q136" s="1010"/>
      <c r="R136" s="1010"/>
      <c r="S136" s="1010"/>
      <c r="T136" s="1010"/>
      <c r="U136" s="1010"/>
      <c r="V136" s="1010"/>
      <c r="W136" s="1010"/>
      <c r="X136" s="1010"/>
      <c r="Y136" s="1010"/>
      <c r="Z136" s="1010"/>
      <c r="AA136" s="1010"/>
      <c r="AB136" s="1010"/>
      <c r="AC136" s="1010"/>
      <c r="AD136" s="1010"/>
      <c r="AE136" s="1010"/>
      <c r="AF136" s="1010"/>
      <c r="AG136" s="1010"/>
      <c r="AH136" s="1010"/>
      <c r="AI136" s="1010"/>
      <c r="AJ136" s="1010"/>
      <c r="AK136" s="1010"/>
      <c r="AL136" s="1010"/>
      <c r="AM136" s="1010"/>
      <c r="AN136" s="1010"/>
      <c r="AO136" s="1010"/>
      <c r="AP136" s="1010"/>
      <c r="AQ136" s="1010"/>
      <c r="AR136" s="1010"/>
      <c r="AS136" s="1010"/>
      <c r="AT136" s="1010"/>
      <c r="AU136" s="1010"/>
      <c r="AV136" s="1010"/>
    </row>
    <row r="137" spans="1:48" s="1074" customFormat="1">
      <c r="A137" s="1010"/>
      <c r="B137" s="1078" t="s">
        <v>42</v>
      </c>
      <c r="C137" s="1123"/>
      <c r="D137" s="188">
        <v>0.12</v>
      </c>
      <c r="E137" s="188">
        <v>0.11</v>
      </c>
      <c r="F137" s="188">
        <v>0.08</v>
      </c>
      <c r="G137" s="188">
        <v>0.1</v>
      </c>
      <c r="H137" s="188">
        <v>0.05</v>
      </c>
      <c r="I137" s="188">
        <v>0</v>
      </c>
      <c r="J137" s="188">
        <v>0.12</v>
      </c>
      <c r="K137" s="188">
        <v>0.1</v>
      </c>
      <c r="L137" s="1124"/>
      <c r="M137" s="1010"/>
      <c r="N137" s="1010"/>
      <c r="O137" s="1010"/>
      <c r="P137" s="1010"/>
      <c r="Q137" s="1010"/>
      <c r="R137" s="1010"/>
      <c r="S137" s="1010"/>
      <c r="T137" s="1010"/>
      <c r="U137" s="1010"/>
      <c r="V137" s="1010"/>
      <c r="W137" s="1010"/>
      <c r="X137" s="1010"/>
      <c r="Y137" s="1010"/>
      <c r="Z137" s="1010"/>
      <c r="AA137" s="1010"/>
      <c r="AB137" s="1010"/>
      <c r="AC137" s="1010"/>
      <c r="AD137" s="1010"/>
      <c r="AE137" s="1010"/>
      <c r="AF137" s="1010"/>
      <c r="AG137" s="1010"/>
      <c r="AH137" s="1010"/>
      <c r="AI137" s="1010"/>
      <c r="AJ137" s="1010"/>
      <c r="AK137" s="1010"/>
      <c r="AL137" s="1010"/>
      <c r="AM137" s="1010"/>
      <c r="AN137" s="1010"/>
      <c r="AO137" s="1010"/>
      <c r="AP137" s="1010"/>
      <c r="AQ137" s="1010"/>
      <c r="AR137" s="1010"/>
      <c r="AS137" s="1010"/>
      <c r="AT137" s="1010"/>
      <c r="AU137" s="1010"/>
      <c r="AV137" s="1010"/>
    </row>
    <row r="138" spans="1:48" s="1074" customFormat="1">
      <c r="A138" s="1010"/>
      <c r="B138" s="1078" t="s">
        <v>41</v>
      </c>
      <c r="C138" s="1123"/>
      <c r="D138" s="188">
        <v>0.12</v>
      </c>
      <c r="E138" s="188">
        <v>0.12</v>
      </c>
      <c r="F138" s="188">
        <v>0.12</v>
      </c>
      <c r="G138" s="188">
        <v>0.1</v>
      </c>
      <c r="H138" s="188">
        <v>0.06</v>
      </c>
      <c r="I138" s="188">
        <v>0</v>
      </c>
      <c r="J138" s="188">
        <v>0.12</v>
      </c>
      <c r="K138" s="188">
        <v>0.11</v>
      </c>
      <c r="L138" s="1124"/>
      <c r="M138" s="1010"/>
      <c r="N138" s="1010"/>
      <c r="O138" s="1010"/>
      <c r="P138" s="1010"/>
      <c r="Q138" s="1010"/>
      <c r="R138" s="1010"/>
      <c r="S138" s="1010"/>
      <c r="T138" s="1010"/>
      <c r="U138" s="1010"/>
      <c r="V138" s="1010"/>
      <c r="W138" s="1010"/>
      <c r="X138" s="1010"/>
      <c r="Y138" s="1010"/>
      <c r="Z138" s="1010"/>
      <c r="AA138" s="1010"/>
      <c r="AB138" s="1010"/>
      <c r="AC138" s="1010"/>
      <c r="AD138" s="1010"/>
      <c r="AE138" s="1010"/>
      <c r="AF138" s="1010"/>
      <c r="AG138" s="1010"/>
      <c r="AH138" s="1010"/>
      <c r="AI138" s="1010"/>
      <c r="AJ138" s="1010"/>
      <c r="AK138" s="1010"/>
      <c r="AL138" s="1010"/>
      <c r="AM138" s="1010"/>
      <c r="AN138" s="1010"/>
      <c r="AO138" s="1010"/>
      <c r="AP138" s="1010"/>
      <c r="AQ138" s="1010"/>
      <c r="AR138" s="1010"/>
      <c r="AS138" s="1010"/>
      <c r="AT138" s="1010"/>
      <c r="AU138" s="1010"/>
      <c r="AV138" s="1010"/>
    </row>
    <row r="139" spans="1:48" s="1074" customFormat="1">
      <c r="A139" s="1010"/>
      <c r="B139" s="1078" t="s">
        <v>40</v>
      </c>
      <c r="C139" s="1123"/>
      <c r="D139" s="188">
        <v>0.12</v>
      </c>
      <c r="E139" s="188">
        <v>0.11</v>
      </c>
      <c r="F139" s="188">
        <v>0.12</v>
      </c>
      <c r="G139" s="188">
        <v>0.12</v>
      </c>
      <c r="H139" s="188">
        <v>7.0000000000000007E-2</v>
      </c>
      <c r="I139" s="188">
        <v>0</v>
      </c>
      <c r="J139" s="188">
        <v>0.12</v>
      </c>
      <c r="K139" s="188">
        <v>0.12</v>
      </c>
      <c r="L139" s="1124"/>
      <c r="M139" s="1010"/>
      <c r="N139" s="1010"/>
      <c r="O139" s="1010"/>
      <c r="P139" s="1010"/>
      <c r="Q139" s="1010"/>
      <c r="R139" s="1010"/>
      <c r="S139" s="1010"/>
      <c r="T139" s="1010"/>
      <c r="U139" s="1010"/>
      <c r="V139" s="1010"/>
      <c r="W139" s="1010"/>
      <c r="X139" s="1010"/>
      <c r="Y139" s="1010"/>
      <c r="Z139" s="1010"/>
      <c r="AA139" s="1010"/>
      <c r="AB139" s="1010"/>
      <c r="AC139" s="1010"/>
      <c r="AD139" s="1010"/>
      <c r="AE139" s="1010"/>
      <c r="AF139" s="1010"/>
      <c r="AG139" s="1010"/>
      <c r="AH139" s="1010"/>
      <c r="AI139" s="1010"/>
      <c r="AJ139" s="1010"/>
      <c r="AK139" s="1010"/>
      <c r="AL139" s="1010"/>
      <c r="AM139" s="1010"/>
      <c r="AN139" s="1010"/>
      <c r="AO139" s="1010"/>
      <c r="AP139" s="1010"/>
      <c r="AQ139" s="1010"/>
      <c r="AR139" s="1010"/>
      <c r="AS139" s="1010"/>
      <c r="AT139" s="1010"/>
      <c r="AU139" s="1010"/>
      <c r="AV139" s="1010"/>
    </row>
    <row r="140" spans="1:48" s="1074" customFormat="1">
      <c r="A140" s="1010"/>
      <c r="B140" s="1078" t="s">
        <v>39</v>
      </c>
      <c r="C140" s="1123"/>
      <c r="D140" s="188">
        <v>0.1</v>
      </c>
      <c r="E140" s="188">
        <v>0.1</v>
      </c>
      <c r="F140" s="188">
        <v>0.12</v>
      </c>
      <c r="G140" s="188">
        <v>0.12</v>
      </c>
      <c r="H140" s="188">
        <v>0.08</v>
      </c>
      <c r="I140" s="188">
        <v>0.06</v>
      </c>
      <c r="J140" s="188">
        <v>0.1</v>
      </c>
      <c r="K140" s="188">
        <v>0.12</v>
      </c>
      <c r="L140" s="1124"/>
      <c r="M140" s="1010"/>
      <c r="N140" s="1010"/>
      <c r="O140" s="1010"/>
      <c r="P140" s="1010"/>
      <c r="Q140" s="1010"/>
      <c r="R140" s="1010"/>
      <c r="S140" s="1010"/>
      <c r="T140" s="1010"/>
      <c r="U140" s="1010"/>
      <c r="V140" s="1010"/>
      <c r="W140" s="1010"/>
      <c r="X140" s="1010"/>
      <c r="Y140" s="1010"/>
      <c r="Z140" s="1010"/>
      <c r="AA140" s="1010"/>
      <c r="AB140" s="1010"/>
      <c r="AC140" s="1010"/>
      <c r="AD140" s="1010"/>
      <c r="AE140" s="1010"/>
      <c r="AF140" s="1010"/>
      <c r="AG140" s="1010"/>
      <c r="AH140" s="1010"/>
      <c r="AI140" s="1010"/>
      <c r="AJ140" s="1010"/>
      <c r="AK140" s="1010"/>
      <c r="AL140" s="1010"/>
      <c r="AM140" s="1010"/>
      <c r="AN140" s="1010"/>
      <c r="AO140" s="1010"/>
      <c r="AP140" s="1010"/>
      <c r="AQ140" s="1010"/>
      <c r="AR140" s="1010"/>
      <c r="AS140" s="1010"/>
      <c r="AT140" s="1010"/>
      <c r="AU140" s="1010"/>
      <c r="AV140" s="1010"/>
    </row>
    <row r="141" spans="1:48" s="1074" customFormat="1">
      <c r="A141" s="1010"/>
      <c r="B141" s="1078" t="s">
        <v>38</v>
      </c>
      <c r="C141" s="1123"/>
      <c r="D141" s="188">
        <v>0.1</v>
      </c>
      <c r="E141" s="188">
        <v>0.1</v>
      </c>
      <c r="F141" s="188">
        <v>0.11</v>
      </c>
      <c r="G141" s="188">
        <v>0.11</v>
      </c>
      <c r="H141" s="188">
        <v>0.11</v>
      </c>
      <c r="I141" s="188">
        <v>0.11</v>
      </c>
      <c r="J141" s="188">
        <v>0.09</v>
      </c>
      <c r="K141" s="188">
        <v>0.11</v>
      </c>
      <c r="L141" s="1124"/>
      <c r="M141" s="1010"/>
      <c r="N141" s="1010"/>
      <c r="O141" s="1010"/>
      <c r="P141" s="1010"/>
      <c r="Q141" s="1010"/>
      <c r="R141" s="1010"/>
      <c r="S141" s="1010"/>
      <c r="T141" s="1010"/>
      <c r="U141" s="1010"/>
      <c r="V141" s="1010"/>
      <c r="W141" s="1010"/>
      <c r="X141" s="1010"/>
      <c r="Y141" s="1010"/>
      <c r="Z141" s="1010"/>
      <c r="AA141" s="1010"/>
      <c r="AB141" s="1010"/>
      <c r="AC141" s="1010"/>
      <c r="AD141" s="1010"/>
      <c r="AE141" s="1010"/>
      <c r="AF141" s="1010"/>
      <c r="AG141" s="1010"/>
      <c r="AH141" s="1010"/>
      <c r="AI141" s="1010"/>
      <c r="AJ141" s="1010"/>
      <c r="AK141" s="1010"/>
      <c r="AL141" s="1010"/>
      <c r="AM141" s="1010"/>
      <c r="AN141" s="1010"/>
      <c r="AO141" s="1010"/>
      <c r="AP141" s="1010"/>
      <c r="AQ141" s="1010"/>
      <c r="AR141" s="1010"/>
      <c r="AS141" s="1010"/>
      <c r="AT141" s="1010"/>
      <c r="AU141" s="1010"/>
      <c r="AV141" s="1010"/>
    </row>
    <row r="142" spans="1:48" s="1074" customFormat="1">
      <c r="A142" s="1010"/>
      <c r="B142" s="1078" t="s">
        <v>37</v>
      </c>
      <c r="C142" s="1123"/>
      <c r="D142" s="188">
        <v>0.06</v>
      </c>
      <c r="E142" s="188">
        <v>0.06</v>
      </c>
      <c r="F142" s="188">
        <v>7.0000000000000007E-2</v>
      </c>
      <c r="G142" s="188">
        <v>7.0000000000000007E-2</v>
      </c>
      <c r="H142" s="188">
        <v>0.12</v>
      </c>
      <c r="I142" s="188">
        <v>0.14000000000000001</v>
      </c>
      <c r="J142" s="188">
        <v>7.0000000000000007E-2</v>
      </c>
      <c r="K142" s="188">
        <v>7.0000000000000007E-2</v>
      </c>
      <c r="L142" s="1124"/>
      <c r="M142" s="1010"/>
      <c r="N142" s="1010"/>
      <c r="O142" s="1010"/>
      <c r="P142" s="1010"/>
      <c r="Q142" s="1010"/>
      <c r="R142" s="1010"/>
      <c r="S142" s="1010"/>
      <c r="T142" s="1010"/>
      <c r="U142" s="1010"/>
      <c r="V142" s="1010"/>
      <c r="W142" s="1010"/>
      <c r="X142" s="1010"/>
      <c r="Y142" s="1010"/>
      <c r="Z142" s="1010"/>
      <c r="AA142" s="1010"/>
      <c r="AB142" s="1010"/>
      <c r="AC142" s="1010"/>
      <c r="AD142" s="1010"/>
      <c r="AE142" s="1010"/>
      <c r="AF142" s="1010"/>
      <c r="AG142" s="1010"/>
      <c r="AH142" s="1010"/>
      <c r="AI142" s="1010"/>
      <c r="AJ142" s="1010"/>
      <c r="AK142" s="1010"/>
      <c r="AL142" s="1010"/>
      <c r="AM142" s="1010"/>
      <c r="AN142" s="1010"/>
      <c r="AO142" s="1010"/>
      <c r="AP142" s="1010"/>
      <c r="AQ142" s="1010"/>
      <c r="AR142" s="1010"/>
      <c r="AS142" s="1010"/>
      <c r="AT142" s="1010"/>
      <c r="AU142" s="1010"/>
      <c r="AV142" s="1010"/>
    </row>
    <row r="143" spans="1:48" s="1074" customFormat="1">
      <c r="A143" s="1010"/>
      <c r="B143" s="1078" t="s">
        <v>36</v>
      </c>
      <c r="C143" s="1123"/>
      <c r="D143" s="188">
        <v>0.06</v>
      </c>
      <c r="E143" s="188">
        <v>7.0000000000000007E-2</v>
      </c>
      <c r="F143" s="188">
        <v>7.0000000000000007E-2</v>
      </c>
      <c r="G143" s="188">
        <v>7.0000000000000007E-2</v>
      </c>
      <c r="H143" s="188">
        <v>0.12</v>
      </c>
      <c r="I143" s="188">
        <v>0.18</v>
      </c>
      <c r="J143" s="188">
        <v>7.0000000000000007E-2</v>
      </c>
      <c r="K143" s="188">
        <v>0.06</v>
      </c>
      <c r="L143" s="1124"/>
      <c r="M143" s="1010"/>
      <c r="N143" s="1010"/>
      <c r="O143" s="1010"/>
      <c r="P143" s="1010"/>
      <c r="Q143" s="1010"/>
      <c r="R143" s="1010"/>
      <c r="S143" s="1010"/>
      <c r="T143" s="1010"/>
      <c r="U143" s="1010"/>
      <c r="V143" s="1010"/>
      <c r="W143" s="1010"/>
      <c r="X143" s="1010"/>
      <c r="Y143" s="1010"/>
      <c r="Z143" s="1010"/>
      <c r="AA143" s="1010"/>
      <c r="AB143" s="1010"/>
      <c r="AC143" s="1010"/>
      <c r="AD143" s="1010"/>
      <c r="AE143" s="1010"/>
      <c r="AF143" s="1010"/>
      <c r="AG143" s="1010"/>
      <c r="AH143" s="1010"/>
      <c r="AI143" s="1010"/>
      <c r="AJ143" s="1010"/>
      <c r="AK143" s="1010"/>
      <c r="AL143" s="1010"/>
      <c r="AM143" s="1010"/>
      <c r="AN143" s="1010"/>
      <c r="AO143" s="1010"/>
      <c r="AP143" s="1010"/>
      <c r="AQ143" s="1010"/>
      <c r="AR143" s="1010"/>
      <c r="AS143" s="1010"/>
      <c r="AT143" s="1010"/>
      <c r="AU143" s="1010"/>
      <c r="AV143" s="1010"/>
    </row>
    <row r="144" spans="1:48" s="1074" customFormat="1">
      <c r="A144" s="1010"/>
      <c r="B144" s="1078" t="s">
        <v>412</v>
      </c>
      <c r="D144" s="1079">
        <f t="shared" ref="D144:L144" si="69">SUM(D132:D143)</f>
        <v>1</v>
      </c>
      <c r="E144" s="1079">
        <f t="shared" si="69"/>
        <v>1</v>
      </c>
      <c r="F144" s="1079">
        <f t="shared" si="69"/>
        <v>1</v>
      </c>
      <c r="G144" s="1079">
        <f t="shared" si="69"/>
        <v>1</v>
      </c>
      <c r="H144" s="1079">
        <f t="shared" si="69"/>
        <v>1</v>
      </c>
      <c r="I144" s="1079">
        <f t="shared" si="69"/>
        <v>1</v>
      </c>
      <c r="J144" s="1079">
        <f t="shared" si="69"/>
        <v>1</v>
      </c>
      <c r="K144" s="1079">
        <f t="shared" si="69"/>
        <v>1</v>
      </c>
      <c r="L144" s="1079">
        <f t="shared" si="69"/>
        <v>0</v>
      </c>
      <c r="M144" s="1010"/>
      <c r="N144" s="1010"/>
      <c r="O144" s="1010"/>
      <c r="P144" s="1010"/>
      <c r="Q144" s="1010"/>
      <c r="R144" s="1010"/>
      <c r="S144" s="1010"/>
      <c r="T144" s="1010"/>
      <c r="U144" s="1010"/>
      <c r="V144" s="1010"/>
      <c r="W144" s="1010"/>
      <c r="X144" s="1010"/>
      <c r="Y144" s="1010"/>
      <c r="Z144" s="1010"/>
      <c r="AA144" s="1010"/>
      <c r="AB144" s="1010"/>
      <c r="AC144" s="1010"/>
      <c r="AD144" s="1010"/>
      <c r="AE144" s="1010"/>
      <c r="AF144" s="1010"/>
      <c r="AG144" s="1010"/>
      <c r="AH144" s="1010"/>
      <c r="AI144" s="1010"/>
      <c r="AJ144" s="1010"/>
      <c r="AK144" s="1010"/>
      <c r="AL144" s="1010"/>
      <c r="AM144" s="1010"/>
      <c r="AN144" s="1010"/>
      <c r="AO144" s="1010"/>
      <c r="AP144" s="1010"/>
      <c r="AQ144" s="1010"/>
      <c r="AR144" s="1010"/>
      <c r="AS144" s="1010"/>
      <c r="AT144" s="1010"/>
      <c r="AU144" s="1010"/>
      <c r="AV144" s="1010"/>
    </row>
    <row r="145" spans="1:48" s="1074" customFormat="1">
      <c r="A145" s="1010"/>
      <c r="B145" s="1078"/>
      <c r="D145" s="1080" t="s">
        <v>1605</v>
      </c>
      <c r="E145" s="1080"/>
      <c r="F145" s="1080"/>
      <c r="G145" s="1080"/>
      <c r="H145" s="1080"/>
      <c r="I145" s="1080"/>
      <c r="J145" s="1080"/>
      <c r="K145" s="1080"/>
      <c r="L145" s="1080"/>
      <c r="M145" s="1010"/>
      <c r="N145" s="1010"/>
      <c r="O145" s="1010"/>
      <c r="P145" s="1010"/>
      <c r="Q145" s="1010"/>
      <c r="R145" s="1010"/>
      <c r="S145" s="1010"/>
      <c r="T145" s="1010"/>
      <c r="U145" s="1010"/>
      <c r="V145" s="1010"/>
      <c r="W145" s="1010"/>
      <c r="X145" s="1010"/>
      <c r="Y145" s="1010"/>
      <c r="Z145" s="1010"/>
      <c r="AA145" s="1010"/>
      <c r="AB145" s="1010"/>
      <c r="AC145" s="1010"/>
      <c r="AD145" s="1010"/>
      <c r="AE145" s="1010"/>
      <c r="AF145" s="1010"/>
      <c r="AG145" s="1010"/>
      <c r="AH145" s="1010"/>
      <c r="AI145" s="1010"/>
      <c r="AJ145" s="1010"/>
      <c r="AK145" s="1010"/>
      <c r="AL145" s="1010"/>
      <c r="AM145" s="1010"/>
      <c r="AN145" s="1010"/>
      <c r="AO145" s="1010"/>
      <c r="AP145" s="1010"/>
      <c r="AQ145" s="1010"/>
      <c r="AR145" s="1010"/>
      <c r="AS145" s="1010"/>
      <c r="AT145" s="1010"/>
      <c r="AU145" s="1010"/>
      <c r="AV145" s="1010"/>
    </row>
    <row r="146" spans="1:48" s="1074" customFormat="1">
      <c r="A146" s="1092"/>
      <c r="B146" s="1077" t="s">
        <v>47</v>
      </c>
      <c r="D146" s="1082">
        <f t="shared" ref="D146:L146" si="70">D158*D132</f>
        <v>493.18004736000006</v>
      </c>
      <c r="E146" s="1082">
        <f t="shared" si="70"/>
        <v>493.18004736000006</v>
      </c>
      <c r="F146" s="1082">
        <f t="shared" si="70"/>
        <v>537.43979520000016</v>
      </c>
      <c r="G146" s="1082">
        <f t="shared" si="70"/>
        <v>600.66800640000008</v>
      </c>
      <c r="H146" s="1082">
        <f t="shared" si="70"/>
        <v>1669.22477568</v>
      </c>
      <c r="I146" s="1082">
        <f t="shared" si="70"/>
        <v>1820.9724825600001</v>
      </c>
      <c r="J146" s="1082">
        <f t="shared" si="70"/>
        <v>3358.9987199999996</v>
      </c>
      <c r="K146" s="1082">
        <f t="shared" si="70"/>
        <v>3358.9987199999996</v>
      </c>
      <c r="L146" s="1082">
        <f t="shared" si="70"/>
        <v>0</v>
      </c>
      <c r="M146" s="1010"/>
      <c r="N146" s="1010"/>
      <c r="O146" s="1010"/>
      <c r="P146" s="1010"/>
      <c r="Q146" s="1010"/>
      <c r="R146" s="1010"/>
      <c r="S146" s="1010"/>
      <c r="T146" s="1010"/>
      <c r="U146" s="1010"/>
    </row>
    <row r="147" spans="1:48" s="1074" customFormat="1">
      <c r="A147" s="1092"/>
      <c r="B147" s="1077" t="s">
        <v>46</v>
      </c>
      <c r="D147" s="1082">
        <f t="shared" ref="D147:L147" si="71">D158*D133</f>
        <v>493.18004736000006</v>
      </c>
      <c r="E147" s="1082">
        <f t="shared" si="71"/>
        <v>493.18004736000006</v>
      </c>
      <c r="F147" s="1082">
        <f t="shared" si="71"/>
        <v>537.43979520000016</v>
      </c>
      <c r="G147" s="1082">
        <f t="shared" si="71"/>
        <v>600.66800640000008</v>
      </c>
      <c r="H147" s="1082">
        <f t="shared" si="71"/>
        <v>973.71445248000009</v>
      </c>
      <c r="I147" s="1082">
        <f t="shared" si="71"/>
        <v>1416.3119308800003</v>
      </c>
      <c r="J147" s="1082">
        <f t="shared" si="71"/>
        <v>3358.9987199999996</v>
      </c>
      <c r="K147" s="1082">
        <f t="shared" si="71"/>
        <v>3358.9987199999996</v>
      </c>
      <c r="L147" s="1082">
        <f t="shared" si="71"/>
        <v>0</v>
      </c>
      <c r="M147" s="1010"/>
      <c r="N147" s="1010"/>
      <c r="O147" s="1010"/>
      <c r="P147" s="1010"/>
      <c r="Q147" s="1010"/>
      <c r="R147" s="1010"/>
      <c r="S147" s="1010"/>
      <c r="T147" s="1010"/>
      <c r="U147" s="1010"/>
    </row>
    <row r="148" spans="1:48" s="1074" customFormat="1">
      <c r="A148" s="1092"/>
      <c r="B148" s="1078" t="s">
        <v>45</v>
      </c>
      <c r="D148" s="1082">
        <f t="shared" ref="D148:L148" si="72">D158*D134</f>
        <v>493.18004736000006</v>
      </c>
      <c r="E148" s="1082">
        <f t="shared" si="72"/>
        <v>493.18004736000006</v>
      </c>
      <c r="F148" s="1082">
        <f t="shared" si="72"/>
        <v>644.92775424000013</v>
      </c>
      <c r="G148" s="1082">
        <f t="shared" si="72"/>
        <v>720.80160767999996</v>
      </c>
      <c r="H148" s="1082">
        <f t="shared" si="72"/>
        <v>973.71445248000009</v>
      </c>
      <c r="I148" s="1082">
        <f t="shared" si="72"/>
        <v>910.48624128000006</v>
      </c>
      <c r="J148" s="1082">
        <f t="shared" si="72"/>
        <v>4030.7984639999995</v>
      </c>
      <c r="K148" s="1082">
        <f t="shared" si="72"/>
        <v>4030.7984639999995</v>
      </c>
      <c r="L148" s="1082">
        <f t="shared" si="72"/>
        <v>0</v>
      </c>
      <c r="M148" s="1010"/>
      <c r="N148" s="1010"/>
      <c r="O148" s="1010"/>
      <c r="P148" s="1010"/>
      <c r="Q148" s="1010"/>
      <c r="R148" s="1010"/>
      <c r="S148" s="1010"/>
      <c r="T148" s="1010"/>
      <c r="U148" s="1010"/>
    </row>
    <row r="149" spans="1:48" s="1074" customFormat="1">
      <c r="A149" s="1092"/>
      <c r="B149" s="1078" t="s">
        <v>44</v>
      </c>
      <c r="D149" s="1082">
        <f t="shared" ref="D149:L149" si="73">D158*D135</f>
        <v>493.18004736000006</v>
      </c>
      <c r="E149" s="1082">
        <f t="shared" si="73"/>
        <v>575.37672192000014</v>
      </c>
      <c r="F149" s="1082">
        <f t="shared" si="73"/>
        <v>752.4157132800002</v>
      </c>
      <c r="G149" s="1082">
        <f t="shared" si="73"/>
        <v>840.93520896000007</v>
      </c>
      <c r="H149" s="1082">
        <f t="shared" si="73"/>
        <v>973.71445248000009</v>
      </c>
      <c r="I149" s="1082">
        <f t="shared" si="73"/>
        <v>708.15596544000016</v>
      </c>
      <c r="J149" s="1082">
        <f t="shared" si="73"/>
        <v>4702.5982079999994</v>
      </c>
      <c r="K149" s="1082">
        <f t="shared" si="73"/>
        <v>4702.5982079999994</v>
      </c>
      <c r="L149" s="1082">
        <f t="shared" si="73"/>
        <v>0</v>
      </c>
      <c r="M149" s="1010"/>
      <c r="N149" s="1010"/>
      <c r="O149" s="1010"/>
      <c r="P149" s="1010"/>
      <c r="Q149" s="1010"/>
      <c r="R149" s="1010"/>
      <c r="S149" s="1010"/>
      <c r="T149" s="1010"/>
      <c r="U149" s="1010"/>
    </row>
    <row r="150" spans="1:48" s="1074" customFormat="1">
      <c r="A150" s="1092"/>
      <c r="B150" s="1078" t="s">
        <v>43</v>
      </c>
      <c r="D150" s="1082">
        <f t="shared" ref="D150:L150" si="74">D158*D136</f>
        <v>657.57339648000004</v>
      </c>
      <c r="E150" s="1082">
        <f t="shared" si="74"/>
        <v>657.57339648000004</v>
      </c>
      <c r="F150" s="1082">
        <f t="shared" si="74"/>
        <v>859.90367232000017</v>
      </c>
      <c r="G150" s="1082">
        <f t="shared" si="74"/>
        <v>961.06881024000006</v>
      </c>
      <c r="H150" s="1082">
        <f t="shared" si="74"/>
        <v>834.61238784</v>
      </c>
      <c r="I150" s="1082">
        <f t="shared" si="74"/>
        <v>303.49541376000002</v>
      </c>
      <c r="J150" s="1082">
        <f t="shared" si="74"/>
        <v>5374.3979519999993</v>
      </c>
      <c r="K150" s="1082">
        <f t="shared" si="74"/>
        <v>5374.3979519999993</v>
      </c>
      <c r="L150" s="1082">
        <f t="shared" si="74"/>
        <v>0</v>
      </c>
      <c r="M150" s="1010"/>
      <c r="N150" s="1010"/>
      <c r="O150" s="1010"/>
      <c r="P150" s="1010"/>
      <c r="Q150" s="1010"/>
      <c r="R150" s="1010"/>
      <c r="S150" s="1010"/>
      <c r="T150" s="1010"/>
      <c r="U150" s="1010"/>
    </row>
    <row r="151" spans="1:48" s="1074" customFormat="1">
      <c r="A151" s="1092"/>
      <c r="B151" s="1078" t="s">
        <v>42</v>
      </c>
      <c r="D151" s="1082">
        <f t="shared" ref="D151:L151" si="75">D158*D137</f>
        <v>986.36009472000012</v>
      </c>
      <c r="E151" s="1082">
        <f t="shared" si="75"/>
        <v>904.1634201600001</v>
      </c>
      <c r="F151" s="1082">
        <f t="shared" si="75"/>
        <v>859.90367232000017</v>
      </c>
      <c r="G151" s="1082">
        <f t="shared" si="75"/>
        <v>1201.3360128000002</v>
      </c>
      <c r="H151" s="1082">
        <f t="shared" si="75"/>
        <v>695.51032320000013</v>
      </c>
      <c r="I151" s="1082">
        <f t="shared" si="75"/>
        <v>0</v>
      </c>
      <c r="J151" s="1082">
        <f t="shared" si="75"/>
        <v>8061.596927999999</v>
      </c>
      <c r="K151" s="1082">
        <f t="shared" si="75"/>
        <v>6717.9974399999992</v>
      </c>
      <c r="L151" s="1082">
        <f t="shared" si="75"/>
        <v>0</v>
      </c>
      <c r="M151" s="1010"/>
      <c r="N151" s="1010"/>
      <c r="O151" s="1010"/>
      <c r="P151" s="1010"/>
      <c r="Q151" s="1010"/>
      <c r="R151" s="1010"/>
      <c r="S151" s="1010"/>
      <c r="T151" s="1010"/>
      <c r="U151" s="1010"/>
    </row>
    <row r="152" spans="1:48" s="1074" customFormat="1">
      <c r="A152" s="1092"/>
      <c r="B152" s="1078" t="s">
        <v>41</v>
      </c>
      <c r="D152" s="1082">
        <f t="shared" ref="D152:L152" si="76">D158*D138</f>
        <v>986.36009472000012</v>
      </c>
      <c r="E152" s="1082">
        <f t="shared" si="76"/>
        <v>986.36009472000012</v>
      </c>
      <c r="F152" s="1082">
        <f t="shared" si="76"/>
        <v>1289.8555084800003</v>
      </c>
      <c r="G152" s="1082">
        <f t="shared" si="76"/>
        <v>1201.3360128000002</v>
      </c>
      <c r="H152" s="1082">
        <f t="shared" si="76"/>
        <v>834.61238784</v>
      </c>
      <c r="I152" s="1082">
        <f t="shared" si="76"/>
        <v>0</v>
      </c>
      <c r="J152" s="1082">
        <f t="shared" si="76"/>
        <v>8061.596927999999</v>
      </c>
      <c r="K152" s="1082">
        <f t="shared" si="76"/>
        <v>7389.7971839999991</v>
      </c>
      <c r="L152" s="1082">
        <f t="shared" si="76"/>
        <v>0</v>
      </c>
      <c r="M152" s="1010"/>
      <c r="N152" s="1010"/>
      <c r="O152" s="1010"/>
      <c r="P152" s="1010"/>
      <c r="Q152" s="1010"/>
      <c r="R152" s="1010"/>
      <c r="S152" s="1010"/>
      <c r="T152" s="1010"/>
      <c r="U152" s="1010"/>
    </row>
    <row r="153" spans="1:48" s="1074" customFormat="1">
      <c r="A153" s="1092"/>
      <c r="B153" s="1078" t="s">
        <v>40</v>
      </c>
      <c r="D153" s="1082">
        <f t="shared" ref="D153:L153" si="77">D158*D139</f>
        <v>986.36009472000012</v>
      </c>
      <c r="E153" s="1082">
        <f t="shared" si="77"/>
        <v>904.1634201600001</v>
      </c>
      <c r="F153" s="1082">
        <f t="shared" si="77"/>
        <v>1289.8555084800003</v>
      </c>
      <c r="G153" s="1082">
        <f t="shared" si="77"/>
        <v>1441.6032153599999</v>
      </c>
      <c r="H153" s="1082">
        <f t="shared" si="77"/>
        <v>973.71445248000009</v>
      </c>
      <c r="I153" s="1082">
        <f t="shared" si="77"/>
        <v>0</v>
      </c>
      <c r="J153" s="1082">
        <f t="shared" si="77"/>
        <v>8061.596927999999</v>
      </c>
      <c r="K153" s="1082">
        <f t="shared" si="77"/>
        <v>8061.596927999999</v>
      </c>
      <c r="L153" s="1082">
        <f t="shared" si="77"/>
        <v>0</v>
      </c>
      <c r="M153" s="1010"/>
      <c r="N153" s="307"/>
      <c r="O153" s="307"/>
      <c r="P153" s="307"/>
      <c r="Q153" s="307"/>
      <c r="R153" s="307"/>
      <c r="S153" s="307"/>
      <c r="T153" s="307"/>
      <c r="U153" s="307"/>
    </row>
    <row r="154" spans="1:48" s="1074" customFormat="1">
      <c r="A154" s="1092"/>
      <c r="B154" s="1078" t="s">
        <v>39</v>
      </c>
      <c r="D154" s="1082">
        <f t="shared" ref="D154:L154" si="78">D158*D140</f>
        <v>821.96674560000019</v>
      </c>
      <c r="E154" s="1082">
        <f t="shared" si="78"/>
        <v>821.96674560000019</v>
      </c>
      <c r="F154" s="1082">
        <f t="shared" si="78"/>
        <v>1289.8555084800003</v>
      </c>
      <c r="G154" s="1082">
        <f t="shared" si="78"/>
        <v>1441.6032153599999</v>
      </c>
      <c r="H154" s="1082">
        <f t="shared" si="78"/>
        <v>1112.8165171200001</v>
      </c>
      <c r="I154" s="1082">
        <f t="shared" si="78"/>
        <v>606.99082752000004</v>
      </c>
      <c r="J154" s="1082">
        <f t="shared" si="78"/>
        <v>6717.9974399999992</v>
      </c>
      <c r="K154" s="1082">
        <f t="shared" si="78"/>
        <v>8061.596927999999</v>
      </c>
      <c r="L154" s="1082">
        <f t="shared" si="78"/>
        <v>0</v>
      </c>
      <c r="M154" s="1010"/>
      <c r="N154" s="307"/>
      <c r="O154" s="307"/>
      <c r="P154" s="307"/>
      <c r="Q154" s="307"/>
      <c r="R154" s="307"/>
      <c r="S154" s="307"/>
      <c r="T154" s="307"/>
      <c r="U154" s="307"/>
    </row>
    <row r="155" spans="1:48" s="1074" customFormat="1">
      <c r="A155" s="1092"/>
      <c r="B155" s="1078" t="s">
        <v>38</v>
      </c>
      <c r="D155" s="1082">
        <f t="shared" ref="D155:L155" si="79">D158*D141</f>
        <v>821.96674560000019</v>
      </c>
      <c r="E155" s="1082">
        <f t="shared" si="79"/>
        <v>821.96674560000019</v>
      </c>
      <c r="F155" s="1082">
        <f t="shared" si="79"/>
        <v>1182.3675494400002</v>
      </c>
      <c r="G155" s="1082">
        <f t="shared" si="79"/>
        <v>1321.4696140799999</v>
      </c>
      <c r="H155" s="1082">
        <f t="shared" si="79"/>
        <v>1530.12271104</v>
      </c>
      <c r="I155" s="1082">
        <f t="shared" si="79"/>
        <v>1112.8165171200001</v>
      </c>
      <c r="J155" s="1082">
        <f t="shared" si="79"/>
        <v>6046.1976959999993</v>
      </c>
      <c r="K155" s="1082">
        <f t="shared" si="79"/>
        <v>7389.7971839999991</v>
      </c>
      <c r="L155" s="1082">
        <f t="shared" si="79"/>
        <v>0</v>
      </c>
      <c r="N155" s="307"/>
      <c r="O155" s="307"/>
      <c r="P155" s="307"/>
      <c r="Q155" s="307"/>
      <c r="R155" s="307"/>
      <c r="S155" s="307"/>
      <c r="T155" s="307"/>
      <c r="U155" s="307"/>
    </row>
    <row r="156" spans="1:48" s="1010" customFormat="1">
      <c r="A156" s="1092"/>
      <c r="B156" s="1078" t="s">
        <v>37</v>
      </c>
      <c r="D156" s="1082">
        <f t="shared" ref="D156:L156" si="80">D158*D142</f>
        <v>493.18004736000006</v>
      </c>
      <c r="E156" s="1082">
        <f t="shared" si="80"/>
        <v>493.18004736000006</v>
      </c>
      <c r="F156" s="1082">
        <f t="shared" si="80"/>
        <v>752.4157132800002</v>
      </c>
      <c r="G156" s="1082">
        <f t="shared" si="80"/>
        <v>840.93520896000007</v>
      </c>
      <c r="H156" s="1082">
        <f t="shared" si="80"/>
        <v>1669.22477568</v>
      </c>
      <c r="I156" s="1082">
        <f t="shared" si="80"/>
        <v>1416.3119308800003</v>
      </c>
      <c r="J156" s="1082">
        <f t="shared" si="80"/>
        <v>4702.5982079999994</v>
      </c>
      <c r="K156" s="1082">
        <f t="shared" si="80"/>
        <v>4702.5982079999994</v>
      </c>
      <c r="L156" s="1082">
        <f t="shared" si="80"/>
        <v>0</v>
      </c>
      <c r="M156" s="1074"/>
      <c r="N156" s="307"/>
      <c r="O156" s="307"/>
      <c r="P156" s="307"/>
      <c r="Q156" s="307"/>
      <c r="R156" s="307"/>
      <c r="S156" s="307"/>
      <c r="T156" s="307"/>
      <c r="U156" s="307"/>
    </row>
    <row r="157" spans="1:48" s="1010" customFormat="1">
      <c r="A157" s="1092"/>
      <c r="B157" s="1078" t="s">
        <v>36</v>
      </c>
      <c r="D157" s="1082">
        <f t="shared" ref="D157:L157" si="81">D158*D143</f>
        <v>493.18004736000006</v>
      </c>
      <c r="E157" s="1082">
        <f t="shared" si="81"/>
        <v>575.37672192000014</v>
      </c>
      <c r="F157" s="1082">
        <f t="shared" si="81"/>
        <v>752.4157132800002</v>
      </c>
      <c r="G157" s="1082">
        <f t="shared" si="81"/>
        <v>840.93520896000007</v>
      </c>
      <c r="H157" s="1082">
        <f t="shared" si="81"/>
        <v>1669.22477568</v>
      </c>
      <c r="I157" s="1082">
        <f t="shared" si="81"/>
        <v>1820.9724825600001</v>
      </c>
      <c r="J157" s="1082">
        <f t="shared" si="81"/>
        <v>4702.5982079999994</v>
      </c>
      <c r="K157" s="1082">
        <f t="shared" si="81"/>
        <v>4030.7984639999995</v>
      </c>
      <c r="L157" s="1082">
        <f t="shared" si="81"/>
        <v>0</v>
      </c>
      <c r="N157" s="307"/>
      <c r="O157" s="307"/>
      <c r="P157" s="307"/>
      <c r="Q157" s="307"/>
      <c r="R157" s="307"/>
      <c r="S157" s="307"/>
      <c r="T157" s="307"/>
      <c r="U157" s="307"/>
    </row>
    <row r="158" spans="1:48" s="1074" customFormat="1">
      <c r="A158" s="1092"/>
      <c r="B158" s="1078" t="s">
        <v>412</v>
      </c>
      <c r="D158" s="1082">
        <f t="shared" ref="D158:L158" si="82">VLOOKUP(D39,TargetedMSo,IF(D40="[retail]",12,14),FALSE)</f>
        <v>8219.667456000001</v>
      </c>
      <c r="E158" s="1082">
        <f t="shared" si="82"/>
        <v>8219.667456000001</v>
      </c>
      <c r="F158" s="1082">
        <f t="shared" si="82"/>
        <v>10748.795904000002</v>
      </c>
      <c r="G158" s="1082">
        <f t="shared" si="82"/>
        <v>12013.360128</v>
      </c>
      <c r="H158" s="1082">
        <f t="shared" si="82"/>
        <v>13910.206464000001</v>
      </c>
      <c r="I158" s="1082">
        <f t="shared" si="82"/>
        <v>10116.513792000002</v>
      </c>
      <c r="J158" s="1082">
        <f t="shared" si="82"/>
        <v>67179.974399999992</v>
      </c>
      <c r="K158" s="1082">
        <f t="shared" si="82"/>
        <v>67179.974399999992</v>
      </c>
      <c r="L158" s="1082">
        <f t="shared" si="82"/>
        <v>0</v>
      </c>
      <c r="N158" s="307"/>
      <c r="O158" s="307"/>
      <c r="P158" s="307"/>
      <c r="Q158" s="307"/>
      <c r="R158" s="307"/>
      <c r="S158" s="307"/>
      <c r="T158" s="307"/>
      <c r="U158" s="307"/>
    </row>
    <row r="159" spans="1:48" s="1010" customFormat="1">
      <c r="A159" s="1073"/>
      <c r="B159" s="1077" t="s">
        <v>414</v>
      </c>
      <c r="D159" s="307" t="str">
        <f t="shared" ref="D159:L159" si="83">IF(D40="[wholesale]",D158/capacity,"")</f>
        <v/>
      </c>
      <c r="E159" s="307" t="str">
        <f t="shared" si="83"/>
        <v/>
      </c>
      <c r="F159" s="307" t="str">
        <f t="shared" si="83"/>
        <v/>
      </c>
      <c r="G159" s="307" t="str">
        <f t="shared" si="83"/>
        <v/>
      </c>
      <c r="H159" s="307" t="str">
        <f t="shared" si="83"/>
        <v/>
      </c>
      <c r="I159" s="307" t="str">
        <f t="shared" si="83"/>
        <v/>
      </c>
      <c r="J159" s="307">
        <f t="shared" si="83"/>
        <v>54.177398709677412</v>
      </c>
      <c r="K159" s="307">
        <f t="shared" si="83"/>
        <v>54.177398709677412</v>
      </c>
      <c r="L159" s="307" t="str">
        <f t="shared" si="83"/>
        <v/>
      </c>
      <c r="O159" s="1086"/>
      <c r="P159" s="1086"/>
      <c r="R159" s="1086"/>
      <c r="S159" s="1086"/>
      <c r="T159" s="1074"/>
      <c r="U159" s="1074"/>
    </row>
    <row r="160" spans="1:48" s="1010" customFormat="1">
      <c r="A160" s="1073"/>
      <c r="B160" s="1077"/>
      <c r="C160" s="1093" t="s">
        <v>101</v>
      </c>
      <c r="D160" s="1080" t="s">
        <v>1606</v>
      </c>
      <c r="E160" s="1080"/>
      <c r="F160" s="1080"/>
      <c r="G160" s="1080"/>
      <c r="H160" s="1080"/>
      <c r="I160" s="1080"/>
      <c r="J160" s="1080"/>
      <c r="K160" s="1080"/>
      <c r="L160" s="1080"/>
      <c r="O160" s="1086"/>
      <c r="P160" s="1086"/>
      <c r="R160" s="1086"/>
      <c r="S160" s="1086"/>
    </row>
    <row r="161" spans="1:21" s="1010" customFormat="1">
      <c r="A161" s="304"/>
      <c r="B161" s="1077" t="s">
        <v>47</v>
      </c>
      <c r="C161" s="308">
        <f t="shared" ref="C161:C172" si="84">SUM(D161:Z161)</f>
        <v>8</v>
      </c>
      <c r="D161" s="309">
        <f t="shared" ref="D161:L161" si="85">ProductionFY3o(1,D39,VLOOKUP(D39,ProductsRangeOper,3,FALSE),D146)</f>
        <v>0.38407878539187534</v>
      </c>
      <c r="E161" s="309">
        <f t="shared" si="85"/>
        <v>0.38407878539187534</v>
      </c>
      <c r="F161" s="309">
        <f t="shared" si="85"/>
        <v>0</v>
      </c>
      <c r="G161" s="309">
        <f t="shared" si="85"/>
        <v>0</v>
      </c>
      <c r="H161" s="309">
        <f t="shared" si="85"/>
        <v>1</v>
      </c>
      <c r="I161" s="309">
        <f t="shared" si="85"/>
        <v>1</v>
      </c>
      <c r="J161" s="309">
        <f t="shared" si="85"/>
        <v>2.6159212146081248</v>
      </c>
      <c r="K161" s="309">
        <f t="shared" si="85"/>
        <v>2.6159212146081248</v>
      </c>
      <c r="L161" s="309">
        <f t="shared" si="85"/>
        <v>0</v>
      </c>
      <c r="M161" s="304"/>
      <c r="O161" s="1086"/>
      <c r="P161" s="1086"/>
      <c r="R161" s="1086"/>
      <c r="S161" s="1086"/>
    </row>
    <row r="162" spans="1:21" s="1010" customFormat="1">
      <c r="A162" s="306"/>
      <c r="B162" s="1077" t="s">
        <v>46</v>
      </c>
      <c r="C162" s="308">
        <f t="shared" si="84"/>
        <v>8</v>
      </c>
      <c r="D162" s="309">
        <f t="shared" ref="D162:L162" si="86">ProductionFY3o(2,D39,VLOOKUP(D39,ProductsRangeOper,3,FALSE),D147)</f>
        <v>0.38407878539187534</v>
      </c>
      <c r="E162" s="309">
        <f t="shared" si="86"/>
        <v>0.38407878539187534</v>
      </c>
      <c r="F162" s="309">
        <f t="shared" si="86"/>
        <v>0</v>
      </c>
      <c r="G162" s="309">
        <f t="shared" si="86"/>
        <v>0</v>
      </c>
      <c r="H162" s="309">
        <f t="shared" si="86"/>
        <v>1</v>
      </c>
      <c r="I162" s="309">
        <f t="shared" si="86"/>
        <v>1</v>
      </c>
      <c r="J162" s="309">
        <f t="shared" si="86"/>
        <v>2.6159212146081248</v>
      </c>
      <c r="K162" s="309">
        <f t="shared" si="86"/>
        <v>2.6159212146081248</v>
      </c>
      <c r="L162" s="309">
        <f t="shared" si="86"/>
        <v>0</v>
      </c>
      <c r="M162" s="304"/>
      <c r="O162" s="1086"/>
      <c r="P162" s="1086"/>
      <c r="R162" s="1086"/>
      <c r="S162" s="1086"/>
    </row>
    <row r="163" spans="1:21" s="1010" customFormat="1">
      <c r="A163" s="1074"/>
      <c r="B163" s="1078" t="s">
        <v>45</v>
      </c>
      <c r="C163" s="308">
        <f t="shared" si="84"/>
        <v>9</v>
      </c>
      <c r="D163" s="309">
        <f t="shared" ref="D163:L163" si="87">ProductionFY3o(3,D39,VLOOKUP(D39,ProductsRangeOper,3,FALSE),D148)</f>
        <v>0.3270440251572328</v>
      </c>
      <c r="E163" s="309">
        <f t="shared" si="87"/>
        <v>0.3270440251572328</v>
      </c>
      <c r="F163" s="309">
        <f t="shared" si="87"/>
        <v>0</v>
      </c>
      <c r="G163" s="309">
        <f t="shared" si="87"/>
        <v>1</v>
      </c>
      <c r="H163" s="309">
        <f t="shared" si="87"/>
        <v>1</v>
      </c>
      <c r="I163" s="309">
        <f t="shared" si="87"/>
        <v>1</v>
      </c>
      <c r="J163" s="309">
        <f t="shared" si="87"/>
        <v>2.6729559748427674</v>
      </c>
      <c r="K163" s="309">
        <f t="shared" si="87"/>
        <v>2.6729559748427674</v>
      </c>
      <c r="L163" s="309">
        <f t="shared" si="87"/>
        <v>0</v>
      </c>
      <c r="M163" s="304"/>
      <c r="O163" s="1086"/>
      <c r="P163" s="1086"/>
      <c r="R163" s="1086"/>
      <c r="S163" s="1086"/>
    </row>
    <row r="164" spans="1:21" s="1010" customFormat="1">
      <c r="A164" s="1074"/>
      <c r="B164" s="1078" t="s">
        <v>44</v>
      </c>
      <c r="C164" s="308">
        <f t="shared" si="84"/>
        <v>12</v>
      </c>
      <c r="D164" s="309">
        <f t="shared" ref="D164:L164" si="88">ProductionFY3o(4,D39,VLOOKUP(D39,ProductsRangeOper,3,FALSE),D149)</f>
        <v>0.37967751749315498</v>
      </c>
      <c r="E164" s="309">
        <f t="shared" si="88"/>
        <v>0.43605870020964377</v>
      </c>
      <c r="F164" s="309">
        <f t="shared" si="88"/>
        <v>1</v>
      </c>
      <c r="G164" s="309">
        <f t="shared" si="88"/>
        <v>1</v>
      </c>
      <c r="H164" s="309">
        <f t="shared" si="88"/>
        <v>1</v>
      </c>
      <c r="I164" s="309">
        <f t="shared" si="88"/>
        <v>1</v>
      </c>
      <c r="J164" s="309">
        <f t="shared" si="88"/>
        <v>3.6203224825068454</v>
      </c>
      <c r="K164" s="309">
        <f t="shared" si="88"/>
        <v>3.5639412997903563</v>
      </c>
      <c r="L164" s="309">
        <f t="shared" si="88"/>
        <v>0</v>
      </c>
      <c r="M164" s="304"/>
      <c r="O164" s="1086"/>
      <c r="P164" s="1086"/>
      <c r="R164" s="1086"/>
      <c r="S164" s="1086"/>
    </row>
    <row r="165" spans="1:21" s="1010" customFormat="1">
      <c r="A165" s="1074"/>
      <c r="B165" s="1078" t="s">
        <v>43</v>
      </c>
      <c r="C165" s="308">
        <f t="shared" si="84"/>
        <v>13</v>
      </c>
      <c r="D165" s="309">
        <f t="shared" ref="D165:L165" si="89">ProductionFY3o(5,D39,VLOOKUP(D39,ProductsRangeOper,3,FALSE),D150)</f>
        <v>0.54507337526205457</v>
      </c>
      <c r="E165" s="309">
        <f t="shared" si="89"/>
        <v>0.54507337526205457</v>
      </c>
      <c r="F165" s="309">
        <f t="shared" si="89"/>
        <v>1</v>
      </c>
      <c r="G165" s="309">
        <f t="shared" si="89"/>
        <v>1</v>
      </c>
      <c r="H165" s="309">
        <f t="shared" si="89"/>
        <v>1</v>
      </c>
      <c r="I165" s="309">
        <f t="shared" si="89"/>
        <v>0</v>
      </c>
      <c r="J165" s="309">
        <f t="shared" si="89"/>
        <v>4.4549266247379453</v>
      </c>
      <c r="K165" s="309">
        <f t="shared" si="89"/>
        <v>4.4549266247379453</v>
      </c>
      <c r="L165" s="309">
        <f t="shared" si="89"/>
        <v>0</v>
      </c>
      <c r="M165" s="304"/>
      <c r="O165" s="1086"/>
      <c r="P165" s="1086"/>
      <c r="R165" s="1086"/>
      <c r="S165" s="1086"/>
    </row>
    <row r="166" spans="1:21" s="1010" customFormat="1">
      <c r="B166" s="1078" t="s">
        <v>42</v>
      </c>
      <c r="C166" s="308">
        <f t="shared" si="84"/>
        <v>15</v>
      </c>
      <c r="D166" s="309">
        <f t="shared" ref="D166:L166" si="90">ProductionFY3o(6,D39,VLOOKUP(D39,ProductsRangeOper,3,FALSE),D151)</f>
        <v>0.76310272536687651</v>
      </c>
      <c r="E166" s="309">
        <f t="shared" si="90"/>
        <v>0.71173786810452111</v>
      </c>
      <c r="F166" s="309">
        <f t="shared" si="90"/>
        <v>1</v>
      </c>
      <c r="G166" s="309">
        <f t="shared" si="90"/>
        <v>1</v>
      </c>
      <c r="H166" s="309">
        <f t="shared" si="90"/>
        <v>0</v>
      </c>
      <c r="I166" s="309">
        <f t="shared" si="90"/>
        <v>0</v>
      </c>
      <c r="J166" s="309">
        <f t="shared" si="90"/>
        <v>6.2368972746331242</v>
      </c>
      <c r="K166" s="309">
        <f t="shared" si="90"/>
        <v>5.288262131895479</v>
      </c>
      <c r="L166" s="309">
        <f t="shared" si="90"/>
        <v>0</v>
      </c>
      <c r="M166" s="304"/>
      <c r="O166" s="1086"/>
      <c r="P166" s="1086"/>
      <c r="R166" s="1086"/>
      <c r="S166" s="1086"/>
    </row>
    <row r="167" spans="1:21" s="1010" customFormat="1">
      <c r="B167" s="1078" t="s">
        <v>41</v>
      </c>
      <c r="C167" s="308">
        <f t="shared" si="84"/>
        <v>16</v>
      </c>
      <c r="D167" s="309">
        <f t="shared" ref="D167:L167" si="91">ProductionFY3o(7,D39,VLOOKUP(D39,ProductsRangeOper,3,FALSE),D152)</f>
        <v>0.76310272536687651</v>
      </c>
      <c r="E167" s="309">
        <f t="shared" si="91"/>
        <v>0.70654840535950203</v>
      </c>
      <c r="F167" s="309">
        <f t="shared" si="91"/>
        <v>1</v>
      </c>
      <c r="G167" s="309">
        <f t="shared" si="91"/>
        <v>1</v>
      </c>
      <c r="H167" s="309">
        <f t="shared" si="91"/>
        <v>1</v>
      </c>
      <c r="I167" s="309">
        <f t="shared" si="91"/>
        <v>0</v>
      </c>
      <c r="J167" s="309">
        <f t="shared" si="91"/>
        <v>6.2368972746331242</v>
      </c>
      <c r="K167" s="309">
        <f t="shared" si="91"/>
        <v>5.2934515946404987</v>
      </c>
      <c r="L167" s="309">
        <f t="shared" si="91"/>
        <v>0</v>
      </c>
      <c r="M167" s="304"/>
      <c r="O167" s="1086"/>
      <c r="P167" s="1086"/>
      <c r="R167" s="1086"/>
      <c r="S167" s="1086"/>
    </row>
    <row r="168" spans="1:21" s="1010" customFormat="1">
      <c r="B168" s="1078" t="s">
        <v>40</v>
      </c>
      <c r="C168" s="308">
        <f t="shared" si="84"/>
        <v>17</v>
      </c>
      <c r="D168" s="309">
        <f t="shared" ref="D168:L168" si="92">ProductionFY3o(8,D39,VLOOKUP(D39,ProductsRangeOper,3,FALSE),D153)</f>
        <v>0.76310272536687651</v>
      </c>
      <c r="E168" s="309">
        <f t="shared" si="92"/>
        <v>0.7059238363892808</v>
      </c>
      <c r="F168" s="309">
        <f t="shared" si="92"/>
        <v>1</v>
      </c>
      <c r="G168" s="309">
        <f t="shared" si="92"/>
        <v>1</v>
      </c>
      <c r="H168" s="309">
        <f t="shared" si="92"/>
        <v>1</v>
      </c>
      <c r="I168" s="309">
        <f t="shared" si="92"/>
        <v>0</v>
      </c>
      <c r="J168" s="309">
        <f t="shared" si="92"/>
        <v>6.2368972746331242</v>
      </c>
      <c r="K168" s="309">
        <f t="shared" si="92"/>
        <v>6.2940761636107183</v>
      </c>
      <c r="L168" s="309">
        <f t="shared" si="92"/>
        <v>0</v>
      </c>
      <c r="M168" s="304"/>
      <c r="O168" s="1086"/>
      <c r="P168" s="1086"/>
      <c r="R168" s="1086"/>
      <c r="S168" s="1086"/>
    </row>
    <row r="169" spans="1:21" s="1010" customFormat="1">
      <c r="B169" s="1078" t="s">
        <v>39</v>
      </c>
      <c r="C169" s="308">
        <f t="shared" si="84"/>
        <v>16</v>
      </c>
      <c r="D169" s="309">
        <f t="shared" ref="D169:L169" si="93">ProductionFY3o(9,D39,VLOOKUP(D39,ProductsRangeOper,3,FALSE),D154)</f>
        <v>0.6540880503144656</v>
      </c>
      <c r="E169" s="309">
        <f t="shared" si="93"/>
        <v>0.64768683274021366</v>
      </c>
      <c r="F169" s="309">
        <f t="shared" si="93"/>
        <v>1</v>
      </c>
      <c r="G169" s="309">
        <f t="shared" si="93"/>
        <v>1</v>
      </c>
      <c r="H169" s="309">
        <f t="shared" si="93"/>
        <v>1</v>
      </c>
      <c r="I169" s="309">
        <f t="shared" si="93"/>
        <v>0</v>
      </c>
      <c r="J169" s="309">
        <f t="shared" si="93"/>
        <v>5.3459119496855338</v>
      </c>
      <c r="K169" s="309">
        <f t="shared" si="93"/>
        <v>6.3523131672597861</v>
      </c>
      <c r="L169" s="309">
        <f t="shared" si="93"/>
        <v>0</v>
      </c>
      <c r="M169" s="304"/>
      <c r="O169" s="1086"/>
      <c r="P169" s="1086"/>
      <c r="R169" s="1086"/>
      <c r="S169" s="1086"/>
    </row>
    <row r="170" spans="1:21" s="1010" customFormat="1">
      <c r="B170" s="1078" t="s">
        <v>38</v>
      </c>
      <c r="C170" s="308">
        <f t="shared" si="84"/>
        <v>15</v>
      </c>
      <c r="D170" s="309">
        <f t="shared" ref="D170:L170" si="94">ProductionFY3o(10,D39,VLOOKUP(D39,ProductsRangeOper,3,FALSE),D155)</f>
        <v>0.5983889528193328</v>
      </c>
      <c r="E170" s="309">
        <f t="shared" si="94"/>
        <v>0.60057747834456221</v>
      </c>
      <c r="F170" s="309">
        <f t="shared" si="94"/>
        <v>1</v>
      </c>
      <c r="G170" s="309">
        <f t="shared" si="94"/>
        <v>1</v>
      </c>
      <c r="H170" s="309">
        <f t="shared" si="94"/>
        <v>1</v>
      </c>
      <c r="I170" s="309">
        <f t="shared" si="94"/>
        <v>1</v>
      </c>
      <c r="J170" s="309">
        <f t="shared" si="94"/>
        <v>4.4016110471806673</v>
      </c>
      <c r="K170" s="309">
        <f t="shared" si="94"/>
        <v>5.3994225216554375</v>
      </c>
      <c r="L170" s="309">
        <f t="shared" si="94"/>
        <v>0</v>
      </c>
      <c r="M170" s="304"/>
      <c r="O170" s="1086"/>
      <c r="P170" s="1086"/>
      <c r="R170" s="1086"/>
      <c r="S170" s="1086"/>
    </row>
    <row r="171" spans="1:21" s="1010" customFormat="1">
      <c r="B171" s="1078" t="s">
        <v>37</v>
      </c>
      <c r="C171" s="308">
        <f t="shared" si="84"/>
        <v>12</v>
      </c>
      <c r="D171" s="309">
        <f t="shared" ref="D171:L171" si="95">ProductionFY3o(11,D39,VLOOKUP(D39,ProductsRangeOper,3,FALSE),D156)</f>
        <v>0.37967751749315498</v>
      </c>
      <c r="E171" s="309">
        <f t="shared" si="95"/>
        <v>0.37967751749315498</v>
      </c>
      <c r="F171" s="309">
        <f t="shared" si="95"/>
        <v>1</v>
      </c>
      <c r="G171" s="309">
        <f t="shared" si="95"/>
        <v>1</v>
      </c>
      <c r="H171" s="309">
        <f t="shared" si="95"/>
        <v>1</v>
      </c>
      <c r="I171" s="309">
        <f t="shared" si="95"/>
        <v>1</v>
      </c>
      <c r="J171" s="309">
        <f t="shared" si="95"/>
        <v>3.6203224825068454</v>
      </c>
      <c r="K171" s="309">
        <f t="shared" si="95"/>
        <v>3.6203224825068454</v>
      </c>
      <c r="L171" s="309">
        <f t="shared" si="95"/>
        <v>0</v>
      </c>
      <c r="M171" s="304"/>
      <c r="O171" s="1086"/>
      <c r="P171" s="1086"/>
      <c r="R171" s="1086"/>
      <c r="S171" s="1086"/>
    </row>
    <row r="172" spans="1:21" s="1010" customFormat="1">
      <c r="B172" s="1078" t="s">
        <v>36</v>
      </c>
      <c r="C172" s="308">
        <f t="shared" si="84"/>
        <v>11</v>
      </c>
      <c r="D172" s="309">
        <f t="shared" ref="D172:L172" si="96">ProductionFY3o(12,D39,VLOOKUP(D39,ProductsRangeOper,3,FALSE),D157)</f>
        <v>0.37967751749315498</v>
      </c>
      <c r="E172" s="309">
        <f t="shared" si="96"/>
        <v>0.37474262182566931</v>
      </c>
      <c r="F172" s="309">
        <f t="shared" si="96"/>
        <v>1</v>
      </c>
      <c r="G172" s="309">
        <f t="shared" si="96"/>
        <v>1</v>
      </c>
      <c r="H172" s="309">
        <f t="shared" si="96"/>
        <v>1</v>
      </c>
      <c r="I172" s="309">
        <f t="shared" si="96"/>
        <v>1</v>
      </c>
      <c r="J172" s="309">
        <f t="shared" si="96"/>
        <v>3.6203224825068454</v>
      </c>
      <c r="K172" s="309">
        <f t="shared" si="96"/>
        <v>2.6252573781743309</v>
      </c>
      <c r="L172" s="309">
        <f t="shared" si="96"/>
        <v>0</v>
      </c>
      <c r="M172" s="304"/>
      <c r="O172" s="1086"/>
      <c r="P172" s="1086"/>
      <c r="R172" s="1086"/>
      <c r="S172" s="1086"/>
    </row>
    <row r="173" spans="1:21" s="1010" customFormat="1">
      <c r="A173" s="1087" t="s">
        <v>416</v>
      </c>
      <c r="B173" s="1074"/>
      <c r="C173" s="1077" t="s">
        <v>85</v>
      </c>
      <c r="D173" s="1094">
        <f t="shared" ref="D173:I173" si="97">SUM(D146:D157)</f>
        <v>8219.667456000001</v>
      </c>
      <c r="E173" s="1095">
        <f t="shared" si="97"/>
        <v>8219.667456000001</v>
      </c>
      <c r="F173" s="1095">
        <f t="shared" si="97"/>
        <v>10748.795904000002</v>
      </c>
      <c r="G173" s="1095">
        <f t="shared" si="97"/>
        <v>12013.360128</v>
      </c>
      <c r="H173" s="1095">
        <f t="shared" si="97"/>
        <v>13910.206464000003</v>
      </c>
      <c r="I173" s="1095">
        <f t="shared" si="97"/>
        <v>10116.513792</v>
      </c>
      <c r="J173" s="1096">
        <f>J158</f>
        <v>67179.974399999992</v>
      </c>
      <c r="K173" s="1096">
        <f>K158</f>
        <v>67179.974399999992</v>
      </c>
      <c r="L173" s="1096">
        <f>L158</f>
        <v>0</v>
      </c>
      <c r="O173" s="1086"/>
      <c r="P173" s="1086"/>
      <c r="R173" s="1086"/>
      <c r="S173" s="1086"/>
      <c r="T173" s="1074"/>
      <c r="U173" s="1074"/>
    </row>
    <row r="174" spans="1:21" s="1010" customFormat="1">
      <c r="A174" s="1087" t="s">
        <v>417</v>
      </c>
      <c r="B174" s="1074"/>
      <c r="C174" s="1077" t="s">
        <v>85</v>
      </c>
      <c r="D174" s="1094">
        <f t="shared" ref="D174:L174" si="98">SUM(D161:D172)*capacity</f>
        <v>7838.1549516169944</v>
      </c>
      <c r="E174" s="1094">
        <f t="shared" si="98"/>
        <v>7692.0030072702875</v>
      </c>
      <c r="F174" s="1094">
        <f t="shared" si="98"/>
        <v>11160</v>
      </c>
      <c r="G174" s="1094">
        <f t="shared" si="98"/>
        <v>12400</v>
      </c>
      <c r="H174" s="1094">
        <f t="shared" si="98"/>
        <v>13640</v>
      </c>
      <c r="I174" s="1094">
        <f t="shared" si="98"/>
        <v>8680</v>
      </c>
      <c r="J174" s="1094">
        <f t="shared" si="98"/>
        <v>64081.845048383002</v>
      </c>
      <c r="K174" s="1094">
        <f t="shared" si="98"/>
        <v>62987.996992729706</v>
      </c>
      <c r="L174" s="1097">
        <f t="shared" si="98"/>
        <v>0</v>
      </c>
      <c r="M174" s="1074"/>
      <c r="N174" s="1074"/>
      <c r="O174" s="1098"/>
      <c r="P174" s="1098"/>
      <c r="Q174" s="1074"/>
      <c r="R174" s="1098"/>
      <c r="S174" s="1098"/>
      <c r="T174" s="1074"/>
      <c r="U174" s="1074"/>
    </row>
    <row r="175" spans="1:21" s="1010" customFormat="1">
      <c r="A175" s="1087" t="s">
        <v>418</v>
      </c>
      <c r="B175" s="1074"/>
      <c r="C175" s="1077" t="s">
        <v>85</v>
      </c>
      <c r="D175" s="1094">
        <f t="shared" ref="D175:L175" si="99">D173-D174</f>
        <v>381.51250438300667</v>
      </c>
      <c r="E175" s="1095">
        <f t="shared" si="99"/>
        <v>527.66444872971351</v>
      </c>
      <c r="F175" s="1095">
        <f t="shared" si="99"/>
        <v>-411.20409599999766</v>
      </c>
      <c r="G175" s="1095">
        <f t="shared" si="99"/>
        <v>-386.63987199999974</v>
      </c>
      <c r="H175" s="1095">
        <f t="shared" si="99"/>
        <v>270.2064640000026</v>
      </c>
      <c r="I175" s="1095">
        <f t="shared" si="99"/>
        <v>1436.5137919999997</v>
      </c>
      <c r="J175" s="1095">
        <f t="shared" si="99"/>
        <v>3098.1293516169899</v>
      </c>
      <c r="K175" s="1095">
        <f t="shared" si="99"/>
        <v>4191.9774072702858</v>
      </c>
      <c r="L175" s="1099">
        <f t="shared" si="99"/>
        <v>0</v>
      </c>
      <c r="M175" s="1074"/>
      <c r="N175" s="1074"/>
      <c r="O175" s="1098"/>
      <c r="P175" s="1098"/>
      <c r="Q175" s="1074"/>
      <c r="R175" s="1098"/>
      <c r="S175" s="1098"/>
      <c r="T175" s="1074"/>
      <c r="U175" s="1074"/>
    </row>
    <row r="176" spans="1:21" s="1010" customFormat="1">
      <c r="A176" s="1092"/>
      <c r="D176" s="1092"/>
      <c r="O176" s="1086"/>
      <c r="P176" s="1086"/>
      <c r="R176" s="1086"/>
      <c r="S176" s="1086"/>
      <c r="T176" s="1074"/>
      <c r="U176" s="1074"/>
    </row>
    <row r="177" spans="1:19" s="1010" customFormat="1">
      <c r="A177" s="1092"/>
      <c r="D177" s="1033" t="str">
        <f>IF(B11="","",B11)</f>
        <v>BR01-01</v>
      </c>
      <c r="E177" s="1033" t="str">
        <f>IF(B12="","",B12)</f>
        <v>BR01-02</v>
      </c>
      <c r="F177" s="1033" t="str">
        <f>IF(B13="","",B13)</f>
        <v>BR01-03</v>
      </c>
      <c r="G177" s="1033" t="str">
        <f>IF(B14="","",B14)</f>
        <v>BR01-04</v>
      </c>
      <c r="H177" s="1033" t="str">
        <f>IF(B15="","",B15)</f>
        <v>BR01-05</v>
      </c>
      <c r="I177" s="1033" t="str">
        <f>IF(B16="","",B16)</f>
        <v>BR01-06</v>
      </c>
      <c r="J177" s="1033" t="str">
        <f>IF(B17="","",B17)</f>
        <v>BR01-07</v>
      </c>
      <c r="K177" s="1033" t="str">
        <f>IF(B18="","",B18)</f>
        <v>BR01-08</v>
      </c>
      <c r="L177" s="1033" t="str">
        <f>IF(B19="","",B19)</f>
        <v>BR01-09</v>
      </c>
      <c r="M177" s="307"/>
      <c r="N177" s="1085"/>
      <c r="O177" s="1100"/>
      <c r="P177" s="1100"/>
      <c r="R177" s="312"/>
      <c r="S177" s="312"/>
    </row>
    <row r="178" spans="1:19" s="1010" customFormat="1">
      <c r="A178" s="1092"/>
      <c r="D178" s="1033" t="str">
        <f>C11</f>
        <v>[retail]</v>
      </c>
      <c r="E178" s="1033" t="str">
        <f>C12</f>
        <v>[retail]</v>
      </c>
      <c r="F178" s="1033" t="str">
        <f>C13</f>
        <v>[retail]</v>
      </c>
      <c r="G178" s="1033" t="str">
        <f>C14</f>
        <v>[retail]</v>
      </c>
      <c r="H178" s="1033" t="str">
        <f>C15</f>
        <v>[retail]</v>
      </c>
      <c r="I178" s="1033" t="str">
        <f>C16</f>
        <v>[retail]</v>
      </c>
      <c r="J178" s="1033" t="str">
        <f>C17</f>
        <v>[wholesale]</v>
      </c>
      <c r="K178" s="1033" t="str">
        <f>C18</f>
        <v>[wholesale]</v>
      </c>
      <c r="L178" s="1033" t="str">
        <f>C19</f>
        <v>[retail]</v>
      </c>
      <c r="M178" s="307"/>
      <c r="N178" s="1085"/>
      <c r="O178" s="1100"/>
      <c r="P178" s="1100"/>
      <c r="R178" s="312"/>
      <c r="S178" s="312"/>
    </row>
    <row r="179" spans="1:19" s="1010" customFormat="1">
      <c r="A179" s="1092"/>
      <c r="B179" s="1101" t="s">
        <v>35</v>
      </c>
      <c r="C179" s="1077" t="s">
        <v>47</v>
      </c>
      <c r="D179" s="1082">
        <f>IF(VLOOKUP(D177,ProductsRangeOper,3,FALSE)="Special Offer",SpecialOffero(D177,1,"FY-1"),MIN(D56,D71*capacity))</f>
        <v>334.20498244440734</v>
      </c>
      <c r="E179" s="1082">
        <f>IF(VLOOKUP(E177,ProductsRangeOper,3,FALSE)="Special Offer",SpecialOffero(E177,1,"FY-1"),MIN(E56,E71*capacity))</f>
        <v>411.41148047999997</v>
      </c>
      <c r="F179" s="1082">
        <f>IF(VLOOKUP(F177,ProductsRangeOper,3,FALSE)="Special Offer",SpecialOffero(F177,1,"FY-1"),MIN(F56,F71*capacity))</f>
        <v>0</v>
      </c>
      <c r="G179" s="1082">
        <f>IF(VLOOKUP(G177,ProductsRangeOper,3,FALSE)="Special Offer",SpecialOffero(G177,1,"FY-1"),MIN(G56,G71*capacity))</f>
        <v>0</v>
      </c>
      <c r="H179" s="1082">
        <f>IF(VLOOKUP(H177,ProductsRangeOper,3,FALSE)="Special Offer",SpecialOffero(H177,1,"FY-1"),MIN(H56,H71*capacity))</f>
        <v>1240</v>
      </c>
      <c r="I179" s="1082">
        <f>IF(VLOOKUP(I177,ProductsRangeOper,3,FALSE)="Special Offer",SpecialOffero(I177,1,"FY-1"),MIN(I56,I71*capacity))</f>
        <v>1240</v>
      </c>
      <c r="J179" s="1082">
        <f>IF(VLOOKUP(J177,ProductsRangeOper,3,FALSE)="Special Offer",SpecialOffero(J177,1,"FY-1"),MIN(J56,J71*capacity))</f>
        <v>2145.7950175555925</v>
      </c>
      <c r="K179" s="1082">
        <f>IF(VLOOKUP(K177,ProductsRangeOper,3,FALSE)="Special Offer",SpecialOffero(K177,1,"FY-1"),MIN(K56,K71*capacity))</f>
        <v>3228.508206</v>
      </c>
      <c r="L179" s="1082">
        <f>IF(VLOOKUP(L177,ProductsRangeOper,3,FALSE)="Special Offer",SpecialOffero(L177,1,"FY-1"),MIN(L56,L71*capacity))</f>
        <v>80.080313520000345</v>
      </c>
      <c r="M179" s="307"/>
      <c r="N179" s="1085"/>
      <c r="O179" s="1100"/>
      <c r="P179" s="1100"/>
      <c r="R179" s="312"/>
      <c r="S179" s="312"/>
    </row>
    <row r="180" spans="1:19" s="1010" customFormat="1">
      <c r="A180" s="1092"/>
      <c r="B180" s="1101" t="s">
        <v>35</v>
      </c>
      <c r="C180" s="1077" t="s">
        <v>46</v>
      </c>
      <c r="D180" s="1082">
        <f>IF(VLOOKUP(D177,ProductsRangeOper,3,FALSE)="Special Offer",SpecialOffero(D177,7,"FY-1"),MIN(D57,D72*capacity))</f>
        <v>334.20498244440734</v>
      </c>
      <c r="E180" s="1082">
        <f>IF(VLOOKUP(E177,ProductsRangeOper,3,FALSE)="Special Offer",SpecialOffero(E177,7,"FY-1"),MIN(E57,E72*capacity))</f>
        <v>411.41148047999997</v>
      </c>
      <c r="F180" s="1082">
        <f>IF(VLOOKUP(F177,ProductsRangeOper,3,FALSE)="Special Offer",SpecialOffero(F177,7,"FY-1"),MIN(F57,F72*capacity))</f>
        <v>0</v>
      </c>
      <c r="G180" s="1082">
        <f>IF(VLOOKUP(G177,ProductsRangeOper,3,FALSE)="Special Offer",SpecialOffero(G177,7,"FY-1"),MIN(G57,G72*capacity))</f>
        <v>0</v>
      </c>
      <c r="H180" s="1082">
        <f>IF(VLOOKUP(H177,ProductsRangeOper,3,FALSE)="Special Offer",SpecialOffero(H177,7,"FY-1"),MIN(H57,H72*capacity))</f>
        <v>812.27394863999996</v>
      </c>
      <c r="I180" s="1082">
        <f>IF(VLOOKUP(I177,ProductsRangeOper,3,FALSE)="Special Offer",SpecialOffero(I177,7,"FY-1"),MIN(I57,I72*capacity))</f>
        <v>928.3130841599999</v>
      </c>
      <c r="J180" s="1082">
        <f>IF(VLOOKUP(J177,ProductsRangeOper,3,FALSE)="Special Offer",SpecialOffero(J177,7,"FY-1"),MIN(J57,J72*capacity))</f>
        <v>2145.7950175555925</v>
      </c>
      <c r="K180" s="1082">
        <f>IF(VLOOKUP(K177,ProductsRangeOper,3,FALSE)="Special Offer",SpecialOffero(K177,7,"FY-1"),MIN(K57,K72*capacity))</f>
        <v>3228.508206</v>
      </c>
      <c r="L180" s="1082">
        <f>IF(VLOOKUP(L177,ProductsRangeOper,3,FALSE)="Special Offer",SpecialOffero(L177,7,"FY-1"),MIN(L57,L72*capacity))</f>
        <v>782.59112127999833</v>
      </c>
      <c r="M180" s="307"/>
      <c r="N180" s="1085"/>
      <c r="O180" s="1100"/>
      <c r="P180" s="1100"/>
      <c r="R180" s="312"/>
      <c r="S180" s="312"/>
    </row>
    <row r="181" spans="1:19" s="1010" customFormat="1">
      <c r="A181" s="1092"/>
      <c r="B181" s="1101" t="s">
        <v>35</v>
      </c>
      <c r="C181" s="1078" t="s">
        <v>45</v>
      </c>
      <c r="D181" s="1082">
        <f>IF(VLOOKUP(D177,ProductsRangeOper,3,FALSE)="Special Offer",SpecialOffero(D177,3,"FY-1"),MIN(D58,D73*capacity))</f>
        <v>411.41148047999997</v>
      </c>
      <c r="E181" s="1082">
        <f>IF(VLOOKUP(E177,ProductsRangeOper,3,FALSE)="Special Offer",SpecialOffero(E177,3,"FY-1"),MIN(E58,E73*capacity))</f>
        <v>357.11291090995718</v>
      </c>
      <c r="F181" s="1082">
        <f>IF(VLOOKUP(F177,ProductsRangeOper,3,FALSE)="Special Offer",SpecialOffero(F177,3,"FY-1"),MIN(F58,F73*capacity))</f>
        <v>0</v>
      </c>
      <c r="G181" s="1082">
        <f>IF(VLOOKUP(G177,ProductsRangeOper,3,FALSE)="Special Offer",SpecialOffero(G177,3,"FY-1"),MIN(G58,G73*capacity))</f>
        <v>0</v>
      </c>
      <c r="H181" s="1082">
        <f>IF(VLOOKUP(H177,ProductsRangeOper,3,FALSE)="Special Offer",SpecialOffero(H177,3,"FY-1"),MIN(H58,H73*capacity))</f>
        <v>812.27394863999996</v>
      </c>
      <c r="I181" s="1082">
        <f>IF(VLOOKUP(I177,ProductsRangeOper,3,FALSE)="Special Offer",SpecialOffero(I177,3,"FY-1"),MIN(I58,I73*capacity))</f>
        <v>759.52888703999997</v>
      </c>
      <c r="J181" s="1082">
        <f>IF(VLOOKUP(J177,ProductsRangeOper,3,FALSE)="Special Offer",SpecialOffero(J177,3,"FY-1"),MIN(J58,J73*capacity))</f>
        <v>3169.8080567999996</v>
      </c>
      <c r="K181" s="1082">
        <f>IF(VLOOKUP(K177,ProductsRangeOper,3,FALSE)="Special Offer",SpecialOffero(K177,3,"FY-1"),MIN(K58,K73*capacity))</f>
        <v>3362.887089090043</v>
      </c>
      <c r="L181" s="1082">
        <f>IF(VLOOKUP(L177,ProductsRangeOper,3,FALSE)="Special Offer",SpecialOffero(L177,3,"FY-1"),MIN(L58,L73*capacity))</f>
        <v>1046.9776270399998</v>
      </c>
      <c r="M181" s="307"/>
      <c r="N181" s="1085"/>
      <c r="O181" s="1100"/>
      <c r="P181" s="1100"/>
      <c r="R181" s="312"/>
      <c r="S181" s="312"/>
    </row>
    <row r="182" spans="1:19" s="1010" customFormat="1">
      <c r="A182" s="1092"/>
      <c r="B182" s="1101" t="s">
        <v>35</v>
      </c>
      <c r="C182" s="1078" t="s">
        <v>44</v>
      </c>
      <c r="D182" s="1082">
        <f>IF(VLOOKUP(D177,ProductsRangeOper,3,FALSE)="Special Offer",SpecialOffero(D177,4,"FY-1"),MIN(D59,D74*capacity))</f>
        <v>372.41584896286179</v>
      </c>
      <c r="E182" s="1082">
        <f>IF(VLOOKUP(E177,ProductsRangeOper,3,FALSE)="Special Offer",SpecialOffero(E177,4,"FY-1"),MIN(E59,E74*capacity))</f>
        <v>476.15054787994279</v>
      </c>
      <c r="F182" s="1082">
        <f>IF(VLOOKUP(F177,ProductsRangeOper,3,FALSE)="Special Offer",SpecialOffero(F177,4,"FY-1"),MIN(F59,F74*capacity))</f>
        <v>0</v>
      </c>
      <c r="G182" s="1082">
        <f>IF(VLOOKUP(G177,ProductsRangeOper,3,FALSE)="Special Offer",SpecialOffero(G177,4,"FY-1"),MIN(G59,G74*capacity))</f>
        <v>701.50931928</v>
      </c>
      <c r="H182" s="1082">
        <f>IF(VLOOKUP(H177,ProductsRangeOper,3,FALSE)="Special Offer",SpecialOffero(H177,4,"FY-1"),MIN(H59,H74*capacity))</f>
        <v>812.27394863999996</v>
      </c>
      <c r="I182" s="1082">
        <f>IF(VLOOKUP(I177,ProductsRangeOper,3,FALSE)="Special Offer",SpecialOffero(I177,4,"FY-1"),MIN(I59,I74*capacity))</f>
        <v>0</v>
      </c>
      <c r="J182" s="1082">
        <f>IF(VLOOKUP(J177,ProductsRangeOper,3,FALSE)="Special Offer",SpecialOffero(J177,4,"FY-1"),MIN(J59,J74*capacity))</f>
        <v>3347.5841510371383</v>
      </c>
      <c r="K182" s="1082">
        <f>IF(VLOOKUP(K177,ProductsRangeOper,3,FALSE)="Special Offer",SpecialOffero(K177,4,"FY-1"),MIN(K59,K74*capacity))</f>
        <v>4483.8494521200573</v>
      </c>
      <c r="L182" s="1082">
        <f>IF(VLOOKUP(L177,ProductsRangeOper,3,FALSE)="Special Offer",SpecialOffero(L177,4,"FY-1"),MIN(L59,L74*capacity))</f>
        <v>966.21673207999993</v>
      </c>
      <c r="M182" s="307"/>
      <c r="N182" s="1085"/>
      <c r="O182" s="1100"/>
      <c r="P182" s="1100"/>
      <c r="R182" s="312"/>
      <c r="S182" s="312"/>
    </row>
    <row r="183" spans="1:19" s="1010" customFormat="1">
      <c r="A183" s="1092"/>
      <c r="B183" s="1101" t="s">
        <v>35</v>
      </c>
      <c r="C183" s="1078" t="s">
        <v>43</v>
      </c>
      <c r="D183" s="1082">
        <f>IF(VLOOKUP(D177,ProductsRangeOper,3,FALSE)="Special Offer",SpecialOffero(D177,5,"FY-1"),MIN(D60,D75*capacity))</f>
        <v>548.54864063999992</v>
      </c>
      <c r="E183" s="1082">
        <f>IF(VLOOKUP(E177,ProductsRangeOper,3,FALSE)="Special Offer",SpecialOffero(E177,5,"FY-1"),MIN(E60,E75*capacity))</f>
        <v>476.15054787994285</v>
      </c>
      <c r="F183" s="1082">
        <f>IF(VLOOKUP(F177,ProductsRangeOper,3,FALSE)="Special Offer",SpecialOffero(F177,5,"FY-1"),MIN(F60,F75*capacity))</f>
        <v>717.33283775999996</v>
      </c>
      <c r="G183" s="1082">
        <f>IF(VLOOKUP(G177,ProductsRangeOper,3,FALSE)="Special Offer",SpecialOffero(G177,5,"FY-1"),MIN(G60,G75*capacity))</f>
        <v>801.72493631999998</v>
      </c>
      <c r="H183" s="1082">
        <f>IF(VLOOKUP(H177,ProductsRangeOper,3,FALSE)="Special Offer",SpecialOffero(H177,5,"FY-1"),MIN(H60,H75*capacity))</f>
        <v>0</v>
      </c>
      <c r="I183" s="1082">
        <f>IF(VLOOKUP(I177,ProductsRangeOper,3,FALSE)="Special Offer",SpecialOffero(I177,5,"FY-1"),MIN(I60,I75*capacity))</f>
        <v>0</v>
      </c>
      <c r="J183" s="1082">
        <f>IF(VLOOKUP(J177,ProductsRangeOper,3,FALSE)="Special Offer",SpecialOffero(J177,5,"FY-1"),MIN(J60,J75*capacity))</f>
        <v>4226.4107423999994</v>
      </c>
      <c r="K183" s="1082">
        <f>IF(VLOOKUP(K177,ProductsRangeOper,3,FALSE)="Special Offer",SpecialOffero(K177,5,"FY-1"),MIN(K60,K75*capacity))</f>
        <v>4483.8494521200573</v>
      </c>
      <c r="L183" s="1082">
        <f>IF(VLOOKUP(L177,ProductsRangeOper,3,FALSE)="Special Offer",SpecialOffero(L177,5,"FY-1"),MIN(L60,L75*capacity))</f>
        <v>1145.982842880001</v>
      </c>
      <c r="M183" s="307"/>
      <c r="N183" s="1085"/>
      <c r="O183" s="1100"/>
      <c r="P183" s="1100"/>
      <c r="R183" s="312"/>
      <c r="S183" s="312"/>
    </row>
    <row r="184" spans="1:19" s="1010" customFormat="1">
      <c r="A184" s="1092"/>
      <c r="B184" s="1101" t="s">
        <v>35</v>
      </c>
      <c r="C184" s="1078" t="s">
        <v>42</v>
      </c>
      <c r="D184" s="1082">
        <f>IF(VLOOKUP(D177,ProductsRangeOper,3,FALSE)="Special Offer",SpecialOffero(D177,6,"FY-1"),MIN(D61,D76*capacity))</f>
        <v>712.25769669327246</v>
      </c>
      <c r="E184" s="1082">
        <f>IF(VLOOKUP(E177,ProductsRangeOper,3,FALSE)="Special Offer",SpecialOffero(E177,6,"FY-1"),MIN(E61,E76*capacity))</f>
        <v>754.25438087999987</v>
      </c>
      <c r="F184" s="1082">
        <f>IF(VLOOKUP(F177,ProductsRangeOper,3,FALSE)="Special Offer",SpecialOffero(F177,6,"FY-1"),MIN(F61,F76*capacity))</f>
        <v>717.33283775999996</v>
      </c>
      <c r="G184" s="1082">
        <f>IF(VLOOKUP(G177,ProductsRangeOper,3,FALSE)="Special Offer",SpecialOffero(G177,6,"FY-1"),MIN(G61,G76*capacity))</f>
        <v>1240</v>
      </c>
      <c r="H184" s="1082">
        <f>IF(VLOOKUP(H177,ProductsRangeOper,3,FALSE)="Special Offer",SpecialOffero(H177,6,"FY-1"),MIN(H61,H76*capacity))</f>
        <v>0</v>
      </c>
      <c r="I184" s="1082">
        <f>IF(VLOOKUP(I177,ProductsRangeOper,3,FALSE)="Special Offer",SpecialOffero(I177,6,"FY-1"),MIN(I61,I76*capacity))</f>
        <v>0</v>
      </c>
      <c r="J184" s="1082">
        <f>IF(VLOOKUP(J177,ProductsRangeOper,3,FALSE)="Special Offer",SpecialOffero(J177,6,"FY-1"),MIN(J61,J76*capacity))</f>
        <v>5487.742303306728</v>
      </c>
      <c r="K184" s="1082">
        <f>IF(VLOOKUP(K177,ProductsRangeOper,3,FALSE)="Special Offer",SpecialOffero(K177,6,"FY-1"),MIN(K61,K76*capacity))</f>
        <v>6457.0164119999999</v>
      </c>
      <c r="L184" s="1082">
        <f>IF(VLOOKUP(L177,ProductsRangeOper,3,FALSE)="Special Offer",SpecialOffero(L177,6,"FY-1"),MIN(L61,L76*capacity))</f>
        <v>751.39636935999806</v>
      </c>
      <c r="M184" s="307"/>
      <c r="N184" s="1085"/>
      <c r="O184" s="1100"/>
      <c r="P184" s="1100"/>
      <c r="R184" s="312"/>
      <c r="S184" s="312"/>
    </row>
    <row r="185" spans="1:19" s="1010" customFormat="1">
      <c r="A185" s="1092"/>
      <c r="B185" s="1101" t="s">
        <v>35</v>
      </c>
      <c r="C185" s="1078" t="s">
        <v>41</v>
      </c>
      <c r="D185" s="1082">
        <f>IF(VLOOKUP(D177,ProductsRangeOper,3,FALSE)="Special Offer",SpecialOffero(D177,7,"FY-1"),MIN(D62,D77*capacity))</f>
        <v>712.25769669327246</v>
      </c>
      <c r="E185" s="1082">
        <f>IF(VLOOKUP(E177,ProductsRangeOper,3,FALSE)="Special Offer",SpecialOffero(E177,7,"FY-1"),MIN(E62,E77*capacity))</f>
        <v>772.41450376763066</v>
      </c>
      <c r="F185" s="1082">
        <f>IF(VLOOKUP(F177,ProductsRangeOper,3,FALSE)="Special Offer",SpecialOffero(F177,7,"FY-1"),MIN(F62,F77*capacity))</f>
        <v>1972.66530384</v>
      </c>
      <c r="G185" s="1082">
        <f>IF(VLOOKUP(G177,ProductsRangeOper,3,FALSE)="Special Offer",SpecialOffero(G177,7,"FY-1"),MIN(G62,G77*capacity))</f>
        <v>2204.7435748799999</v>
      </c>
      <c r="H185" s="1082">
        <f>IF(VLOOKUP(H177,ProductsRangeOper,3,FALSE)="Special Offer",SpecialOffero(H177,7,"FY-1"),MIN(H62,H77*capacity))</f>
        <v>0</v>
      </c>
      <c r="I185" s="1082">
        <f>IF(VLOOKUP(I177,ProductsRangeOper,3,FALSE)="Special Offer",SpecialOffero(I177,7,"FY-1"),MIN(I62,I77*capacity))</f>
        <v>0</v>
      </c>
      <c r="J185" s="1082">
        <f>IF(VLOOKUP(J177,ProductsRangeOper,3,FALSE)="Special Offer",SpecialOffero(J177,7,"FY-1"),MIN(J62,J77*capacity))</f>
        <v>5487.742303306728</v>
      </c>
      <c r="K185" s="1082">
        <f>IF(VLOOKUP(K177,ProductsRangeOper,3,FALSE)="Special Offer",SpecialOffero(K177,7,"FY-1"),MIN(K62,K77*capacity))</f>
        <v>6667.5854962323692</v>
      </c>
      <c r="L185" s="1082">
        <f>IF(VLOOKUP(L177,ProductsRangeOper,3,FALSE)="Special Offer",SpecialOffero(L177,7,"FY-1"),MIN(L62,L77*capacity))</f>
        <v>782.59112127999833</v>
      </c>
      <c r="M185" s="307"/>
      <c r="N185" s="1085"/>
      <c r="O185" s="1100"/>
      <c r="P185" s="1100"/>
      <c r="R185" s="312"/>
      <c r="S185" s="312"/>
    </row>
    <row r="186" spans="1:19" s="1010" customFormat="1">
      <c r="A186" s="1092"/>
      <c r="B186" s="1101" t="s">
        <v>35</v>
      </c>
      <c r="C186" s="1078" t="s">
        <v>40</v>
      </c>
      <c r="D186" s="1082">
        <f>IF(VLOOKUP(D177,ProductsRangeOper,3,FALSE)="Special Offer",SpecialOffero(D177,8,"FY-1"),MIN(D63,D78*capacity))</f>
        <v>712.25769669327246</v>
      </c>
      <c r="E186" s="1082">
        <f>IF(VLOOKUP(E177,ProductsRangeOper,3,FALSE)="Special Offer",SpecialOffero(E177,8,"FY-1"),MIN(E63,E78*capacity))</f>
        <v>754.25438087999987</v>
      </c>
      <c r="F186" s="1082">
        <f>IF(VLOOKUP(F177,ProductsRangeOper,3,FALSE)="Special Offer",SpecialOffero(F177,8,"FY-1"),MIN(F63,F78*capacity))</f>
        <v>1075.9992566399999</v>
      </c>
      <c r="G186" s="1082">
        <f>IF(VLOOKUP(G177,ProductsRangeOper,3,FALSE)="Special Offer",SpecialOffero(G177,8,"FY-1"),MIN(G63,G78*capacity))</f>
        <v>2204.7435748799999</v>
      </c>
      <c r="H186" s="1082">
        <f>IF(VLOOKUP(H177,ProductsRangeOper,3,FALSE)="Special Offer",SpecialOffero(H177,8,"FY-1"),MIN(H63,H78*capacity))</f>
        <v>812.27394863999996</v>
      </c>
      <c r="I186" s="1082">
        <f>IF(VLOOKUP(I177,ProductsRangeOper,3,FALSE)="Special Offer",SpecialOffero(I177,8,"FY-1"),MIN(I63,I78*capacity))</f>
        <v>0</v>
      </c>
      <c r="J186" s="1082">
        <f>IF(VLOOKUP(J177,ProductsRangeOper,3,FALSE)="Special Offer",SpecialOffero(J177,8,"FY-1"),MIN(J63,J78*capacity))</f>
        <v>5487.742303306728</v>
      </c>
      <c r="K186" s="1082">
        <f>IF(VLOOKUP(K177,ProductsRangeOper,3,FALSE)="Special Offer",SpecialOffero(K177,8,"FY-1"),MIN(K63,K78*capacity))</f>
        <v>7748.4196943999987</v>
      </c>
      <c r="L186" s="1082">
        <f>IF(VLOOKUP(L177,ProductsRangeOper,3,FALSE)="Special Offer",SpecialOffero(L177,8,"FY-1"),MIN(L63,L78*capacity))</f>
        <v>1044.3091445600003</v>
      </c>
      <c r="M186" s="307"/>
      <c r="N186" s="1085"/>
      <c r="O186" s="1100"/>
      <c r="P186" s="1100"/>
      <c r="R186" s="312"/>
      <c r="S186" s="312"/>
    </row>
    <row r="187" spans="1:19" s="1010" customFormat="1">
      <c r="A187" s="1091"/>
      <c r="B187" s="1101" t="s">
        <v>35</v>
      </c>
      <c r="C187" s="1078" t="s">
        <v>39</v>
      </c>
      <c r="D187" s="1082">
        <f>IF(VLOOKUP(D177,ProductsRangeOper,3,FALSE)="Special Offer",SpecialOffero(D177,9,"FY-1"),MIN(D64,D79*capacity))</f>
        <v>685.68580079999992</v>
      </c>
      <c r="E187" s="1082">
        <f>IF(VLOOKUP(E177,ProductsRangeOper,3,FALSE)="Special Offer",SpecialOffero(E177,9,"FY-1"),MIN(E64,E79*capacity))</f>
        <v>685.68580079999992</v>
      </c>
      <c r="F187" s="1082">
        <f>IF(VLOOKUP(F177,ProductsRangeOper,3,FALSE)="Special Offer",SpecialOffero(F177,9,"FY-1"),MIN(F64,F79*capacity))</f>
        <v>1075.9992566399999</v>
      </c>
      <c r="G187" s="1082">
        <f>IF(VLOOKUP(G177,ProductsRangeOper,3,FALSE)="Special Offer",SpecialOffero(G177,9,"FY-1"),MIN(G64,G79*capacity))</f>
        <v>1240</v>
      </c>
      <c r="H187" s="1082">
        <f>IF(VLOOKUP(H177,ProductsRangeOper,3,FALSE)="Special Offer",SpecialOffero(H177,9,"FY-1"),MIN(H64,H79*capacity))</f>
        <v>928.3130841599999</v>
      </c>
      <c r="I187" s="1082">
        <f>IF(VLOOKUP(I177,ProductsRangeOper,3,FALSE)="Special Offer",SpecialOffero(I177,9,"FY-1"),MIN(I64,I79*capacity))</f>
        <v>0</v>
      </c>
      <c r="J187" s="1082">
        <f>IF(VLOOKUP(J177,ProductsRangeOper,3,FALSE)="Special Offer",SpecialOffero(J177,9,"FY-1"),MIN(J64,J79*capacity))</f>
        <v>5283.0134279999993</v>
      </c>
      <c r="K187" s="1082">
        <f>IF(VLOOKUP(K177,ProductsRangeOper,3,FALSE)="Special Offer",SpecialOffero(K177,9,"FY-1"),MIN(K64,K79*capacity))</f>
        <v>7748.4196943999987</v>
      </c>
      <c r="L187" s="1082">
        <f>IF(VLOOKUP(L177,ProductsRangeOper,3,FALSE)="Special Offer",SpecialOffero(L177,9,"FY-1"),MIN(L64,L79*capacity))</f>
        <v>952.88293520000298</v>
      </c>
      <c r="M187" s="307"/>
      <c r="N187" s="1085"/>
      <c r="O187" s="1100"/>
      <c r="P187" s="1100"/>
      <c r="R187" s="312"/>
      <c r="S187" s="312"/>
    </row>
    <row r="188" spans="1:19" s="1010" customFormat="1">
      <c r="A188" s="1091"/>
      <c r="B188" s="1101" t="s">
        <v>35</v>
      </c>
      <c r="C188" s="1078" t="s">
        <v>38</v>
      </c>
      <c r="D188" s="1082">
        <f>IF(VLOOKUP(D177,ProductsRangeOper,3,FALSE)="Special Offer",SpecialOffero(D177,10,"FY-1"),MIN(D65,D80*capacity))</f>
        <v>625.13838936669276</v>
      </c>
      <c r="E188" s="1082">
        <f>IF(VLOOKUP(E177,ProductsRangeOper,3,FALSE)="Special Offer",SpecialOffero(E177,10,"FY-1"),MIN(E65,E80*capacity))</f>
        <v>655.01256144183503</v>
      </c>
      <c r="F188" s="1082">
        <f>IF(VLOOKUP(F177,ProductsRangeOper,3,FALSE)="Special Offer",SpecialOffero(F177,10,"FY-1"),MIN(F65,F80*capacity))</f>
        <v>986.33265191999999</v>
      </c>
      <c r="G188" s="1082">
        <f>IF(VLOOKUP(G177,ProductsRangeOper,3,FALSE)="Special Offer",SpecialOffero(G177,10,"FY-1"),MIN(G65,G80*capacity))</f>
        <v>0</v>
      </c>
      <c r="H188" s="1082">
        <f>IF(VLOOKUP(H177,ProductsRangeOper,3,FALSE)="Special Offer",SpecialOffero(H177,10,"FY-1"),MIN(H65,H80*capacity))</f>
        <v>1240</v>
      </c>
      <c r="I188" s="1082">
        <f>IF(VLOOKUP(I177,ProductsRangeOper,3,FALSE)="Special Offer",SpecialOffero(I177,10,"FY-1"),MIN(I65,I80*capacity))</f>
        <v>928.3130841599999</v>
      </c>
      <c r="J188" s="1082">
        <f>IF(VLOOKUP(J177,ProductsRangeOper,3,FALSE)="Special Offer",SpecialOffero(J177,10,"FY-1"),MIN(J65,J80*capacity))</f>
        <v>4334.8616106333075</v>
      </c>
      <c r="K188" s="1082">
        <f>IF(VLOOKUP(K177,ProductsRangeOper,3,FALSE)="Special Offer",SpecialOffero(K177,10,"FY-1"),MIN(K65,K80*capacity))</f>
        <v>6784.9874385581652</v>
      </c>
      <c r="L188" s="1082">
        <f>IF(VLOOKUP(L177,ProductsRangeOper,3,FALSE)="Special Offer",SpecialOffero(L177,10,"FY-1"),MIN(L65,L80*capacity))</f>
        <v>565.35426391999863</v>
      </c>
      <c r="M188" s="307"/>
      <c r="O188" s="1086"/>
      <c r="P188" s="1086"/>
      <c r="R188" s="1086"/>
      <c r="S188" s="1086"/>
    </row>
    <row r="189" spans="1:19" s="1010" customFormat="1">
      <c r="A189" s="1087"/>
      <c r="B189" s="1101" t="s">
        <v>35</v>
      </c>
      <c r="C189" s="1078" t="s">
        <v>37</v>
      </c>
      <c r="D189" s="1082">
        <f>IF(VLOOKUP(D177,ProductsRangeOper,3,FALSE)="Special Offer",SpecialOffero(D177,11,"FY-1"),MIN(D66,D81*capacity))</f>
        <v>372.41584896286179</v>
      </c>
      <c r="E189" s="1082">
        <f>IF(VLOOKUP(E177,ProductsRangeOper,3,FALSE)="Special Offer",SpecialOffero(E177,11,"FY-1"),MIN(E66,E81*capacity))</f>
        <v>411.41148047999997</v>
      </c>
      <c r="F189" s="1082">
        <f>IF(VLOOKUP(F177,ProductsRangeOper,3,FALSE)="Special Offer",SpecialOffero(F177,11,"FY-1"),MIN(F66,F81*capacity))</f>
        <v>0</v>
      </c>
      <c r="G189" s="1082">
        <f>IF(VLOOKUP(G177,ProductsRangeOper,3,FALSE)="Special Offer",SpecialOffero(G177,11,"FY-1"),MIN(G66,G81*capacity))</f>
        <v>0</v>
      </c>
      <c r="H189" s="1082">
        <f>IF(VLOOKUP(H177,ProductsRangeOper,3,FALSE)="Special Offer",SpecialOffero(H177,11,"FY-1"),MIN(H66,H81*capacity))</f>
        <v>1240</v>
      </c>
      <c r="I189" s="1082">
        <f>IF(VLOOKUP(I177,ProductsRangeOper,3,FALSE)="Special Offer",SpecialOffero(I177,11,"FY-1"),MIN(I66,I81*capacity))</f>
        <v>1012.7051827199999</v>
      </c>
      <c r="J189" s="1082">
        <f>IF(VLOOKUP(J177,ProductsRangeOper,3,FALSE)="Special Offer",SpecialOffero(J177,11,"FY-1"),MIN(J66,J81*capacity))</f>
        <v>3347.5841510371383</v>
      </c>
      <c r="K189" s="1082">
        <f>IF(VLOOKUP(K177,ProductsRangeOper,3,FALSE)="Special Offer",SpecialOffero(K177,11,"FY-1"),MIN(K66,K81*capacity))</f>
        <v>4519.9114884000001</v>
      </c>
      <c r="L189" s="1082">
        <f>IF(VLOOKUP(L177,ProductsRangeOper,3,FALSE)="Special Offer",SpecialOffero(L177,11,"FY-1"),MIN(L66,L81*capacity))</f>
        <v>255.97184840000045</v>
      </c>
      <c r="M189" s="307"/>
      <c r="O189" s="1086"/>
      <c r="P189" s="1086"/>
      <c r="R189" s="1086"/>
      <c r="S189" s="1086"/>
    </row>
    <row r="190" spans="1:19" s="1010" customFormat="1">
      <c r="A190" s="1087"/>
      <c r="B190" s="1101" t="s">
        <v>35</v>
      </c>
      <c r="C190" s="1078" t="s">
        <v>36</v>
      </c>
      <c r="D190" s="1082">
        <f>IF(VLOOKUP(D177,ProductsRangeOper,3,FALSE)="Special Offer",SpecialOffero(D177,12,"FY-1"),MIN(D67,D82*capacity))</f>
        <v>372.41584896286179</v>
      </c>
      <c r="E190" s="1082">
        <f>IF(VLOOKUP(E177,ProductsRangeOper,3,FALSE)="Special Offer",SpecialOffero(E177,12,"FY-1"),MIN(E67,E82*capacity))</f>
        <v>410.07072799030914</v>
      </c>
      <c r="F190" s="1082">
        <f>IF(VLOOKUP(F177,ProductsRangeOper,3,FALSE)="Special Offer",SpecialOffero(F177,12,"FY-1"),MIN(F67,F82*capacity))</f>
        <v>0</v>
      </c>
      <c r="G190" s="1082">
        <f>IF(VLOOKUP(G177,ProductsRangeOper,3,FALSE)="Special Offer",SpecialOffero(G177,12,"FY-1"),MIN(G67,G82*capacity))</f>
        <v>0</v>
      </c>
      <c r="H190" s="1082">
        <f>IF(VLOOKUP(H177,ProductsRangeOper,3,FALSE)="Special Offer",SpecialOffero(H177,12,"FY-1"),MIN(H67,H82*capacity))</f>
        <v>1240</v>
      </c>
      <c r="I190" s="1082">
        <f>IF(VLOOKUP(I177,ProductsRangeOper,3,FALSE)="Special Offer",SpecialOffero(I177,12,"FY-1"),MIN(I67,I82*capacity))</f>
        <v>1240</v>
      </c>
      <c r="J190" s="1082">
        <f>IF(VLOOKUP(J177,ProductsRangeOper,3,FALSE)="Special Offer",SpecialOffero(J177,12,"FY-1"),MIN(J67,J82*capacity))</f>
        <v>3347.5841510371383</v>
      </c>
      <c r="K190" s="1082">
        <f>IF(VLOOKUP(K177,ProductsRangeOper,3,FALSE)="Special Offer",SpecialOffero(K177,12,"FY-1"),MIN(K67,K82*capacity))</f>
        <v>3309.929272009691</v>
      </c>
      <c r="L190" s="1082">
        <f>IF(VLOOKUP(L177,ProductsRangeOper,3,FALSE)="Special Offer",SpecialOffero(L177,12,"FY-1"),MIN(L67,L82*capacity))</f>
        <v>0</v>
      </c>
      <c r="M190" s="1082"/>
      <c r="O190" s="1086"/>
      <c r="P190" s="1086"/>
      <c r="R190" s="1086"/>
      <c r="S190" s="1086"/>
    </row>
    <row r="191" spans="1:19" s="1010" customFormat="1">
      <c r="A191" s="1087"/>
      <c r="B191" s="1101" t="s">
        <v>34</v>
      </c>
      <c r="C191" s="1077" t="s">
        <v>47</v>
      </c>
      <c r="D191" s="1082">
        <f>IF(VLOOKUP(D177,ProductsRangeOper,3,FALSE)="Special Offer",SpecialOffero(D177,1,"FY-2"),MIN(D101,D116*capacity))</f>
        <v>0</v>
      </c>
      <c r="E191" s="1082">
        <f>IF(VLOOKUP(E177,ProductsRangeOper,3,FALSE)="Special Offer",SpecialOffero(E177,1,"FY-2"),MIN(E101,E116*capacity))</f>
        <v>383.56792144026178</v>
      </c>
      <c r="F191" s="1082">
        <f>IF(VLOOKUP(F177,ProductsRangeOper,3,FALSE)="Special Offer",SpecialOffero(F177,1,"FY-2"),MIN(F101,F116*capacity))</f>
        <v>0</v>
      </c>
      <c r="G191" s="1082">
        <f>IF(VLOOKUP(G177,ProductsRangeOper,3,FALSE)="Special Offer",SpecialOffero(G177,1,"FY-2"),MIN(G101,G116*capacity))</f>
        <v>0</v>
      </c>
      <c r="H191" s="1082">
        <f>IF(VLOOKUP(H177,ProductsRangeOper,3,FALSE)="Special Offer",SpecialOffero(H177,1,"FY-2"),MIN(H101,H116*capacity))</f>
        <v>1240</v>
      </c>
      <c r="I191" s="1082">
        <f>IF(VLOOKUP(I177,ProductsRangeOper,3,FALSE)="Special Offer",SpecialOffero(I177,1,"FY-2"),MIN(I101,I116*capacity))</f>
        <v>1240</v>
      </c>
      <c r="J191" s="1082">
        <f>IF(VLOOKUP(J177,ProductsRangeOper,3,FALSE)="Special Offer",SpecialOffero(J177,1,"FY-2"),MIN(J101,J116*capacity))</f>
        <v>0</v>
      </c>
      <c r="K191" s="1082">
        <f>IF(VLOOKUP(K177,ProductsRangeOper,3,FALSE)="Special Offer",SpecialOffero(K177,1,"FY-2"),MIN(K101,K116*capacity))</f>
        <v>3336.4320785597379</v>
      </c>
      <c r="L191" s="1082">
        <f>IF(VLOOKUP(L177,ProductsRangeOper,3,FALSE)="Special Offer",SpecialOffero(L177,1,"FY-2"),MIN(L101,L116*capacity))</f>
        <v>0</v>
      </c>
      <c r="M191" s="1082"/>
      <c r="O191" s="1086"/>
      <c r="P191" s="1086"/>
      <c r="R191" s="1086"/>
      <c r="S191" s="1086"/>
    </row>
    <row r="192" spans="1:19" s="1010" customFormat="1">
      <c r="A192" s="1092"/>
      <c r="B192" s="1101" t="s">
        <v>34</v>
      </c>
      <c r="C192" s="1077" t="s">
        <v>46</v>
      </c>
      <c r="D192" s="1082">
        <f>IF(VLOOKUP(D177,ProductsRangeOper,3,FALSE)="Special Offer",SpecialOffero(D177,2,"FY-2"),MIN(D102,D117*capacity))</f>
        <v>322.45118272741701</v>
      </c>
      <c r="E192" s="1082">
        <f>IF(VLOOKUP(E177,ProductsRangeOper,3,FALSE)="Special Offer",SpecialOffero(E177,2,"FY-2"),MIN(E102,E117*capacity))</f>
        <v>383.56792144026178</v>
      </c>
      <c r="F192" s="1082">
        <f>IF(VLOOKUP(F177,ProductsRangeOper,3,FALSE)="Special Offer",SpecialOffero(F177,2,"FY-2"),MIN(F102,F117*capacity))</f>
        <v>0</v>
      </c>
      <c r="G192" s="1082">
        <f>IF(VLOOKUP(G177,ProductsRangeOper,3,FALSE)="Special Offer",SpecialOffero(G177,2,"FY-2"),MIN(G102,G117*capacity))</f>
        <v>0</v>
      </c>
      <c r="H192" s="1082">
        <f>IF(VLOOKUP(H177,ProductsRangeOper,3,FALSE)="Special Offer",SpecialOffero(H177,2,"FY-2"),MIN(H102,H117*capacity))</f>
        <v>878.62515048000012</v>
      </c>
      <c r="I192" s="1082">
        <f>IF(VLOOKUP(I177,ProductsRangeOper,3,FALSE)="Special Offer",SpecialOffero(I177,2,"FY-2"),MIN(I102,I117*capacity))</f>
        <v>1004.1430291199999</v>
      </c>
      <c r="J192" s="1082">
        <f>IF(VLOOKUP(J177,ProductsRangeOper,3,FALSE)="Special Offer",SpecialOffero(J177,2,"FY-2"),MIN(J102,J117*capacity))</f>
        <v>2157.5488172725832</v>
      </c>
      <c r="K192" s="1082">
        <f>IF(VLOOKUP(K177,ProductsRangeOper,3,FALSE)="Special Offer",SpecialOffero(K177,2,"FY-2"),MIN(K102,K117*capacity))</f>
        <v>3336.4320785597379</v>
      </c>
      <c r="L192" s="1082">
        <f>IF(VLOOKUP(L177,ProductsRangeOper,3,FALSE)="Special Offer",SpecialOffero(L177,2,"FY-2"),MIN(L102,L117*capacity))</f>
        <v>597.23182040000029</v>
      </c>
      <c r="M192" s="307"/>
      <c r="N192" s="1085"/>
      <c r="O192" s="1100"/>
      <c r="P192" s="1100"/>
      <c r="R192" s="312"/>
      <c r="S192" s="312"/>
    </row>
    <row r="193" spans="1:19" s="1010" customFormat="1">
      <c r="A193" s="1092"/>
      <c r="B193" s="1101" t="s">
        <v>34</v>
      </c>
      <c r="C193" s="1078" t="s">
        <v>45</v>
      </c>
      <c r="D193" s="1082">
        <f>IF(VLOOKUP(D177,ProductsRangeOper,3,FALSE)="Special Offer",SpecialOffero(D177,3,"FY-2"),MIN(D103,D118*capacity))</f>
        <v>411.99188640973631</v>
      </c>
      <c r="E193" s="1082">
        <f>IF(VLOOKUP(E177,ProductsRangeOper,3,FALSE)="Special Offer",SpecialOffero(E177,3,"FY-2"),MIN(E103,E118*capacity))</f>
        <v>383.56792144026178</v>
      </c>
      <c r="F193" s="1082">
        <f>IF(VLOOKUP(F177,ProductsRangeOper,3,FALSE)="Special Offer",SpecialOffero(F177,3,"FY-2"),MIN(F103,F118*capacity))</f>
        <v>0</v>
      </c>
      <c r="G193" s="1082">
        <f>IF(VLOOKUP(G177,ProductsRangeOper,3,FALSE)="Special Offer",SpecialOffero(G177,3,"FY-2"),MIN(G103,G118*capacity))</f>
        <v>650.4108256799999</v>
      </c>
      <c r="H193" s="1082">
        <f>IF(VLOOKUP(H177,ProductsRangeOper,3,FALSE)="Special Offer",SpecialOffero(H177,3,"FY-2"),MIN(H103,H118*capacity))</f>
        <v>878.62515048000012</v>
      </c>
      <c r="I193" s="1082">
        <f>IF(VLOOKUP(I177,ProductsRangeOper,3,FALSE)="Special Offer",SpecialOffero(I177,3,"FY-2"),MIN(I103,I118*capacity))</f>
        <v>821.57156927999995</v>
      </c>
      <c r="J193" s="1082">
        <f>IF(VLOOKUP(J177,ProductsRangeOper,3,FALSE)="Special Offer",SpecialOffero(J177,3,"FY-2"),MIN(J103,J118*capacity))</f>
        <v>3308.0081135902637</v>
      </c>
      <c r="K193" s="1082">
        <f>IF(VLOOKUP(K177,ProductsRangeOper,3,FALSE)="Special Offer",SpecialOffero(K177,3,"FY-2"),MIN(K103,K118*capacity))</f>
        <v>3336.4320785597379</v>
      </c>
      <c r="L193" s="1082">
        <f>IF(VLOOKUP(L177,ProductsRangeOper,3,FALSE)="Special Offer",SpecialOffero(L177,3,"FY-2"),MIN(L103,L118*capacity))</f>
        <v>1369.3924545600003</v>
      </c>
      <c r="M193" s="307"/>
      <c r="N193" s="1085"/>
      <c r="O193" s="1100"/>
      <c r="P193" s="1100"/>
      <c r="R193" s="312"/>
      <c r="S193" s="312"/>
    </row>
    <row r="194" spans="1:19" s="1010" customFormat="1">
      <c r="A194" s="1092"/>
      <c r="B194" s="1101" t="s">
        <v>34</v>
      </c>
      <c r="C194" s="1078" t="s">
        <v>44</v>
      </c>
      <c r="D194" s="1082">
        <f>IF(VLOOKUP(D177,ProductsRangeOper,3,FALSE)="Special Offer",SpecialOffero(D177,4,"FY-2"),MIN(D104,D119*capacity))</f>
        <v>358.81286067600985</v>
      </c>
      <c r="E194" s="1082">
        <f>IF(VLOOKUP(E177,ProductsRangeOper,3,FALSE)="Special Offer",SpecialOffero(E177,4,"FY-2"),MIN(E104,E119*capacity))</f>
        <v>511.42389525368242</v>
      </c>
      <c r="F194" s="1082">
        <f>IF(VLOOKUP(F177,ProductsRangeOper,3,FALSE)="Special Offer",SpecialOffero(F177,4,"FY-2"),MIN(F104,F119*capacity))</f>
        <v>0</v>
      </c>
      <c r="G194" s="1082">
        <f>IF(VLOOKUP(G177,ProductsRangeOper,3,FALSE)="Special Offer",SpecialOffero(G177,4,"FY-2"),MIN(G104,G119*capacity))</f>
        <v>758.81262996000009</v>
      </c>
      <c r="H194" s="1082">
        <f>IF(VLOOKUP(H177,ProductsRangeOper,3,FALSE)="Special Offer",SpecialOffero(H177,4,"FY-2"),MIN(H104,H119*capacity))</f>
        <v>878.62515048000012</v>
      </c>
      <c r="I194" s="1082">
        <f>IF(VLOOKUP(I177,ProductsRangeOper,3,FALSE)="Special Offer",SpecialOffero(I177,4,"FY-2"),MIN(I104,I119*capacity))</f>
        <v>639.00010944000007</v>
      </c>
      <c r="J194" s="1082">
        <f>IF(VLOOKUP(J177,ProductsRangeOper,3,FALSE)="Special Offer",SpecialOffero(J177,4,"FY-2"),MIN(J104,J119*capacity))</f>
        <v>3361.1871393239903</v>
      </c>
      <c r="K194" s="1082">
        <f>IF(VLOOKUP(K177,ProductsRangeOper,3,FALSE)="Special Offer",SpecialOffero(K177,4,"FY-2"),MIN(K104,K119*capacity))</f>
        <v>4448.5761047463175</v>
      </c>
      <c r="L194" s="1082">
        <f>IF(VLOOKUP(L177,ProductsRangeOper,3,FALSE)="Special Offer",SpecialOffero(L177,4,"FY-2"),MIN(L104,L119*capacity))</f>
        <v>1443.5621101200013</v>
      </c>
      <c r="M194" s="307"/>
      <c r="N194" s="1085"/>
      <c r="O194" s="1100"/>
      <c r="P194" s="1100"/>
      <c r="R194" s="312"/>
      <c r="S194" s="312"/>
    </row>
    <row r="195" spans="1:19" s="1010" customFormat="1">
      <c r="A195" s="1092"/>
      <c r="B195" s="1101" t="s">
        <v>34</v>
      </c>
      <c r="C195" s="1078" t="s">
        <v>43</v>
      </c>
      <c r="D195" s="1082">
        <f>IF(VLOOKUP(D177,ProductsRangeOper,3,FALSE)="Special Offer",SpecialOffero(D177,5,"FY-2"),MIN(D105,D120*capacity))</f>
        <v>549.32251521298178</v>
      </c>
      <c r="E195" s="1082">
        <f>IF(VLOOKUP(E177,ProductsRangeOper,3,FALSE)="Special Offer",SpecialOffero(E177,5,"FY-2"),MIN(E105,E120*capacity))</f>
        <v>511.42389525368253</v>
      </c>
      <c r="F195" s="1082">
        <f>IF(VLOOKUP(F177,ProductsRangeOper,3,FALSE)="Special Offer",SpecialOffero(F177,5,"FY-2"),MIN(F105,F120*capacity))</f>
        <v>775.92870432000018</v>
      </c>
      <c r="G195" s="1082">
        <f>IF(VLOOKUP(G177,ProductsRangeOper,3,FALSE)="Special Offer",SpecialOffero(G177,5,"FY-2"),MIN(G105,G120*capacity))</f>
        <v>867.21443423999995</v>
      </c>
      <c r="H195" s="1082">
        <f>IF(VLOOKUP(H177,ProductsRangeOper,3,FALSE)="Special Offer",SpecialOffero(H177,5,"FY-2"),MIN(H105,H120*capacity))</f>
        <v>753.10727183999995</v>
      </c>
      <c r="I195" s="1082">
        <f>IF(VLOOKUP(I177,ProductsRangeOper,3,FALSE)="Special Offer",SpecialOffero(I177,5,"FY-2"),MIN(I105,I120*capacity))</f>
        <v>0</v>
      </c>
      <c r="J195" s="1082">
        <f>IF(VLOOKUP(J177,ProductsRangeOper,3,FALSE)="Special Offer",SpecialOffero(J177,5,"FY-2"),MIN(J105,J120*capacity))</f>
        <v>4410.6774847870183</v>
      </c>
      <c r="K195" s="1082">
        <f>IF(VLOOKUP(K177,ProductsRangeOper,3,FALSE)="Special Offer",SpecialOffero(K177,5,"FY-2"),MIN(K105,K120*capacity))</f>
        <v>4448.5761047463175</v>
      </c>
      <c r="L195" s="1082">
        <f>IF(VLOOKUP(L177,ProductsRangeOper,3,FALSE)="Special Offer",SpecialOffero(L177,5,"FY-2"),MIN(L105,L120*capacity))</f>
        <v>1323.7495896</v>
      </c>
      <c r="M195" s="307"/>
      <c r="N195" s="1085"/>
      <c r="O195" s="1100"/>
      <c r="P195" s="1100"/>
      <c r="R195" s="312"/>
      <c r="S195" s="312"/>
    </row>
    <row r="196" spans="1:19" s="1010" customFormat="1">
      <c r="A196" s="1092"/>
      <c r="B196" s="1101" t="s">
        <v>34</v>
      </c>
      <c r="C196" s="1078" t="s">
        <v>42</v>
      </c>
      <c r="D196" s="1082">
        <f>IF(VLOOKUP(D177,ProductsRangeOper,3,FALSE)="Special Offer",SpecialOffero(D177,6,"FY-2"),MIN(D106,D121*capacity))</f>
        <v>882.94209702660396</v>
      </c>
      <c r="E196" s="1082">
        <f>IF(VLOOKUP(E177,ProductsRangeOper,3,FALSE)="Special Offer",SpecialOffero(E177,6,"FY-2"),MIN(E106,E121*capacity))</f>
        <v>767.13584288052368</v>
      </c>
      <c r="F196" s="1082">
        <f>IF(VLOOKUP(F177,ProductsRangeOper,3,FALSE)="Special Offer",SpecialOffero(F177,6,"FY-2"),MIN(F106,F121*capacity))</f>
        <v>775.92870432000018</v>
      </c>
      <c r="G196" s="1082">
        <f>IF(VLOOKUP(G177,ProductsRangeOper,3,FALSE)="Special Offer",SpecialOffero(G177,6,"FY-2"),MIN(G106,G121*capacity))</f>
        <v>975.61623851999991</v>
      </c>
      <c r="H196" s="1082">
        <f>IF(VLOOKUP(H177,ProductsRangeOper,3,FALSE)="Special Offer",SpecialOffero(H177,6,"FY-2"),MIN(H106,H121*capacity))</f>
        <v>0</v>
      </c>
      <c r="I196" s="1082">
        <f>IF(VLOOKUP(I177,ProductsRangeOper,3,FALSE)="Special Offer",SpecialOffero(I177,6,"FY-2"),MIN(I106,I121*capacity))</f>
        <v>0</v>
      </c>
      <c r="J196" s="1082">
        <f>IF(VLOOKUP(J177,ProductsRangeOper,3,FALSE)="Special Offer",SpecialOffero(J177,6,"FY-2"),MIN(J106,J121*capacity))</f>
        <v>5317.0579029733954</v>
      </c>
      <c r="K196" s="1082">
        <f>IF(VLOOKUP(K177,ProductsRangeOper,3,FALSE)="Special Offer",SpecialOffero(K177,6,"FY-2"),MIN(K106,K121*capacity))</f>
        <v>6672.8641571194767</v>
      </c>
      <c r="L196" s="1082">
        <f>IF(VLOOKUP(L177,ProductsRangeOper,3,FALSE)="Special Offer",SpecialOffero(L177,6,"FY-2"),MIN(L106,L121*capacity))</f>
        <v>728.45505715999752</v>
      </c>
      <c r="M196" s="307"/>
      <c r="N196" s="1085"/>
      <c r="O196" s="1100"/>
      <c r="P196" s="1100"/>
      <c r="R196" s="312"/>
      <c r="S196" s="312"/>
    </row>
    <row r="197" spans="1:19" s="1010" customFormat="1">
      <c r="A197" s="1092"/>
      <c r="B197" s="1101" t="s">
        <v>34</v>
      </c>
      <c r="C197" s="1078" t="s">
        <v>41</v>
      </c>
      <c r="D197" s="1082">
        <f>IF(VLOOKUP(D177,ProductsRangeOper,3,FALSE)="Special Offer",SpecialOffero(D177,7,"FY-2"),MIN(D107,D122*capacity))</f>
        <v>855.56866048862662</v>
      </c>
      <c r="E197" s="1082">
        <f>IF(VLOOKUP(E177,ProductsRangeOper,3,FALSE)="Special Offer",SpecialOffero(E177,7,"FY-2"),MIN(E107,E122*capacity))</f>
        <v>767.13584288052368</v>
      </c>
      <c r="F197" s="1082">
        <f>IF(VLOOKUP(F177,ProductsRangeOper,3,FALSE)="Special Offer",SpecialOffero(F177,7,"FY-2"),MIN(F107,F122*capacity))</f>
        <v>2036.8128488400002</v>
      </c>
      <c r="G197" s="1082">
        <f>IF(VLOOKUP(G177,ProductsRangeOper,3,FALSE)="Special Offer",SpecialOffero(G177,7,"FY-2"),MIN(G107,G122*capacity))</f>
        <v>1240</v>
      </c>
      <c r="H197" s="1082">
        <f>IF(VLOOKUP(H177,ProductsRangeOper,3,FALSE)="Special Offer",SpecialOffero(H177,7,"FY-2"),MIN(H107,H122*capacity))</f>
        <v>0</v>
      </c>
      <c r="I197" s="1082">
        <f>IF(VLOOKUP(I177,ProductsRangeOper,3,FALSE)="Special Offer",SpecialOffero(I177,7,"FY-2"),MIN(I107,I122*capacity))</f>
        <v>0</v>
      </c>
      <c r="J197" s="1082">
        <f>IF(VLOOKUP(J177,ProductsRangeOper,3,FALSE)="Special Offer",SpecialOffero(J177,7,"FY-2"),MIN(J107,J122*capacity))</f>
        <v>10304.431339511373</v>
      </c>
      <c r="K197" s="1082">
        <f>IF(VLOOKUP(K177,ProductsRangeOper,3,FALSE)="Special Offer",SpecialOffero(K177,7,"FY-2"),MIN(K107,K122*capacity))</f>
        <v>6672.8641571194767</v>
      </c>
      <c r="L197" s="1082">
        <f>IF(VLOOKUP(L177,ProductsRangeOper,3,FALSE)="Special Offer",SpecialOffero(L177,7,"FY-2"),MIN(L107,L122*capacity))</f>
        <v>443.18715116000021</v>
      </c>
      <c r="M197" s="307"/>
      <c r="N197" s="1085"/>
      <c r="O197" s="1100"/>
      <c r="P197" s="1100"/>
      <c r="R197" s="312"/>
      <c r="S197" s="312"/>
    </row>
    <row r="198" spans="1:19" s="1010" customFormat="1">
      <c r="A198" s="1092"/>
      <c r="B198" s="1101" t="s">
        <v>34</v>
      </c>
      <c r="C198" s="1078" t="s">
        <v>40</v>
      </c>
      <c r="D198" s="1082">
        <f>IF(VLOOKUP(D177,ProductsRangeOper,3,FALSE)="Special Offer",SpecialOffero(D177,8,"FY-2"),MIN(D108,D123*capacity))</f>
        <v>847.44758527172189</v>
      </c>
      <c r="E198" s="1082">
        <f>IF(VLOOKUP(E177,ProductsRangeOper,3,FALSE)="Special Offer",SpecialOffero(E177,8,"FY-2"),MIN(E108,E123*capacity))</f>
        <v>767.13584288052368</v>
      </c>
      <c r="F198" s="1082">
        <f>IF(VLOOKUP(F177,ProductsRangeOper,3,FALSE)="Special Offer",SpecialOffero(F177,8,"FY-2"),MIN(F108,F123*capacity))</f>
        <v>1939.8217608000004</v>
      </c>
      <c r="G198" s="1082">
        <f>IF(VLOOKUP(G177,ProductsRangeOper,3,FALSE)="Special Offer",SpecialOffero(G177,8,"FY-2"),MIN(G108,G123*capacity))</f>
        <v>1240</v>
      </c>
      <c r="H198" s="1082">
        <f>IF(VLOOKUP(H177,ProductsRangeOper,3,FALSE)="Special Offer",SpecialOffero(H177,8,"FY-2"),MIN(H108,H123*capacity))</f>
        <v>878.62515048000012</v>
      </c>
      <c r="I198" s="1082">
        <f>IF(VLOOKUP(I177,ProductsRangeOper,3,FALSE)="Special Offer",SpecialOffero(I177,8,"FY-2"),MIN(I108,I123*capacity))</f>
        <v>0</v>
      </c>
      <c r="J198" s="1082">
        <f>IF(VLOOKUP(J177,ProductsRangeOper,3,FALSE)="Special Offer",SpecialOffero(J177,8,"FY-2"),MIN(J108,J123*capacity))</f>
        <v>9072.5524147282777</v>
      </c>
      <c r="K198" s="1082">
        <f>IF(VLOOKUP(K177,ProductsRangeOper,3,FALSE)="Special Offer",SpecialOffero(K177,8,"FY-2"),MIN(K108,K123*capacity))</f>
        <v>6672.8641571194767</v>
      </c>
      <c r="L198" s="1082">
        <f>IF(VLOOKUP(L177,ProductsRangeOper,3,FALSE)="Special Offer",SpecialOffero(L177,8,"FY-2"),MIN(L108,L123*capacity))</f>
        <v>901.55308872000023</v>
      </c>
      <c r="M198" s="307"/>
      <c r="N198" s="1085"/>
      <c r="O198" s="1100"/>
      <c r="P198" s="1100"/>
      <c r="R198" s="312"/>
      <c r="S198" s="312"/>
    </row>
    <row r="199" spans="1:19" s="1010" customFormat="1">
      <c r="A199" s="1092"/>
      <c r="B199" s="1101" t="s">
        <v>34</v>
      </c>
      <c r="C199" s="1078" t="s">
        <v>39</v>
      </c>
      <c r="D199" s="1082">
        <f>IF(VLOOKUP(D177,ProductsRangeOper,3,FALSE)="Special Offer",SpecialOffero(D177,9,"FY-2"),MIN(D109,D124*capacity))</f>
        <v>699.56602603843771</v>
      </c>
      <c r="E199" s="1082">
        <f>IF(VLOOKUP(E177,ProductsRangeOper,3,FALSE)="Special Offer",SpecialOffero(E177,9,"FY-2"),MIN(E109,E124*capacity))</f>
        <v>767.13584288052368</v>
      </c>
      <c r="F199" s="1082">
        <f>IF(VLOOKUP(F177,ProductsRangeOper,3,FALSE)="Special Offer",SpecialOffero(F177,9,"FY-2"),MIN(F109,F124*capacity))</f>
        <v>1163.89305648</v>
      </c>
      <c r="G199" s="1082">
        <f>IF(VLOOKUP(G177,ProductsRangeOper,3,FALSE)="Special Offer",SpecialOffero(G177,9,"FY-2"),MIN(G109,G124*capacity))</f>
        <v>1240</v>
      </c>
      <c r="H199" s="1082">
        <f>IF(VLOOKUP(H177,ProductsRangeOper,3,FALSE)="Special Offer",SpecialOffero(H177,9,"FY-2"),MIN(H109,H124*capacity))</f>
        <v>1004.1430291200001</v>
      </c>
      <c r="I199" s="1082">
        <f>IF(VLOOKUP(I177,ProductsRangeOper,3,FALSE)="Special Offer",SpecialOffero(I177,9,"FY-2"),MIN(I109,I124*capacity))</f>
        <v>0</v>
      </c>
      <c r="J199" s="1082">
        <f>IF(VLOOKUP(J177,ProductsRangeOper,3,FALSE)="Special Offer",SpecialOffero(J177,9,"FY-2"),MIN(J109,J124*capacity))</f>
        <v>6740.4339739615634</v>
      </c>
      <c r="K199" s="1082">
        <f>IF(VLOOKUP(K177,ProductsRangeOper,3,FALSE)="Special Offer",SpecialOffero(K177,9,"FY-2"),MIN(K109,K124*capacity))</f>
        <v>6672.8641571194767</v>
      </c>
      <c r="L199" s="1082">
        <f>IF(VLOOKUP(L177,ProductsRangeOper,3,FALSE)="Special Offer",SpecialOffero(L177,9,"FY-2"),MIN(L109,L124*capacity))</f>
        <v>311.9639143999957</v>
      </c>
      <c r="M199" s="307"/>
      <c r="N199" s="1085"/>
      <c r="O199" s="1100"/>
      <c r="P199" s="1100"/>
      <c r="R199" s="312"/>
      <c r="S199" s="312"/>
    </row>
    <row r="200" spans="1:19" s="1010" customFormat="1">
      <c r="A200" s="1092"/>
      <c r="B200" s="1101" t="s">
        <v>34</v>
      </c>
      <c r="C200" s="1078" t="s">
        <v>38</v>
      </c>
      <c r="D200" s="1082">
        <f>IF(VLOOKUP(D177,ProductsRangeOper,3,FALSE)="Special Offer",SpecialOffero(D177,10,"FY-2"),MIN(D110,D125*capacity))</f>
        <v>699.56602603843771</v>
      </c>
      <c r="E200" s="1082">
        <f>IF(VLOOKUP(E177,ProductsRangeOper,3,FALSE)="Special Offer",SpecialOffero(E177,10,"FY-2"),MIN(E110,E125*capacity))</f>
        <v>741.69655560000001</v>
      </c>
      <c r="F200" s="1082">
        <f>IF(VLOOKUP(F177,ProductsRangeOper,3,FALSE)="Special Offer",SpecialOffero(F177,10,"FY-2"),MIN(F110,F125*capacity))</f>
        <v>1066.9019684400002</v>
      </c>
      <c r="G200" s="1082">
        <f>IF(VLOOKUP(G177,ProductsRangeOper,3,FALSE)="Special Offer",SpecialOffero(G177,10,"FY-2"),MIN(G110,G125*capacity))</f>
        <v>1240</v>
      </c>
      <c r="H200" s="1082">
        <f>IF(VLOOKUP(H177,ProductsRangeOper,3,FALSE)="Special Offer",SpecialOffero(H177,10,"FY-2"),MIN(H110,H125*capacity))</f>
        <v>1240</v>
      </c>
      <c r="I200" s="1082">
        <f>IF(VLOOKUP(I177,ProductsRangeOper,3,FALSE)="Special Offer",SpecialOffero(I177,10,"FY-2"),MIN(I110,I125*capacity))</f>
        <v>1004.1430291199999</v>
      </c>
      <c r="J200" s="1082">
        <f>IF(VLOOKUP(J177,ProductsRangeOper,3,FALSE)="Special Offer",SpecialOffero(J177,10,"FY-2"),MIN(J110,J125*capacity))</f>
        <v>6740.4339739615634</v>
      </c>
      <c r="K200" s="1082">
        <f>IF(VLOOKUP(K177,ProductsRangeOper,3,FALSE)="Special Offer",SpecialOffero(K177,10,"FY-2"),MIN(K110,K125*capacity))</f>
        <v>6451.5827376000016</v>
      </c>
      <c r="L200" s="1082">
        <f>IF(VLOOKUP(L177,ProductsRangeOper,3,FALSE)="Special Offer",SpecialOffero(L177,10,"FY-2"),MIN(L110,L125*capacity))</f>
        <v>655.67570923999665</v>
      </c>
      <c r="M200" s="307"/>
      <c r="N200" s="1085"/>
      <c r="O200" s="1100"/>
      <c r="P200" s="1100"/>
      <c r="R200" s="312"/>
      <c r="S200" s="312"/>
    </row>
    <row r="201" spans="1:19" s="1010" customFormat="1">
      <c r="A201" s="1092"/>
      <c r="B201" s="1101" t="s">
        <v>34</v>
      </c>
      <c r="C201" s="1078" t="s">
        <v>37</v>
      </c>
      <c r="D201" s="1082">
        <f>IF(VLOOKUP(D177,ProductsRangeOper,3,FALSE)="Special Offer",SpecialOffero(D177,11,"FY-2"),MIN(D111,D126*capacity))</f>
        <v>358.81286067600985</v>
      </c>
      <c r="E201" s="1082">
        <f>IF(VLOOKUP(E177,ProductsRangeOper,3,FALSE)="Special Offer",SpecialOffero(E177,11,"FY-2"),MIN(E111,E126*capacity))</f>
        <v>383.56792144026178</v>
      </c>
      <c r="F201" s="1082">
        <f>IF(VLOOKUP(F177,ProductsRangeOper,3,FALSE)="Special Offer",SpecialOffero(F177,11,"FY-2"),MIN(F111,F126*capacity))</f>
        <v>0</v>
      </c>
      <c r="G201" s="1082">
        <f>IF(VLOOKUP(G177,ProductsRangeOper,3,FALSE)="Special Offer",SpecialOffero(G177,11,"FY-2"),MIN(G111,G126*capacity))</f>
        <v>758.81262996000009</v>
      </c>
      <c r="H201" s="1082">
        <f>IF(VLOOKUP(H177,ProductsRangeOper,3,FALSE)="Special Offer",SpecialOffero(H177,11,"FY-2"),MIN(H111,H126*capacity))</f>
        <v>1240</v>
      </c>
      <c r="I201" s="1082">
        <f>IF(VLOOKUP(I177,ProductsRangeOper,3,FALSE)="Special Offer",SpecialOffero(I177,11,"FY-2"),MIN(I111,I126*capacity))</f>
        <v>1095.4287590399999</v>
      </c>
      <c r="J201" s="1082">
        <f>IF(VLOOKUP(J177,ProductsRangeOper,3,FALSE)="Special Offer",SpecialOffero(J177,11,"FY-2"),MIN(J111,J126*capacity))</f>
        <v>3361.1871393239903</v>
      </c>
      <c r="K201" s="1082">
        <f>IF(VLOOKUP(K177,ProductsRangeOper,3,FALSE)="Special Offer",SpecialOffero(K177,11,"FY-2"),MIN(K111,K126*capacity))</f>
        <v>3336.4320785597379</v>
      </c>
      <c r="L201" s="1082">
        <f>IF(VLOOKUP(L177,ProductsRangeOper,3,FALSE)="Special Offer",SpecialOffero(L177,11,"FY-2"),MIN(L111,L126*capacity))</f>
        <v>625.75861100000111</v>
      </c>
      <c r="M201" s="307"/>
      <c r="N201" s="1085"/>
      <c r="O201" s="1100"/>
      <c r="P201" s="1100"/>
      <c r="R201" s="312"/>
      <c r="S201" s="312"/>
    </row>
    <row r="202" spans="1:19" s="1010" customFormat="1">
      <c r="A202" s="1092"/>
      <c r="B202" s="1101" t="s">
        <v>34</v>
      </c>
      <c r="C202" s="1078" t="s">
        <v>36</v>
      </c>
      <c r="D202" s="1082">
        <f>IF(VLOOKUP(D177,ProductsRangeOper,3,FALSE)="Special Offer",SpecialOffero(D177,12,"FY-2"),MIN(D112,D127*capacity))</f>
        <v>0</v>
      </c>
      <c r="E202" s="1082">
        <f>IF(VLOOKUP(E177,ProductsRangeOper,3,FALSE)="Special Offer",SpecialOffero(E177,12,"FY-2"),MIN(E112,E127*capacity))</f>
        <v>511.42389525368242</v>
      </c>
      <c r="F202" s="1082">
        <f>IF(VLOOKUP(F177,ProductsRangeOper,3,FALSE)="Special Offer",SpecialOffero(F177,12,"FY-2"),MIN(F112,F127*capacity))</f>
        <v>0</v>
      </c>
      <c r="G202" s="1082">
        <f>IF(VLOOKUP(G177,ProductsRangeOper,3,FALSE)="Special Offer",SpecialOffero(G177,12,"FY-2"),MIN(G112,G127*capacity))</f>
        <v>0</v>
      </c>
      <c r="H202" s="1082">
        <f>IF(VLOOKUP(H177,ProductsRangeOper,3,FALSE)="Special Offer",SpecialOffero(H177,12,"FY-2"),MIN(H112,H127*capacity))</f>
        <v>1240</v>
      </c>
      <c r="I202" s="1082">
        <f>IF(VLOOKUP(I177,ProductsRangeOper,3,FALSE)="Special Offer",SpecialOffero(I177,12,"FY-2"),MIN(I112,I127*capacity))</f>
        <v>1240</v>
      </c>
      <c r="J202" s="1082">
        <f>IF(VLOOKUP(J177,ProductsRangeOper,3,FALSE)="Special Offer",SpecialOffero(J177,12,"FY-2"),MIN(J112,J127*capacity))</f>
        <v>0</v>
      </c>
      <c r="K202" s="1082">
        <f>IF(VLOOKUP(K177,ProductsRangeOper,3,FALSE)="Special Offer",SpecialOffero(K177,12,"FY-2"),MIN(K112,K127*capacity))</f>
        <v>4448.5761047463175</v>
      </c>
      <c r="L202" s="1082">
        <f>IF(VLOOKUP(L177,ProductsRangeOper,3,FALSE)="Special Offer",SpecialOffero(L177,12,"FY-2"),MIN(L112,L127*capacity))</f>
        <v>0</v>
      </c>
      <c r="M202" s="307"/>
      <c r="N202" s="1085"/>
      <c r="O202" s="1100"/>
      <c r="P202" s="1100"/>
      <c r="R202" s="312"/>
      <c r="S202" s="312"/>
    </row>
    <row r="203" spans="1:19" s="1010" customFormat="1">
      <c r="A203" s="1092"/>
      <c r="B203" s="1101" t="s">
        <v>33</v>
      </c>
      <c r="C203" s="1077" t="s">
        <v>47</v>
      </c>
      <c r="D203" s="1082">
        <f>IF(VLOOKUP(D177,ProductsRangeOper,3,FALSE)="Special Offer",SpecialOffero(D177,1,"FY-3"),MIN(D146,D161*capacity))</f>
        <v>476.25769388592545</v>
      </c>
      <c r="E203" s="1082">
        <f>IF(VLOOKUP(E177,ProductsRangeOper,3,FALSE)="Special Offer",SpecialOffero(E177,1,"FY-3"),MIN(E146,E161*capacity))</f>
        <v>476.25769388592545</v>
      </c>
      <c r="F203" s="1082">
        <f>IF(VLOOKUP(F177,ProductsRangeOper,3,FALSE)="Special Offer",SpecialOffero(F177,1,"FY-3"),MIN(F146,F161*capacity))</f>
        <v>0</v>
      </c>
      <c r="G203" s="1082">
        <f>IF(VLOOKUP(G177,ProductsRangeOper,3,FALSE)="Special Offer",SpecialOffero(G177,1,"FY-3"),MIN(G146,G161*capacity))</f>
        <v>0</v>
      </c>
      <c r="H203" s="1082">
        <f>IF(VLOOKUP(H177,ProductsRangeOper,3,FALSE)="Special Offer",SpecialOffero(H177,1,"FY-3"),MIN(H146,H161*capacity))</f>
        <v>1240</v>
      </c>
      <c r="I203" s="1082">
        <f>IF(VLOOKUP(I177,ProductsRangeOper,3,FALSE)="Special Offer",SpecialOffero(I177,1,"FY-3"),MIN(I146,I161*capacity))</f>
        <v>1240</v>
      </c>
      <c r="J203" s="1082">
        <f>IF(VLOOKUP(J177,ProductsRangeOper,3,FALSE)="Special Offer",SpecialOffero(J177,1,"FY-3"),MIN(J146,J161*capacity))</f>
        <v>3243.7423061140748</v>
      </c>
      <c r="K203" s="1082">
        <f>IF(VLOOKUP(K177,ProductsRangeOper,3,FALSE)="Special Offer",SpecialOffero(K177,1,"FY-3"),MIN(K146,K161*capacity))</f>
        <v>3243.7423061140748</v>
      </c>
      <c r="L203" s="1082">
        <f>IF(VLOOKUP(L177,ProductsRangeOper,3,FALSE)="Special Offer",SpecialOffero(L177,1,"FY-3"),MIN(L146,L161*capacity))</f>
        <v>0</v>
      </c>
      <c r="M203" s="307"/>
      <c r="N203" s="1085"/>
      <c r="O203" s="1100"/>
      <c r="P203" s="1100"/>
      <c r="R203" s="312"/>
      <c r="S203" s="312"/>
    </row>
    <row r="204" spans="1:19" s="1010" customFormat="1">
      <c r="A204" s="1091"/>
      <c r="B204" s="1101" t="s">
        <v>33</v>
      </c>
      <c r="C204" s="1077" t="s">
        <v>46</v>
      </c>
      <c r="D204" s="1082">
        <f>IF(VLOOKUP(D177,ProductsRangeOper,3,FALSE)="Special Offer",SpecialOffero(D177,2,"FY-3"),MIN(D147,D162*capacity))</f>
        <v>476.25769388592545</v>
      </c>
      <c r="E204" s="1082">
        <f>IF(VLOOKUP(E177,ProductsRangeOper,3,FALSE)="Special Offer",SpecialOffero(E177,2,"FY-3"),MIN(E147,E162*capacity))</f>
        <v>476.25769388592545</v>
      </c>
      <c r="F204" s="1082">
        <f>IF(VLOOKUP(F177,ProductsRangeOper,3,FALSE)="Special Offer",SpecialOffero(F177,2,"FY-3"),MIN(F147,F162*capacity))</f>
        <v>0</v>
      </c>
      <c r="G204" s="1082">
        <f>IF(VLOOKUP(G177,ProductsRangeOper,3,FALSE)="Special Offer",SpecialOffero(G177,2,"FY-3"),MIN(G147,G162*capacity))</f>
        <v>0</v>
      </c>
      <c r="H204" s="1082">
        <f>IF(VLOOKUP(H177,ProductsRangeOper,3,FALSE)="Special Offer",SpecialOffero(H177,2,"FY-3"),MIN(H147,H162*capacity))</f>
        <v>973.71445248000009</v>
      </c>
      <c r="I204" s="1082">
        <f>IF(VLOOKUP(I177,ProductsRangeOper,3,FALSE)="Special Offer",SpecialOffero(I177,2,"FY-3"),MIN(I147,I162*capacity))</f>
        <v>1240</v>
      </c>
      <c r="J204" s="1082">
        <f>IF(VLOOKUP(J177,ProductsRangeOper,3,FALSE)="Special Offer",SpecialOffero(J177,2,"FY-3"),MIN(J147,J162*capacity))</f>
        <v>3243.7423061140748</v>
      </c>
      <c r="K204" s="1082">
        <f>IF(VLOOKUP(K177,ProductsRangeOper,3,FALSE)="Special Offer",SpecialOffero(K177,2,"FY-3"),MIN(K147,K162*capacity))</f>
        <v>3243.7423061140748</v>
      </c>
      <c r="L204" s="1082">
        <f>IF(VLOOKUP(L177,ProductsRangeOper,3,FALSE)="Special Offer",SpecialOffero(L177,2,"FY-3"),MIN(L147,L162*capacity))</f>
        <v>266.28554751999945</v>
      </c>
      <c r="M204" s="307"/>
      <c r="N204" s="1085"/>
      <c r="O204" s="1100"/>
      <c r="P204" s="1100"/>
      <c r="R204" s="312"/>
      <c r="S204" s="312"/>
    </row>
    <row r="205" spans="1:19" s="1010" customFormat="1">
      <c r="A205" s="1091"/>
      <c r="B205" s="1101" t="s">
        <v>33</v>
      </c>
      <c r="C205" s="1078" t="s">
        <v>45</v>
      </c>
      <c r="D205" s="1082">
        <f>IF(VLOOKUP(D177,ProductsRangeOper,3,FALSE)="Special Offer",SpecialOffero(D177,3,"FY-3"),MIN(D148,D163*capacity))</f>
        <v>405.5345911949687</v>
      </c>
      <c r="E205" s="1082">
        <f>IF(VLOOKUP(E177,ProductsRangeOper,3,FALSE)="Special Offer",SpecialOffero(E177,3,"FY-3"),MIN(E148,E163*capacity))</f>
        <v>405.5345911949687</v>
      </c>
      <c r="F205" s="1082">
        <f>IF(VLOOKUP(F177,ProductsRangeOper,3,FALSE)="Special Offer",SpecialOffero(F177,3,"FY-3"),MIN(F148,F163*capacity))</f>
        <v>0</v>
      </c>
      <c r="G205" s="1082">
        <f>IF(VLOOKUP(G177,ProductsRangeOper,3,FALSE)="Special Offer",SpecialOffero(G177,3,"FY-3"),MIN(G148,G163*capacity))</f>
        <v>720.80160767999996</v>
      </c>
      <c r="H205" s="1082">
        <f>IF(VLOOKUP(H177,ProductsRangeOper,3,FALSE)="Special Offer",SpecialOffero(H177,3,"FY-3"),MIN(H148,H163*capacity))</f>
        <v>973.71445248000009</v>
      </c>
      <c r="I205" s="1082">
        <f>IF(VLOOKUP(I177,ProductsRangeOper,3,FALSE)="Special Offer",SpecialOffero(I177,3,"FY-3"),MIN(I148,I163*capacity))</f>
        <v>910.48624128000006</v>
      </c>
      <c r="J205" s="1082">
        <f>IF(VLOOKUP(J177,ProductsRangeOper,3,FALSE)="Special Offer",SpecialOffero(J177,3,"FY-3"),MIN(J148,J163*capacity))</f>
        <v>3314.4654088050315</v>
      </c>
      <c r="K205" s="1082">
        <f>IF(VLOOKUP(K177,ProductsRangeOper,3,FALSE)="Special Offer",SpecialOffero(K177,3,"FY-3"),MIN(K148,K163*capacity))</f>
        <v>3314.4654088050315</v>
      </c>
      <c r="L205" s="1082">
        <f>IF(VLOOKUP(L177,ProductsRangeOper,3,FALSE)="Special Offer",SpecialOffero(L177,3,"FY-3"),MIN(L148,L163*capacity))</f>
        <v>1114.9976985600006</v>
      </c>
      <c r="M205" s="307"/>
      <c r="O205" s="1086"/>
      <c r="P205" s="1086"/>
      <c r="R205" s="1086"/>
      <c r="S205" s="1086"/>
    </row>
    <row r="206" spans="1:19" s="1010" customFormat="1">
      <c r="A206" s="1087"/>
      <c r="B206" s="1101" t="s">
        <v>33</v>
      </c>
      <c r="C206" s="1078" t="s">
        <v>44</v>
      </c>
      <c r="D206" s="1082">
        <f>IF(VLOOKUP(D177,ProductsRangeOper,3,FALSE)="Special Offer",SpecialOffero(D177,4,"FY-3"),MIN(D149,D164*capacity))</f>
        <v>470.80012169151217</v>
      </c>
      <c r="E206" s="1082">
        <f>IF(VLOOKUP(E177,ProductsRangeOper,3,FALSE)="Special Offer",SpecialOffero(E177,4,"FY-3"),MIN(E149,E164*capacity))</f>
        <v>540.7127882599583</v>
      </c>
      <c r="F206" s="1082">
        <f>IF(VLOOKUP(F177,ProductsRangeOper,3,FALSE)="Special Offer",SpecialOffero(F177,4,"FY-3"),MIN(F149,F164*capacity))</f>
        <v>752.4157132800002</v>
      </c>
      <c r="G206" s="1082">
        <f>IF(VLOOKUP(G177,ProductsRangeOper,3,FALSE)="Special Offer",SpecialOffero(G177,4,"FY-3"),MIN(G149,G164*capacity))</f>
        <v>840.93520896000007</v>
      </c>
      <c r="H206" s="1082">
        <f>IF(VLOOKUP(H177,ProductsRangeOper,3,FALSE)="Special Offer",SpecialOffero(H177,4,"FY-3"),MIN(H149,H164*capacity))</f>
        <v>973.71445248000009</v>
      </c>
      <c r="I206" s="1082">
        <f>IF(VLOOKUP(I177,ProductsRangeOper,3,FALSE)="Special Offer",SpecialOffero(I177,4,"FY-3"),MIN(I149,I164*capacity))</f>
        <v>708.15596544000016</v>
      </c>
      <c r="J206" s="1082">
        <f>IF(VLOOKUP(J177,ProductsRangeOper,3,FALSE)="Special Offer",SpecialOffero(J177,4,"FY-3"),MIN(J149,J164*capacity))</f>
        <v>4489.1998783084882</v>
      </c>
      <c r="K206" s="1082">
        <f>IF(VLOOKUP(K177,ProductsRangeOper,3,FALSE)="Special Offer",SpecialOffero(K177,4,"FY-3"),MIN(K149,K164*capacity))</f>
        <v>4419.287211740042</v>
      </c>
      <c r="L206" s="1082">
        <f>IF(VLOOKUP(L177,ProductsRangeOper,3,FALSE)="Special Offer",SpecialOffero(L177,4,"FY-3"),MIN(L149,L164*capacity))</f>
        <v>1684.7786598400016</v>
      </c>
      <c r="M206" s="307"/>
      <c r="O206" s="1086"/>
      <c r="P206" s="1086"/>
      <c r="R206" s="1086"/>
      <c r="S206" s="1086"/>
    </row>
    <row r="207" spans="1:19" s="1010" customFormat="1">
      <c r="A207" s="1087"/>
      <c r="B207" s="1101" t="s">
        <v>33</v>
      </c>
      <c r="C207" s="1078" t="s">
        <v>43</v>
      </c>
      <c r="D207" s="1082">
        <f>IF(VLOOKUP(D177,ProductsRangeOper,3,FALSE)="Special Offer",SpecialOffero(D177,5,"FY-3"),MIN(D150,D165*capacity))</f>
        <v>657.57339648000004</v>
      </c>
      <c r="E207" s="1082">
        <f>IF(VLOOKUP(E177,ProductsRangeOper,3,FALSE)="Special Offer",SpecialOffero(E177,5,"FY-3"),MIN(E150,E165*capacity))</f>
        <v>657.57339648000004</v>
      </c>
      <c r="F207" s="1082">
        <f>IF(VLOOKUP(F177,ProductsRangeOper,3,FALSE)="Special Offer",SpecialOffero(F177,5,"FY-3"),MIN(F150,F165*capacity))</f>
        <v>859.90367232000017</v>
      </c>
      <c r="G207" s="1082">
        <f>IF(VLOOKUP(G177,ProductsRangeOper,3,FALSE)="Special Offer",SpecialOffero(G177,5,"FY-3"),MIN(G150,G165*capacity))</f>
        <v>961.06881024000006</v>
      </c>
      <c r="H207" s="1082">
        <f>IF(VLOOKUP(H177,ProductsRangeOper,3,FALSE)="Special Offer",SpecialOffero(H177,5,"FY-3"),MIN(H150,H165*capacity))</f>
        <v>834.61238784</v>
      </c>
      <c r="I207" s="1082">
        <f>IF(VLOOKUP(I177,ProductsRangeOper,3,FALSE)="Special Offer",SpecialOffero(I177,5,"FY-3"),MIN(I150,I165*capacity))</f>
        <v>0</v>
      </c>
      <c r="J207" s="1082">
        <f>IF(VLOOKUP(J177,ProductsRangeOper,3,FALSE)="Special Offer",SpecialOffero(J177,5,"FY-3"),MIN(J150,J165*capacity))</f>
        <v>5374.3979519999993</v>
      </c>
      <c r="K207" s="1082">
        <f>IF(VLOOKUP(K177,ProductsRangeOper,3,FALSE)="Special Offer",SpecialOffero(K177,5,"FY-3"),MIN(K150,K165*capacity))</f>
        <v>5374.3979519999993</v>
      </c>
      <c r="L207" s="1082">
        <f>IF(VLOOKUP(L177,ProductsRangeOper,3,FALSE)="Special Offer",SpecialOffero(L177,5,"FY-3"),MIN(L150,L165*capacity))</f>
        <v>1400.472432640001</v>
      </c>
      <c r="M207" s="1082"/>
      <c r="O207" s="1086"/>
      <c r="P207" s="1086"/>
      <c r="R207" s="1086"/>
      <c r="S207" s="1086"/>
    </row>
    <row r="208" spans="1:19" s="1010" customFormat="1">
      <c r="A208" s="1087"/>
      <c r="B208" s="1101" t="s">
        <v>33</v>
      </c>
      <c r="C208" s="1078" t="s">
        <v>42</v>
      </c>
      <c r="D208" s="1082">
        <f>IF(VLOOKUP(D177,ProductsRangeOper,3,FALSE)="Special Offer",SpecialOffero(D177,6,"FY-3"),MIN(D151,D166*capacity))</f>
        <v>946.24737945492689</v>
      </c>
      <c r="E208" s="1082">
        <f>IF(VLOOKUP(E177,ProductsRangeOper,3,FALSE)="Special Offer",SpecialOffero(E177,6,"FY-3"),MIN(E151,E166*capacity))</f>
        <v>882.55495644960615</v>
      </c>
      <c r="F208" s="1082">
        <f>IF(VLOOKUP(F177,ProductsRangeOper,3,FALSE)="Special Offer",SpecialOffero(F177,6,"FY-3"),MIN(F151,F166*capacity))</f>
        <v>859.90367232000017</v>
      </c>
      <c r="G208" s="1082">
        <f>IF(VLOOKUP(G177,ProductsRangeOper,3,FALSE)="Special Offer",SpecialOffero(G177,6,"FY-3"),MIN(G151,G166*capacity))</f>
        <v>1201.3360128000002</v>
      </c>
      <c r="H208" s="1082">
        <f>IF(VLOOKUP(H177,ProductsRangeOper,3,FALSE)="Special Offer",SpecialOffero(H177,6,"FY-3"),MIN(H151,H166*capacity))</f>
        <v>0</v>
      </c>
      <c r="I208" s="1082">
        <f>IF(VLOOKUP(I177,ProductsRangeOper,3,FALSE)="Special Offer",SpecialOffero(I177,6,"FY-3"),MIN(I151,I166*capacity))</f>
        <v>0</v>
      </c>
      <c r="J208" s="1082">
        <f>IF(VLOOKUP(J177,ProductsRangeOper,3,FALSE)="Special Offer",SpecialOffero(J177,6,"FY-3"),MIN(J151,J166*capacity))</f>
        <v>7733.752620545074</v>
      </c>
      <c r="K208" s="1082">
        <f>IF(VLOOKUP(K177,ProductsRangeOper,3,FALSE)="Special Offer",SpecialOffero(K177,6,"FY-3"),MIN(K151,K166*capacity))</f>
        <v>6557.4450435503941</v>
      </c>
      <c r="L208" s="1082">
        <f>IF(VLOOKUP(L177,ProductsRangeOper,3,FALSE)="Special Offer",SpecialOffero(L177,6,"FY-3"),MIN(L151,L166*capacity))</f>
        <v>418.76031487999717</v>
      </c>
      <c r="M208" s="1082"/>
      <c r="O208" s="1086"/>
      <c r="P208" s="1086"/>
      <c r="R208" s="1086"/>
      <c r="S208" s="1086"/>
    </row>
    <row r="209" spans="1:23" s="1010" customFormat="1">
      <c r="A209" s="1092"/>
      <c r="B209" s="1101" t="s">
        <v>33</v>
      </c>
      <c r="C209" s="1078" t="s">
        <v>41</v>
      </c>
      <c r="D209" s="1082">
        <f>IF(VLOOKUP(D177,ProductsRangeOper,3,FALSE)="Special Offer",SpecialOffero(D177,7,"FY-3"),MIN(D152,D167*capacity))</f>
        <v>946.24737945492689</v>
      </c>
      <c r="E209" s="1082">
        <f>IF(VLOOKUP(E177,ProductsRangeOper,3,FALSE)="Special Offer",SpecialOffero(E177,7,"FY-3"),MIN(E152,E167*capacity))</f>
        <v>876.12002264578257</v>
      </c>
      <c r="F209" s="1082">
        <f>IF(VLOOKUP(F177,ProductsRangeOper,3,FALSE)="Special Offer",SpecialOffero(F177,7,"FY-3"),MIN(F152,F167*capacity))</f>
        <v>1240</v>
      </c>
      <c r="G209" s="1082">
        <f>IF(VLOOKUP(G177,ProductsRangeOper,3,FALSE)="Special Offer",SpecialOffero(G177,7,"FY-3"),MIN(G152,G167*capacity))</f>
        <v>1201.3360128000002</v>
      </c>
      <c r="H209" s="1082">
        <f>IF(VLOOKUP(H177,ProductsRangeOper,3,FALSE)="Special Offer",SpecialOffero(H177,7,"FY-3"),MIN(H152,H167*capacity))</f>
        <v>834.61238784</v>
      </c>
      <c r="I209" s="1082">
        <f>IF(VLOOKUP(I177,ProductsRangeOper,3,FALSE)="Special Offer",SpecialOffero(I177,7,"FY-3"),MIN(I152,I167*capacity))</f>
        <v>0</v>
      </c>
      <c r="J209" s="1082">
        <f>IF(VLOOKUP(J177,ProductsRangeOper,3,FALSE)="Special Offer",SpecialOffero(J177,7,"FY-3"),MIN(J152,J167*capacity))</f>
        <v>7733.752620545074</v>
      </c>
      <c r="K209" s="1082">
        <f>IF(VLOOKUP(K177,ProductsRangeOper,3,FALSE)="Special Offer",SpecialOffero(K177,7,"FY-3"),MIN(K152,K167*capacity))</f>
        <v>6563.8799773542187</v>
      </c>
      <c r="L209" s="1082">
        <f>IF(VLOOKUP(L177,ProductsRangeOper,3,FALSE)="Special Offer",SpecialOffero(L177,7,"FY-3"),MIN(L152,L167*capacity))</f>
        <v>444.051599360002</v>
      </c>
      <c r="M209" s="307"/>
      <c r="N209" s="1085"/>
      <c r="O209" s="1100"/>
      <c r="P209" s="1100"/>
      <c r="R209" s="312"/>
      <c r="S209" s="312"/>
    </row>
    <row r="210" spans="1:23" s="1010" customFormat="1">
      <c r="A210" s="1092"/>
      <c r="B210" s="1101" t="s">
        <v>33</v>
      </c>
      <c r="C210" s="1078" t="s">
        <v>40</v>
      </c>
      <c r="D210" s="1082">
        <f>IF(VLOOKUP(D177,ProductsRangeOper,3,FALSE)="Special Offer",SpecialOffero(D177,8,"FY-3"),MIN(D153,D168*capacity))</f>
        <v>946.24737945492689</v>
      </c>
      <c r="E210" s="1082">
        <f>IF(VLOOKUP(E177,ProductsRangeOper,3,FALSE)="Special Offer",SpecialOffero(E177,8,"FY-3"),MIN(E153,E168*capacity))</f>
        <v>875.34555712270821</v>
      </c>
      <c r="F210" s="1082">
        <f>IF(VLOOKUP(F177,ProductsRangeOper,3,FALSE)="Special Offer",SpecialOffero(F177,8,"FY-3"),MIN(F153,F168*capacity))</f>
        <v>1240</v>
      </c>
      <c r="G210" s="1082">
        <f>IF(VLOOKUP(G177,ProductsRangeOper,3,FALSE)="Special Offer",SpecialOffero(G177,8,"FY-3"),MIN(G153,G168*capacity))</f>
        <v>1240</v>
      </c>
      <c r="H210" s="1082">
        <f>IF(VLOOKUP(H177,ProductsRangeOper,3,FALSE)="Special Offer",SpecialOffero(H177,8,"FY-3"),MIN(H153,H168*capacity))</f>
        <v>973.71445248000009</v>
      </c>
      <c r="I210" s="1082">
        <f>IF(VLOOKUP(I177,ProductsRangeOper,3,FALSE)="Special Offer",SpecialOffero(I177,8,"FY-3"),MIN(I153,I168*capacity))</f>
        <v>0</v>
      </c>
      <c r="J210" s="1082">
        <f>IF(VLOOKUP(J177,ProductsRangeOper,3,FALSE)="Special Offer",SpecialOffero(J177,8,"FY-3"),MIN(J153,J168*capacity))</f>
        <v>7733.752620545074</v>
      </c>
      <c r="K210" s="1082">
        <f>IF(VLOOKUP(K177,ProductsRangeOper,3,FALSE)="Special Offer",SpecialOffero(K177,8,"FY-3"),MIN(K153,K168*capacity))</f>
        <v>7804.6544428772904</v>
      </c>
      <c r="L210" s="1082">
        <f>IF(VLOOKUP(L177,ProductsRangeOper,3,FALSE)="Special Offer",SpecialOffero(L177,8,"FY-3"),MIN(L153,L168*capacity))</f>
        <v>266.28554751999764</v>
      </c>
      <c r="M210" s="307"/>
      <c r="N210" s="1085"/>
      <c r="O210" s="1100"/>
      <c r="P210" s="1100"/>
      <c r="R210" s="312"/>
      <c r="S210" s="312"/>
    </row>
    <row r="211" spans="1:23" s="1010" customFormat="1">
      <c r="A211" s="1092"/>
      <c r="B211" s="1101" t="s">
        <v>33</v>
      </c>
      <c r="C211" s="1078" t="s">
        <v>39</v>
      </c>
      <c r="D211" s="1082">
        <f>IF(VLOOKUP(D177,ProductsRangeOper,3,FALSE)="Special Offer",SpecialOffero(D177,9,"FY-3"),MIN(D154,D169*capacity))</f>
        <v>811.0691823899374</v>
      </c>
      <c r="E211" s="1082">
        <f>IF(VLOOKUP(E177,ProductsRangeOper,3,FALSE)="Special Offer",SpecialOffero(E177,9,"FY-3"),MIN(E154,E169*capacity))</f>
        <v>803.13167259786496</v>
      </c>
      <c r="F211" s="1082">
        <f>IF(VLOOKUP(F177,ProductsRangeOper,3,FALSE)="Special Offer",SpecialOffero(F177,9,"FY-3"),MIN(F154,F169*capacity))</f>
        <v>1240</v>
      </c>
      <c r="G211" s="1082">
        <f>IF(VLOOKUP(G177,ProductsRangeOper,3,FALSE)="Special Offer",SpecialOffero(G177,9,"FY-3"),MIN(G154,G169*capacity))</f>
        <v>1240</v>
      </c>
      <c r="H211" s="1082">
        <f>IF(VLOOKUP(H177,ProductsRangeOper,3,FALSE)="Special Offer",SpecialOffero(H177,9,"FY-3"),MIN(H154,H169*capacity))</f>
        <v>1112.8165171200001</v>
      </c>
      <c r="I211" s="1082">
        <f>IF(VLOOKUP(I177,ProductsRangeOper,3,FALSE)="Special Offer",SpecialOffero(I177,9,"FY-3"),MIN(I154,I169*capacity))</f>
        <v>0</v>
      </c>
      <c r="J211" s="1082">
        <f>IF(VLOOKUP(J177,ProductsRangeOper,3,FALSE)="Special Offer",SpecialOffero(J177,9,"FY-3"),MIN(J154,J169*capacity))</f>
        <v>6628.9308176100621</v>
      </c>
      <c r="K211" s="1082">
        <f>IF(VLOOKUP(K177,ProductsRangeOper,3,FALSE)="Special Offer",SpecialOffero(K177,9,"FY-3"),MIN(K154,K169*capacity))</f>
        <v>7876.868327402135</v>
      </c>
      <c r="L211" s="1082">
        <f>IF(VLOOKUP(L177,ProductsRangeOper,3,FALSE)="Special Offer",SpecialOffero(L177,9,"FY-3"),MIN(L154,L169*capacity))</f>
        <v>127.18348287999834</v>
      </c>
      <c r="M211" s="307"/>
      <c r="N211" s="1085"/>
      <c r="O211" s="1100"/>
      <c r="P211" s="1100"/>
      <c r="R211" s="312"/>
      <c r="S211" s="312"/>
    </row>
    <row r="212" spans="1:23" s="1010" customFormat="1">
      <c r="A212" s="1092"/>
      <c r="B212" s="1101" t="s">
        <v>33</v>
      </c>
      <c r="C212" s="1078" t="s">
        <v>38</v>
      </c>
      <c r="D212" s="1082">
        <f>IF(VLOOKUP(D177,ProductsRangeOper,3,FALSE)="Special Offer",SpecialOffero(D177,10,"FY-3"),MIN(D155,D170*capacity))</f>
        <v>742.00230149597269</v>
      </c>
      <c r="E212" s="1082">
        <f>IF(VLOOKUP(E177,ProductsRangeOper,3,FALSE)="Special Offer",SpecialOffero(E177,10,"FY-3"),MIN(E155,E170*capacity))</f>
        <v>744.71607314725713</v>
      </c>
      <c r="F212" s="1082">
        <f>IF(VLOOKUP(F177,ProductsRangeOper,3,FALSE)="Special Offer",SpecialOffero(F177,10,"FY-3"),MIN(F155,F170*capacity))</f>
        <v>1182.3675494400002</v>
      </c>
      <c r="G212" s="1082">
        <f>IF(VLOOKUP(G177,ProductsRangeOper,3,FALSE)="Special Offer",SpecialOffero(G177,10,"FY-3"),MIN(G155,G170*capacity))</f>
        <v>1240</v>
      </c>
      <c r="H212" s="1082">
        <f>IF(VLOOKUP(H177,ProductsRangeOper,3,FALSE)="Special Offer",SpecialOffero(H177,10,"FY-3"),MIN(H155,H170*capacity))</f>
        <v>1240</v>
      </c>
      <c r="I212" s="1082">
        <f>IF(VLOOKUP(I177,ProductsRangeOper,3,FALSE)="Special Offer",SpecialOffero(I177,10,"FY-3"),MIN(I155,I170*capacity))</f>
        <v>1112.8165171200001</v>
      </c>
      <c r="J212" s="1082">
        <f>IF(VLOOKUP(J177,ProductsRangeOper,3,FALSE)="Special Offer",SpecialOffero(J177,10,"FY-3"),MIN(J155,J170*capacity))</f>
        <v>5457.9976985040275</v>
      </c>
      <c r="K212" s="1082">
        <f>IF(VLOOKUP(K177,ProductsRangeOper,3,FALSE)="Special Offer",SpecialOffero(K177,10,"FY-3"),MIN(K155,K170*capacity))</f>
        <v>6695.2839268527423</v>
      </c>
      <c r="L212" s="1082">
        <f>IF(VLOOKUP(L177,ProductsRangeOper,3,FALSE)="Special Offer",SpecialOffero(L177,10,"FY-3"),MIN(L155,L170*capacity))</f>
        <v>184.81593344000066</v>
      </c>
      <c r="M212" s="307"/>
      <c r="N212" s="1085"/>
      <c r="O212" s="1100"/>
      <c r="P212" s="1100"/>
      <c r="R212" s="312"/>
      <c r="S212" s="312"/>
    </row>
    <row r="213" spans="1:23" s="1010" customFormat="1">
      <c r="A213" s="1092"/>
      <c r="B213" s="1101" t="s">
        <v>33</v>
      </c>
      <c r="C213" s="1078" t="s">
        <v>37</v>
      </c>
      <c r="D213" s="1082">
        <f>IF(VLOOKUP(D177,ProductsRangeOper,3,FALSE)="Special Offer",SpecialOffero(D177,11,"FY-3"),MIN(D156,D171*capacity))</f>
        <v>470.80012169151217</v>
      </c>
      <c r="E213" s="1082">
        <f>IF(VLOOKUP(E177,ProductsRangeOper,3,FALSE)="Special Offer",SpecialOffero(E177,11,"FY-3"),MIN(E156,E171*capacity))</f>
        <v>470.80012169151217</v>
      </c>
      <c r="F213" s="1082">
        <f>IF(VLOOKUP(F177,ProductsRangeOper,3,FALSE)="Special Offer",SpecialOffero(F177,11,"FY-3"),MIN(F156,F171*capacity))</f>
        <v>752.4157132800002</v>
      </c>
      <c r="G213" s="1082">
        <f>IF(VLOOKUP(G177,ProductsRangeOper,3,FALSE)="Special Offer",SpecialOffero(G177,11,"FY-3"),MIN(G156,G171*capacity))</f>
        <v>840.93520896000007</v>
      </c>
      <c r="H213" s="1082">
        <f>IF(VLOOKUP(H177,ProductsRangeOper,3,FALSE)="Special Offer",SpecialOffero(H177,11,"FY-3"),MIN(H156,H171*capacity))</f>
        <v>1240</v>
      </c>
      <c r="I213" s="1082">
        <f>IF(VLOOKUP(I177,ProductsRangeOper,3,FALSE)="Special Offer",SpecialOffero(I177,11,"FY-3"),MIN(I156,I171*capacity))</f>
        <v>1240</v>
      </c>
      <c r="J213" s="1082">
        <f>IF(VLOOKUP(J177,ProductsRangeOper,3,FALSE)="Special Offer",SpecialOffero(J177,11,"FY-3"),MIN(J156,J171*capacity))</f>
        <v>4489.1998783084882</v>
      </c>
      <c r="K213" s="1082">
        <f>IF(VLOOKUP(K177,ProductsRangeOper,3,FALSE)="Special Offer",SpecialOffero(K177,11,"FY-3"),MIN(K156,K171*capacity))</f>
        <v>4489.1998783084882</v>
      </c>
      <c r="L213" s="1082">
        <f>IF(VLOOKUP(L177,ProductsRangeOper,3,FALSE)="Special Offer",SpecialOffero(L177,11,"FY-3"),MIN(L156,L171*capacity))</f>
        <v>886.64907775999745</v>
      </c>
      <c r="M213" s="307"/>
      <c r="N213" s="1085"/>
      <c r="O213" s="1100"/>
      <c r="P213" s="1100"/>
      <c r="R213" s="312"/>
      <c r="S213" s="312"/>
    </row>
    <row r="214" spans="1:23" s="1010" customFormat="1">
      <c r="A214" s="1092"/>
      <c r="B214" s="1101" t="s">
        <v>33</v>
      </c>
      <c r="C214" s="1078" t="s">
        <v>36</v>
      </c>
      <c r="D214" s="1082">
        <f>IF(VLOOKUP(D177,ProductsRangeOper,3,FALSE)="Special Offer",SpecialOffero(D177,12,"FY-3"),MIN(D157,D172*capacity))</f>
        <v>470.80012169151217</v>
      </c>
      <c r="E214" s="1082">
        <f>IF(VLOOKUP(E177,ProductsRangeOper,3,FALSE)="Special Offer",SpecialOffero(E177,12,"FY-3"),MIN(E157,E172*capacity))</f>
        <v>464.68085106382995</v>
      </c>
      <c r="F214" s="1082">
        <f>IF(VLOOKUP(F177,ProductsRangeOper,3,FALSE)="Special Offer",SpecialOffero(F177,12,"FY-3"),MIN(F157,F172*capacity))</f>
        <v>752.4157132800002</v>
      </c>
      <c r="G214" s="1082">
        <f>IF(VLOOKUP(G177,ProductsRangeOper,3,FALSE)="Special Offer",SpecialOffero(G177,12,"FY-3"),MIN(G157,G172*capacity))</f>
        <v>840.93520896000007</v>
      </c>
      <c r="H214" s="1082">
        <f>IF(VLOOKUP(H177,ProductsRangeOper,3,FALSE)="Special Offer",SpecialOffero(H177,12,"FY-3"),MIN(H157,H172*capacity))</f>
        <v>1240</v>
      </c>
      <c r="I214" s="1082">
        <f>IF(VLOOKUP(I177,ProductsRangeOper,3,FALSE)="Special Offer",SpecialOffero(I177,12,"FY-3"),MIN(I157,I172*capacity))</f>
        <v>1240</v>
      </c>
      <c r="J214" s="1082">
        <f>IF(VLOOKUP(J177,ProductsRangeOper,3,FALSE)="Special Offer",SpecialOffero(J177,12,"FY-3"),MIN(J157,J172*capacity))</f>
        <v>4489.1998783084882</v>
      </c>
      <c r="K214" s="1082">
        <f>IF(VLOOKUP(K177,ProductsRangeOper,3,FALSE)="Special Offer",SpecialOffero(K177,12,"FY-3"),MIN(K157,K172*capacity))</f>
        <v>3255.3191489361702</v>
      </c>
      <c r="L214" s="1082">
        <f>IF(VLOOKUP(L177,ProductsRangeOper,3,FALSE)="Special Offer",SpecialOffero(L177,12,"FY-3"),MIN(L157,L172*capacity))</f>
        <v>886.64907775999745</v>
      </c>
      <c r="M214" s="307"/>
      <c r="N214" s="1085"/>
      <c r="O214" s="1100"/>
      <c r="P214" s="1100"/>
      <c r="R214" s="312"/>
      <c r="S214" s="312"/>
    </row>
    <row r="215" spans="1:23" s="1010" customFormat="1">
      <c r="A215" s="1092"/>
      <c r="D215" s="1082"/>
      <c r="E215" s="1082"/>
      <c r="F215" s="1082"/>
      <c r="G215" s="1082"/>
      <c r="H215" s="1082"/>
      <c r="I215" s="1082"/>
      <c r="J215" s="307"/>
      <c r="K215" s="1102"/>
      <c r="L215" s="307"/>
      <c r="M215" s="307"/>
      <c r="N215" s="1085"/>
      <c r="O215" s="1100"/>
      <c r="P215" s="1100"/>
      <c r="R215" s="312"/>
      <c r="S215" s="312"/>
    </row>
    <row r="216" spans="1:23">
      <c r="B216" s="1103"/>
      <c r="C216" s="1012"/>
      <c r="D216" s="1012"/>
      <c r="E216" s="1012"/>
      <c r="F216" s="1012"/>
      <c r="G216" s="1012"/>
      <c r="H216" s="1012"/>
      <c r="I216" s="294"/>
      <c r="J216" s="294"/>
      <c r="K216" s="296"/>
      <c r="L216" s="1046"/>
      <c r="M216" s="1046"/>
      <c r="N216" s="1012"/>
      <c r="O216" s="1012"/>
      <c r="P216" s="1012"/>
      <c r="Q216" s="1012"/>
      <c r="R216" s="1012"/>
      <c r="S216" s="1012"/>
      <c r="T216" s="1012"/>
      <c r="U216" s="1074"/>
      <c r="V216" s="1047"/>
      <c r="W216" s="1047"/>
    </row>
    <row r="217" spans="1:23">
      <c r="B217" s="1012"/>
      <c r="C217" s="1012"/>
      <c r="D217" s="1012"/>
      <c r="E217" s="1104"/>
      <c r="F217" s="1012"/>
      <c r="G217" s="1012"/>
      <c r="H217" s="1012"/>
      <c r="I217" s="1012"/>
      <c r="J217" s="1012"/>
      <c r="K217" s="1012"/>
      <c r="L217" s="1012"/>
      <c r="M217" s="1012"/>
      <c r="N217" s="1012"/>
      <c r="O217" s="1012"/>
      <c r="P217" s="1012"/>
      <c r="Q217" s="1012"/>
      <c r="R217" s="1012"/>
      <c r="S217" s="1012"/>
      <c r="T217" s="1012"/>
      <c r="U217" s="1074"/>
      <c r="V217" s="1047"/>
      <c r="W217" s="1047"/>
    </row>
    <row r="218" spans="1:23">
      <c r="B218" s="1105"/>
      <c r="C218" s="1013"/>
      <c r="D218" s="1013"/>
      <c r="E218" s="1012"/>
      <c r="F218" s="1012"/>
      <c r="G218" s="1012"/>
      <c r="H218" s="1012"/>
      <c r="I218" s="1012"/>
      <c r="J218" s="1012"/>
      <c r="K218" s="1012"/>
      <c r="L218" s="1012"/>
      <c r="M218" s="1012"/>
      <c r="N218" s="1012"/>
      <c r="O218" s="1012"/>
      <c r="P218" s="1012"/>
      <c r="Q218" s="1012"/>
      <c r="R218" s="1012"/>
      <c r="S218" s="1012"/>
      <c r="T218" s="1012"/>
      <c r="U218" s="1074"/>
      <c r="V218" s="1047"/>
      <c r="W218" s="1047"/>
    </row>
    <row r="219" spans="1:23">
      <c r="B219" s="1010"/>
      <c r="C219" s="1010"/>
      <c r="D219" s="1010"/>
      <c r="E219" s="1010"/>
      <c r="F219" s="1010"/>
      <c r="G219" s="1010"/>
      <c r="H219" s="1010"/>
      <c r="I219" s="1010"/>
      <c r="J219" s="1010"/>
      <c r="K219" s="1010"/>
      <c r="L219" s="1010"/>
      <c r="M219" s="1010"/>
      <c r="N219" s="1010"/>
      <c r="O219" s="1010"/>
      <c r="P219" s="1010"/>
      <c r="Q219" s="1010"/>
      <c r="R219" s="1010"/>
      <c r="S219" s="1010"/>
      <c r="T219" s="1010"/>
      <c r="U219" s="1010"/>
    </row>
    <row r="220" spans="1:23">
      <c r="B220" s="1010"/>
      <c r="C220" s="1010"/>
      <c r="D220" s="1010"/>
      <c r="E220" s="1010"/>
      <c r="F220" s="1010"/>
      <c r="G220" s="1010"/>
      <c r="H220" s="1010"/>
      <c r="I220" s="1010"/>
      <c r="J220" s="1010"/>
      <c r="K220" s="1010"/>
      <c r="L220" s="1010"/>
      <c r="M220" s="1010"/>
      <c r="N220" s="1010"/>
      <c r="O220" s="1010"/>
      <c r="P220" s="1010"/>
      <c r="Q220" s="1010"/>
      <c r="R220" s="1010"/>
      <c r="S220" s="1010"/>
      <c r="T220" s="1010"/>
      <c r="U220" s="1010"/>
    </row>
    <row r="221" spans="1:23">
      <c r="B221" s="1010"/>
      <c r="C221" s="1010"/>
      <c r="D221" s="1010"/>
      <c r="E221" s="1010"/>
      <c r="F221" s="1010"/>
      <c r="G221" s="1010"/>
      <c r="H221" s="1010"/>
      <c r="I221" s="1010"/>
      <c r="J221" s="1010"/>
      <c r="K221" s="1010"/>
      <c r="L221" s="1010"/>
      <c r="M221" s="1010"/>
      <c r="N221" s="1010"/>
      <c r="O221" s="1010"/>
      <c r="P221" s="1010"/>
      <c r="Q221" s="1010"/>
      <c r="R221" s="1010"/>
      <c r="S221" s="1010"/>
      <c r="T221" s="1010"/>
      <c r="U221" s="1010"/>
    </row>
    <row r="222" spans="1:23">
      <c r="A222" s="1010"/>
      <c r="B222" s="1010"/>
      <c r="C222" s="1010"/>
      <c r="D222" s="1010"/>
      <c r="E222" s="1010"/>
      <c r="F222" s="1010"/>
      <c r="G222" s="1010"/>
      <c r="H222" s="1010"/>
      <c r="I222" s="1010"/>
      <c r="J222" s="1010"/>
      <c r="K222" s="1010"/>
      <c r="L222" s="1010"/>
      <c r="M222" s="1010"/>
      <c r="N222" s="1010"/>
      <c r="O222" s="1010"/>
      <c r="P222" s="1010"/>
      <c r="Q222" s="1010"/>
      <c r="R222" s="1010"/>
      <c r="S222" s="1010"/>
      <c r="T222" s="1010"/>
    </row>
    <row r="223" spans="1:23">
      <c r="A223" s="1010"/>
      <c r="B223" s="1010"/>
      <c r="C223" s="1010"/>
      <c r="D223" s="1010"/>
      <c r="E223" s="1010"/>
      <c r="F223" s="1010"/>
      <c r="G223" s="1010"/>
      <c r="H223" s="1010"/>
      <c r="I223" s="1010"/>
      <c r="J223" s="1010"/>
      <c r="K223" s="1010"/>
      <c r="L223" s="1010"/>
      <c r="M223" s="1010"/>
      <c r="N223" s="1010"/>
      <c r="O223" s="1010"/>
      <c r="P223" s="1010"/>
      <c r="Q223" s="1010"/>
      <c r="R223" s="1010"/>
      <c r="S223" s="1010"/>
      <c r="T223" s="1010"/>
    </row>
    <row r="224" spans="1:23">
      <c r="A224" s="1106"/>
      <c r="B224" s="1067"/>
      <c r="C224" s="674"/>
      <c r="D224" s="674"/>
      <c r="E224" s="674"/>
      <c r="F224" s="1106"/>
      <c r="G224" s="1010"/>
      <c r="H224" s="1010"/>
      <c r="I224" s="1010"/>
      <c r="J224" s="1010"/>
      <c r="K224" s="1010"/>
      <c r="L224" s="1010"/>
      <c r="M224" s="1010"/>
      <c r="N224" s="1010"/>
      <c r="O224" s="1010"/>
      <c r="P224" s="1010"/>
      <c r="Q224" s="1010"/>
      <c r="R224" s="1010"/>
      <c r="S224" s="1010"/>
      <c r="T224" s="1010"/>
    </row>
    <row r="225" spans="1:20">
      <c r="A225" s="1010"/>
      <c r="B225" s="1010"/>
      <c r="C225" s="1010"/>
      <c r="D225" s="1010"/>
      <c r="E225" s="1010"/>
      <c r="F225" s="1010"/>
      <c r="G225" s="1010"/>
      <c r="H225" s="1010"/>
      <c r="I225" s="1010"/>
      <c r="J225" s="1010"/>
      <c r="K225" s="1010"/>
      <c r="L225" s="1010"/>
      <c r="M225" s="1010"/>
      <c r="N225" s="1010"/>
      <c r="O225" s="1010"/>
      <c r="P225" s="1010"/>
      <c r="Q225" s="1010"/>
      <c r="R225" s="1010"/>
      <c r="S225" s="1010"/>
      <c r="T225" s="1010"/>
    </row>
    <row r="226" spans="1:20">
      <c r="A226" s="1010"/>
      <c r="B226" s="1010"/>
      <c r="C226" s="1010"/>
      <c r="D226" s="1010"/>
      <c r="E226" s="1010"/>
      <c r="F226" s="1010"/>
      <c r="G226" s="1010"/>
      <c r="H226" s="1010"/>
      <c r="I226" s="1010"/>
      <c r="J226" s="1010"/>
      <c r="K226" s="1010"/>
      <c r="L226" s="1010"/>
      <c r="M226" s="1010"/>
      <c r="N226" s="1010"/>
      <c r="O226" s="1010"/>
      <c r="P226" s="1010"/>
      <c r="Q226" s="1010"/>
      <c r="R226" s="1010"/>
      <c r="S226" s="1010"/>
      <c r="T226" s="1010"/>
    </row>
    <row r="227" spans="1:20">
      <c r="A227" s="1010"/>
      <c r="B227" s="1010"/>
      <c r="C227" s="1010"/>
      <c r="D227" s="1010"/>
      <c r="E227" s="1010"/>
      <c r="F227" s="1010"/>
      <c r="G227" s="1010"/>
      <c r="H227" s="1010"/>
      <c r="I227" s="1010"/>
      <c r="J227" s="1010"/>
      <c r="K227" s="1010"/>
      <c r="L227" s="1010"/>
      <c r="M227" s="1010"/>
      <c r="N227" s="1010"/>
      <c r="O227" s="1010"/>
      <c r="P227" s="1010"/>
      <c r="Q227" s="1010"/>
      <c r="R227" s="1010"/>
      <c r="S227" s="1010"/>
      <c r="T227" s="1010"/>
    </row>
  </sheetData>
  <mergeCells count="2">
    <mergeCell ref="E8:G8"/>
    <mergeCell ref="M8:O8"/>
  </mergeCells>
  <phoneticPr fontId="87" type="noConversion"/>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8</xdr:col>
                <xdr:colOff>219075</xdr:colOff>
                <xdr:row>1</xdr:row>
                <xdr:rowOff>9525</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FF00"/>
  </sheetPr>
  <dimension ref="A1:V296"/>
  <sheetViews>
    <sheetView showGridLines="0" showRowColHeaders="0" zoomScaleNormal="100" workbookViewId="0">
      <pane ySplit="1" topLeftCell="A5" activePane="bottomLeft" state="frozen"/>
      <selection activeCell="D50" sqref="D50"/>
      <selection pane="bottomLeft" activeCell="G16" sqref="G16"/>
    </sheetView>
  </sheetViews>
  <sheetFormatPr defaultColWidth="9.140625" defaultRowHeight="12.75"/>
  <cols>
    <col min="1" max="1" width="9.140625" style="1011"/>
    <col min="2" max="2" width="12.42578125" style="1011" customWidth="1"/>
    <col min="3" max="3" width="12.5703125" style="1011" customWidth="1"/>
    <col min="4" max="4" width="9.140625" style="1011"/>
    <col min="5" max="5" width="11.5703125" style="1011" bestFit="1" customWidth="1"/>
    <col min="6" max="6" width="11.5703125" style="1011" customWidth="1"/>
    <col min="7" max="7" width="11.42578125" style="1011" customWidth="1"/>
    <col min="8" max="8" width="10.42578125" style="1011" customWidth="1"/>
    <col min="9" max="9" width="9.85546875" style="1011" bestFit="1" customWidth="1"/>
    <col min="10" max="10" width="9.140625" style="1011"/>
    <col min="11" max="11" width="10.5703125" style="1011" bestFit="1" customWidth="1"/>
    <col min="12" max="12" width="9.140625" style="1011"/>
    <col min="13" max="13" width="10.85546875" style="1011" bestFit="1" customWidth="1"/>
    <col min="14" max="16384" width="9.140625" style="1011"/>
  </cols>
  <sheetData>
    <row r="1" spans="1:22" s="1010" customFormat="1" ht="32.1" customHeight="1"/>
    <row r="2" spans="1:22" s="1010" customFormat="1" ht="41.25" customHeight="1"/>
    <row r="3" spans="1:22" s="1010" customFormat="1" ht="12.75" customHeight="1"/>
    <row r="4" spans="1:22">
      <c r="A4" s="1010"/>
      <c r="B4" s="1010"/>
      <c r="C4" s="1010"/>
      <c r="D4" s="1010"/>
      <c r="E4" s="1010"/>
      <c r="F4" s="1010"/>
      <c r="G4" s="1010"/>
      <c r="H4" s="1010"/>
      <c r="I4" s="1010"/>
      <c r="J4" s="1010"/>
      <c r="K4" s="1010"/>
      <c r="L4" s="1010"/>
      <c r="M4" s="1010"/>
      <c r="N4" s="1010"/>
      <c r="O4" s="1010"/>
      <c r="P4" s="1010"/>
      <c r="Q4" s="1010"/>
      <c r="R4" s="1010"/>
      <c r="S4" s="1010"/>
      <c r="T4" s="1010"/>
      <c r="U4" s="1010"/>
    </row>
    <row r="5" spans="1:22">
      <c r="A5" s="1012"/>
      <c r="B5" s="1012"/>
      <c r="C5" s="1012"/>
      <c r="D5" s="1012"/>
      <c r="E5" s="1012"/>
      <c r="F5" s="1012"/>
      <c r="G5" s="1012"/>
      <c r="H5" s="1012"/>
      <c r="I5" s="1012"/>
      <c r="J5" s="1012"/>
      <c r="K5" s="1012"/>
      <c r="L5" s="1012"/>
      <c r="M5" s="1012"/>
      <c r="N5" s="1012"/>
      <c r="O5" s="1013"/>
      <c r="P5" s="1012"/>
      <c r="Q5" s="1012"/>
      <c r="R5" s="1012"/>
      <c r="S5" s="1012"/>
      <c r="T5" s="1012"/>
      <c r="U5" s="1012"/>
      <c r="V5" s="1014"/>
    </row>
    <row r="6" spans="1:22" ht="15.75">
      <c r="A6" s="1373">
        <v>1</v>
      </c>
      <c r="B6" s="1071" t="s">
        <v>359</v>
      </c>
      <c r="C6" s="1293"/>
      <c r="D6" s="1293"/>
      <c r="E6" s="1293"/>
      <c r="F6" s="1374"/>
      <c r="G6" s="1018"/>
      <c r="H6" s="1018"/>
      <c r="I6" s="1019"/>
      <c r="J6" s="1018"/>
      <c r="K6" s="1018"/>
      <c r="L6" s="1018"/>
      <c r="M6" s="1020"/>
      <c r="N6" s="1018"/>
      <c r="O6" s="1018"/>
      <c r="P6" s="1018"/>
      <c r="Q6" s="1018"/>
      <c r="R6" s="1013"/>
      <c r="S6" s="1012"/>
      <c r="T6" s="1012"/>
      <c r="U6" s="1012"/>
      <c r="V6" s="1014"/>
    </row>
    <row r="7" spans="1:22" s="1018" customFormat="1" ht="11.25">
      <c r="A7" s="1029"/>
      <c r="D7" s="1308"/>
      <c r="E7" s="1375"/>
      <c r="F7" s="1323" t="s">
        <v>330</v>
      </c>
      <c r="G7" s="1323"/>
      <c r="H7" s="1029"/>
    </row>
    <row r="8" spans="1:22" s="1018" customFormat="1" ht="11.25">
      <c r="A8" s="1029"/>
      <c r="B8" s="1317" t="s">
        <v>329</v>
      </c>
      <c r="C8" s="1376"/>
      <c r="D8" s="1377" t="s">
        <v>328</v>
      </c>
      <c r="E8" s="1378" t="s">
        <v>84</v>
      </c>
      <c r="F8" s="1024" t="s">
        <v>34</v>
      </c>
      <c r="G8" s="436" t="s">
        <v>33</v>
      </c>
      <c r="H8" s="1029"/>
      <c r="I8" s="1029"/>
      <c r="J8" s="1029"/>
    </row>
    <row r="9" spans="1:22" s="1018" customFormat="1" ht="11.25">
      <c r="B9" s="1379" t="s">
        <v>640</v>
      </c>
      <c r="C9" s="1030"/>
      <c r="D9" s="517">
        <v>15000</v>
      </c>
      <c r="E9" s="420">
        <v>1</v>
      </c>
      <c r="F9" s="518">
        <v>1.03</v>
      </c>
      <c r="G9" s="518">
        <v>1.04</v>
      </c>
      <c r="H9" s="302"/>
      <c r="I9" s="264"/>
      <c r="J9" s="264"/>
      <c r="K9" s="264"/>
    </row>
    <row r="10" spans="1:22" s="1018" customFormat="1" ht="11.25">
      <c r="B10" s="1379" t="s">
        <v>75</v>
      </c>
      <c r="C10" s="1030"/>
      <c r="D10" s="517">
        <v>14000</v>
      </c>
      <c r="E10" s="420">
        <v>1</v>
      </c>
      <c r="F10" s="518">
        <v>1.03</v>
      </c>
      <c r="G10" s="518">
        <v>1.05</v>
      </c>
      <c r="H10" s="302"/>
      <c r="I10" s="264"/>
      <c r="J10" s="264"/>
      <c r="K10" s="264"/>
    </row>
    <row r="11" spans="1:22" s="1018" customFormat="1" ht="11.25">
      <c r="B11" s="1030" t="s">
        <v>74</v>
      </c>
      <c r="C11" s="1030"/>
      <c r="D11" s="517">
        <v>25000</v>
      </c>
      <c r="E11" s="420">
        <v>0.5</v>
      </c>
      <c r="F11" s="518">
        <v>1.04</v>
      </c>
      <c r="G11" s="518">
        <v>1.06</v>
      </c>
      <c r="H11" s="302"/>
      <c r="I11" s="264"/>
      <c r="J11" s="264"/>
      <c r="K11" s="264"/>
    </row>
    <row r="12" spans="1:22" s="1018" customFormat="1" ht="11.25">
      <c r="B12" s="1379" t="s">
        <v>73</v>
      </c>
      <c r="C12" s="1033"/>
      <c r="D12" s="517">
        <v>1500</v>
      </c>
      <c r="E12" s="420">
        <v>0.5</v>
      </c>
      <c r="F12" s="518">
        <v>1.07</v>
      </c>
      <c r="G12" s="518">
        <v>1.1100000000000001</v>
      </c>
      <c r="H12" s="1029"/>
      <c r="I12" s="264"/>
      <c r="J12" s="264"/>
      <c r="K12" s="264"/>
    </row>
    <row r="13" spans="1:22" s="1018" customFormat="1" ht="11.25">
      <c r="B13" s="1380"/>
      <c r="C13" s="1380"/>
      <c r="K13" s="437"/>
    </row>
    <row r="14" spans="1:22" s="1018" customFormat="1" ht="11.25">
      <c r="B14" s="1029"/>
      <c r="C14" s="1029"/>
      <c r="D14" s="1106" t="s">
        <v>35</v>
      </c>
      <c r="E14" s="1106" t="s">
        <v>34</v>
      </c>
      <c r="F14" s="1106" t="s">
        <v>33</v>
      </c>
      <c r="K14" s="437"/>
    </row>
    <row r="15" spans="1:22" s="1018" customFormat="1">
      <c r="B15" s="1021" t="s">
        <v>101</v>
      </c>
      <c r="C15" s="1029"/>
      <c r="D15" s="1381">
        <f>SUM(D9:D13)</f>
        <v>55500</v>
      </c>
      <c r="E15" s="1381">
        <f>SUMPRODUCT(D9:D13,F9:F13)</f>
        <v>57475</v>
      </c>
      <c r="F15" s="1381">
        <f>SUMPRODUCT(D9:D13,G9:G13,F9:F13)</f>
        <v>60550.55</v>
      </c>
      <c r="K15" s="437"/>
    </row>
    <row r="16" spans="1:22" s="1018" customFormat="1" ht="11.25">
      <c r="B16" s="1029"/>
      <c r="C16" s="1029"/>
      <c r="K16" s="437"/>
    </row>
    <row r="17" spans="1:11" s="1018" customFormat="1" ht="11.25">
      <c r="K17" s="437"/>
    </row>
    <row r="18" spans="1:11" s="1018" customFormat="1" ht="15.75">
      <c r="A18" s="1291">
        <v>2</v>
      </c>
      <c r="B18" s="1071" t="s">
        <v>452</v>
      </c>
      <c r="C18" s="1374"/>
      <c r="D18" s="1374"/>
      <c r="E18" s="1374"/>
      <c r="F18" s="1374"/>
    </row>
    <row r="19" spans="1:11" s="1018" customFormat="1" ht="12.75" customHeight="1">
      <c r="A19" s="1021"/>
      <c r="B19" s="1022"/>
      <c r="D19" s="1301" t="s">
        <v>333</v>
      </c>
      <c r="E19" s="1323" t="s">
        <v>334</v>
      </c>
      <c r="F19" s="1323"/>
    </row>
    <row r="20" spans="1:11" s="1018" customFormat="1" ht="12.75" customHeight="1">
      <c r="A20" s="1021"/>
      <c r="B20" s="1022"/>
      <c r="D20" s="1301" t="s">
        <v>35</v>
      </c>
      <c r="E20" s="1301" t="s">
        <v>34</v>
      </c>
      <c r="F20" s="1301" t="s">
        <v>33</v>
      </c>
    </row>
    <row r="21" spans="1:11" s="1018" customFormat="1" ht="12.75" customHeight="1">
      <c r="A21" s="1021"/>
      <c r="B21" s="1379" t="s">
        <v>82</v>
      </c>
      <c r="C21" s="1030"/>
      <c r="D21" s="517">
        <v>2500</v>
      </c>
      <c r="E21" s="518">
        <v>1.05</v>
      </c>
      <c r="F21" s="518">
        <v>1.07</v>
      </c>
      <c r="G21" s="1029"/>
      <c r="H21" s="1029"/>
      <c r="I21" s="291"/>
    </row>
    <row r="22" spans="1:11" s="1018" customFormat="1" ht="12.75" customHeight="1">
      <c r="A22" s="1021"/>
      <c r="B22" s="1379" t="s">
        <v>81</v>
      </c>
      <c r="C22" s="1030"/>
      <c r="D22" s="517">
        <v>3000</v>
      </c>
      <c r="E22" s="518">
        <v>1.02</v>
      </c>
      <c r="F22" s="518">
        <v>1.02</v>
      </c>
      <c r="G22" s="1029"/>
      <c r="H22" s="1029"/>
      <c r="I22" s="291"/>
    </row>
    <row r="23" spans="1:11" s="1018" customFormat="1" ht="12.75" customHeight="1">
      <c r="A23" s="1021"/>
      <c r="B23" s="1379" t="s">
        <v>80</v>
      </c>
      <c r="C23" s="1030"/>
      <c r="D23" s="517">
        <v>4500</v>
      </c>
      <c r="E23" s="518">
        <v>1.07</v>
      </c>
      <c r="F23" s="518">
        <v>1.07</v>
      </c>
      <c r="G23" s="1029"/>
      <c r="H23" s="1029"/>
      <c r="I23" s="291"/>
    </row>
    <row r="24" spans="1:11" s="1018" customFormat="1" ht="12.75" customHeight="1">
      <c r="A24" s="1021"/>
      <c r="B24" s="1379" t="s">
        <v>77</v>
      </c>
      <c r="C24" s="1030"/>
      <c r="D24" s="517">
        <v>6000</v>
      </c>
      <c r="E24" s="518">
        <v>1.1100000000000001</v>
      </c>
      <c r="F24" s="518">
        <v>1.1100000000000001</v>
      </c>
      <c r="G24" s="1029"/>
      <c r="H24" s="1029"/>
      <c r="I24" s="291"/>
    </row>
    <row r="25" spans="1:11" s="1018" customFormat="1" ht="12.75" customHeight="1">
      <c r="A25" s="1021"/>
      <c r="B25" s="1020" t="s">
        <v>76</v>
      </c>
      <c r="D25" s="290">
        <v>7500</v>
      </c>
      <c r="E25" s="264">
        <v>1.9</v>
      </c>
      <c r="F25" s="264">
        <v>0.9</v>
      </c>
      <c r="G25" s="1029"/>
      <c r="H25" s="1029"/>
      <c r="I25" s="291"/>
    </row>
    <row r="26" spans="1:11" s="1018" customFormat="1" ht="12.75" customHeight="1">
      <c r="A26" s="1021"/>
      <c r="G26" s="1029"/>
      <c r="H26" s="1029"/>
      <c r="I26" s="291"/>
    </row>
    <row r="27" spans="1:11" s="1018" customFormat="1" ht="12.75" customHeight="1">
      <c r="A27" s="1021"/>
      <c r="D27" s="1106" t="s">
        <v>35</v>
      </c>
      <c r="E27" s="1106" t="s">
        <v>34</v>
      </c>
      <c r="F27" s="1106" t="s">
        <v>33</v>
      </c>
      <c r="G27" s="1029"/>
      <c r="H27" s="1029"/>
      <c r="I27" s="291"/>
    </row>
    <row r="28" spans="1:11" s="1018" customFormat="1" ht="12.75" customHeight="1">
      <c r="A28" s="1021"/>
      <c r="B28" s="1022" t="s">
        <v>101</v>
      </c>
      <c r="C28" s="1069"/>
      <c r="D28" s="1326">
        <f>SUM(D21:D26)</f>
        <v>23500</v>
      </c>
      <c r="E28" s="1326">
        <f>SUMPRODUCT(D21:D26,E21:E26)</f>
        <v>31410</v>
      </c>
      <c r="F28" s="1326">
        <f>SUMPRODUCT(E21:E26,F21:F26,D21:D26)</f>
        <v>31299.600000000002</v>
      </c>
      <c r="G28" s="1029"/>
      <c r="H28" s="1029"/>
      <c r="I28" s="291"/>
    </row>
    <row r="29" spans="1:11" s="1018" customFormat="1" ht="12.75" customHeight="1">
      <c r="A29" s="1021"/>
      <c r="D29" s="1382"/>
      <c r="G29" s="1029"/>
      <c r="H29" s="1029"/>
      <c r="I29" s="291"/>
    </row>
    <row r="30" spans="1:11" s="1018" customFormat="1" ht="12.75" customHeight="1">
      <c r="A30" s="1021"/>
      <c r="G30" s="1029"/>
      <c r="H30" s="1029"/>
      <c r="I30" s="291"/>
    </row>
    <row r="31" spans="1:11" s="1018" customFormat="1" ht="15.75">
      <c r="A31" s="1291">
        <v>3</v>
      </c>
      <c r="B31" s="997" t="s">
        <v>365</v>
      </c>
      <c r="C31" s="1383"/>
      <c r="D31" s="998"/>
      <c r="E31" s="999"/>
      <c r="F31" s="999"/>
      <c r="G31" s="1029"/>
      <c r="H31" s="1029"/>
      <c r="I31" s="291"/>
    </row>
    <row r="32" spans="1:11" s="1018" customFormat="1" ht="11.25">
      <c r="D32" s="1301" t="s">
        <v>333</v>
      </c>
      <c r="E32" s="1323" t="s">
        <v>334</v>
      </c>
      <c r="F32" s="1323"/>
      <c r="G32" s="1029"/>
      <c r="H32" s="1029"/>
      <c r="I32" s="291"/>
    </row>
    <row r="33" spans="1:11" s="1018" customFormat="1" ht="12.75" customHeight="1">
      <c r="A33" s="1021"/>
      <c r="D33" s="1301" t="s">
        <v>35</v>
      </c>
      <c r="E33" s="1301" t="s">
        <v>34</v>
      </c>
      <c r="F33" s="1301" t="s">
        <v>33</v>
      </c>
      <c r="G33" s="1029"/>
      <c r="H33" s="1029"/>
      <c r="I33" s="291"/>
    </row>
    <row r="34" spans="1:11" s="1018" customFormat="1" ht="12.75" customHeight="1">
      <c r="A34" s="1021"/>
      <c r="B34" s="1379" t="s">
        <v>79</v>
      </c>
      <c r="C34" s="1030"/>
      <c r="D34" s="517">
        <v>30000</v>
      </c>
      <c r="E34" s="518">
        <v>1.1100000000000001</v>
      </c>
      <c r="F34" s="518">
        <v>1.2</v>
      </c>
    </row>
    <row r="35" spans="1:11" s="1018" customFormat="1" ht="12.75" customHeight="1">
      <c r="A35" s="1021"/>
      <c r="B35" s="1379" t="s">
        <v>1465</v>
      </c>
      <c r="C35" s="1030"/>
      <c r="D35" s="517">
        <v>5000</v>
      </c>
      <c r="E35" s="961">
        <v>1.02</v>
      </c>
      <c r="F35" s="961">
        <v>1.05</v>
      </c>
    </row>
    <row r="36" spans="1:11" s="1018" customFormat="1" ht="12.75" customHeight="1">
      <c r="A36" s="1021"/>
      <c r="B36" s="1379" t="s">
        <v>1466</v>
      </c>
      <c r="C36" s="1030"/>
      <c r="D36" s="517">
        <v>2500</v>
      </c>
      <c r="E36" s="961">
        <v>1.1000000000000001</v>
      </c>
      <c r="F36" s="961">
        <v>1.2</v>
      </c>
    </row>
    <row r="37" spans="1:11" s="1018" customFormat="1" ht="12.75" customHeight="1">
      <c r="A37" s="1021"/>
      <c r="B37" s="1379" t="s">
        <v>1473</v>
      </c>
      <c r="C37" s="1030"/>
      <c r="D37" s="517">
        <v>6000</v>
      </c>
      <c r="E37" s="961">
        <v>0.2</v>
      </c>
      <c r="F37" s="961">
        <v>0.2</v>
      </c>
    </row>
    <row r="38" spans="1:11" s="1018" customFormat="1" ht="12.75" customHeight="1">
      <c r="A38" s="1021"/>
      <c r="B38" s="1379" t="s">
        <v>1474</v>
      </c>
      <c r="C38" s="1030"/>
      <c r="D38" s="517">
        <v>3000</v>
      </c>
      <c r="E38" s="961">
        <v>1.1000000000000001</v>
      </c>
      <c r="F38" s="961">
        <v>1.1000000000000001</v>
      </c>
    </row>
    <row r="39" spans="1:11" s="1018" customFormat="1" ht="12.75" customHeight="1">
      <c r="A39" s="1021"/>
      <c r="B39" s="1379" t="s">
        <v>1475</v>
      </c>
      <c r="C39" s="1030"/>
      <c r="D39" s="517">
        <v>5000</v>
      </c>
      <c r="E39" s="961">
        <v>1.1100000000000001</v>
      </c>
      <c r="F39" s="961">
        <v>1.2</v>
      </c>
    </row>
    <row r="40" spans="1:11" s="1018" customFormat="1" ht="12.75" customHeight="1">
      <c r="A40" s="1021"/>
      <c r="B40" s="1020"/>
      <c r="D40" s="290"/>
      <c r="E40" s="264"/>
      <c r="F40" s="264"/>
    </row>
    <row r="41" spans="1:11" s="1018" customFormat="1" ht="12.75" customHeight="1">
      <c r="A41" s="1021"/>
      <c r="B41" s="1022" t="s">
        <v>101</v>
      </c>
      <c r="C41" s="1069"/>
      <c r="D41" s="1326">
        <f>SUM(D34:D40)</f>
        <v>51500</v>
      </c>
      <c r="E41" s="1326">
        <f>SUMPRODUCT(D34:D40,E34:E40)</f>
        <v>51200</v>
      </c>
      <c r="F41" s="1326">
        <f>SUMPRODUCT(D34:D40,E34:E40,F34:F40)</f>
        <v>59145</v>
      </c>
    </row>
    <row r="42" spans="1:11" s="1018" customFormat="1" ht="12.75" customHeight="1">
      <c r="A42" s="1021"/>
      <c r="B42" s="1020"/>
      <c r="D42" s="290"/>
      <c r="E42" s="264"/>
      <c r="F42" s="264"/>
    </row>
    <row r="43" spans="1:11" s="1018" customFormat="1" ht="12.75" customHeight="1">
      <c r="A43" s="1021"/>
      <c r="B43" s="1020"/>
      <c r="D43" s="290"/>
      <c r="E43" s="264"/>
      <c r="F43" s="264"/>
    </row>
    <row r="44" spans="1:11" s="1018" customFormat="1" ht="15.75">
      <c r="A44" s="1291">
        <v>4</v>
      </c>
      <c r="B44" s="1071" t="s">
        <v>83</v>
      </c>
      <c r="C44" s="1384"/>
      <c r="D44" s="1384"/>
      <c r="E44" s="1384"/>
      <c r="F44" s="1384"/>
      <c r="K44" s="439"/>
    </row>
    <row r="45" spans="1:11" s="1018" customFormat="1" ht="12.75" customHeight="1">
      <c r="A45" s="1021"/>
      <c r="F45" s="1323" t="s">
        <v>334</v>
      </c>
      <c r="G45" s="1323"/>
    </row>
    <row r="46" spans="1:11" s="1018" customFormat="1" ht="12.75" customHeight="1">
      <c r="A46" s="1021"/>
      <c r="D46" s="1024" t="s">
        <v>333</v>
      </c>
      <c r="E46" s="1317" t="s">
        <v>367</v>
      </c>
      <c r="F46" s="1024" t="s">
        <v>34</v>
      </c>
      <c r="G46" s="1024" t="s">
        <v>33</v>
      </c>
    </row>
    <row r="47" spans="1:11" s="1018" customFormat="1" ht="11.25">
      <c r="B47" s="1379" t="s">
        <v>332</v>
      </c>
      <c r="C47" s="1030"/>
      <c r="D47" s="517">
        <v>5000</v>
      </c>
      <c r="E47" s="420">
        <v>100</v>
      </c>
      <c r="F47" s="518">
        <v>1.08</v>
      </c>
      <c r="G47" s="518">
        <v>1.1599999999999999</v>
      </c>
      <c r="H47" s="1029"/>
      <c r="I47" s="291"/>
    </row>
    <row r="48" spans="1:11" s="1018" customFormat="1" ht="11.25"/>
    <row r="49" spans="1:11" s="1018" customFormat="1" ht="12.75" customHeight="1">
      <c r="A49" s="1021"/>
      <c r="C49" s="440"/>
      <c r="D49" s="1106" t="s">
        <v>35</v>
      </c>
      <c r="E49" s="1106" t="s">
        <v>34</v>
      </c>
      <c r="F49" s="1106" t="s">
        <v>33</v>
      </c>
    </row>
    <row r="50" spans="1:11" s="1018" customFormat="1">
      <c r="B50" s="1022" t="s">
        <v>101</v>
      </c>
      <c r="C50" s="1069"/>
      <c r="D50" s="1381">
        <f>SUM(D47:D48)</f>
        <v>5000</v>
      </c>
      <c r="E50" s="1381">
        <f>SUMPRODUCT(D47:D48,F47:F48)</f>
        <v>5400</v>
      </c>
      <c r="F50" s="1381">
        <f>SUMPRODUCT(D47:D48,G47:G48,F47:F48)</f>
        <v>6264</v>
      </c>
    </row>
    <row r="51" spans="1:11" s="1018" customFormat="1" ht="11.25"/>
    <row r="52" spans="1:11" s="1018" customFormat="1" ht="11.25"/>
    <row r="53" spans="1:11" s="1018" customFormat="1" ht="15.75">
      <c r="A53" s="1291">
        <v>5</v>
      </c>
      <c r="B53" s="1071" t="s">
        <v>335</v>
      </c>
      <c r="C53" s="1384"/>
      <c r="D53" s="1384"/>
      <c r="E53" s="1384"/>
      <c r="F53" s="1384"/>
      <c r="K53" s="315"/>
    </row>
    <row r="54" spans="1:11" s="1018" customFormat="1" ht="11.25">
      <c r="C54" s="440"/>
      <c r="D54" s="1106" t="s">
        <v>35</v>
      </c>
      <c r="E54" s="1106" t="s">
        <v>34</v>
      </c>
      <c r="F54" s="1106" t="s">
        <v>33</v>
      </c>
    </row>
    <row r="55" spans="1:11" s="1018" customFormat="1" ht="11.25">
      <c r="B55" s="1287" t="s">
        <v>340</v>
      </c>
      <c r="C55" s="1289"/>
      <c r="D55" s="1024" t="s">
        <v>641</v>
      </c>
      <c r="E55" s="1024" t="s">
        <v>336</v>
      </c>
      <c r="F55" s="1024" t="s">
        <v>341</v>
      </c>
      <c r="G55" s="1024" t="s">
        <v>339</v>
      </c>
      <c r="H55" s="1024" t="s">
        <v>342</v>
      </c>
      <c r="I55" s="1029"/>
    </row>
    <row r="56" spans="1:11" s="1018" customFormat="1" ht="11.25">
      <c r="B56" s="519" t="s">
        <v>338</v>
      </c>
      <c r="C56" s="1324"/>
      <c r="D56" s="947">
        <v>60000</v>
      </c>
      <c r="E56" s="948">
        <v>5.5E-2</v>
      </c>
      <c r="F56" s="519">
        <v>36</v>
      </c>
      <c r="G56" s="519">
        <v>12</v>
      </c>
      <c r="H56" s="519" t="s">
        <v>370</v>
      </c>
      <c r="I56" s="1029"/>
    </row>
    <row r="57" spans="1:11" s="1018" customFormat="1" ht="11.25">
      <c r="D57" s="1385"/>
      <c r="E57" s="1386"/>
    </row>
    <row r="58" spans="1:11" s="1018" customFormat="1">
      <c r="B58" s="1022" t="s">
        <v>678</v>
      </c>
      <c r="C58" s="1069"/>
      <c r="D58" s="1387">
        <f>SUM(D56:D56)</f>
        <v>60000</v>
      </c>
      <c r="E58" s="1054"/>
      <c r="F58" s="1054"/>
    </row>
    <row r="59" spans="1:11" s="1018" customFormat="1">
      <c r="B59" s="1022" t="s">
        <v>333</v>
      </c>
      <c r="C59" s="1069"/>
      <c r="D59" s="1387">
        <f>debtAnnualPaymentsFY1(DebtRangeFin)</f>
        <v>21697.572101648704</v>
      </c>
      <c r="E59" s="1387">
        <f>debtAnnualPaymentsFY2(DebtRangeFin)</f>
        <v>21697.572101648704</v>
      </c>
      <c r="F59" s="1387">
        <f>debtAnnualPaymentsFY3(DebtRangeFin)</f>
        <v>21697.572101648704</v>
      </c>
    </row>
    <row r="60" spans="1:11" s="1018" customFormat="1">
      <c r="B60" s="1022" t="s">
        <v>679</v>
      </c>
      <c r="C60" s="1069"/>
      <c r="D60" s="1387">
        <v>150000</v>
      </c>
      <c r="E60" s="1054"/>
      <c r="F60" s="1054"/>
    </row>
    <row r="61" spans="1:11" s="1018" customFormat="1">
      <c r="B61" s="1022"/>
      <c r="C61" s="1069"/>
      <c r="D61" s="1387"/>
      <c r="E61" s="1054"/>
      <c r="F61" s="1054"/>
    </row>
    <row r="62" spans="1:11" s="1018" customFormat="1" ht="11.25"/>
    <row r="63" spans="1:11" s="1018" customFormat="1" ht="15.75">
      <c r="A63" s="1291">
        <v>6</v>
      </c>
      <c r="B63" s="1071" t="s">
        <v>343</v>
      </c>
      <c r="C63" s="1384"/>
      <c r="D63" s="1384"/>
      <c r="E63" s="1384"/>
      <c r="F63" s="1384"/>
    </row>
    <row r="64" spans="1:11" s="1018" customFormat="1" ht="11.25">
      <c r="B64" s="1317" t="s">
        <v>344</v>
      </c>
      <c r="C64" s="1376"/>
      <c r="D64" s="1376" t="s">
        <v>345</v>
      </c>
    </row>
    <row r="65" spans="1:22" s="1018" customFormat="1" ht="11.25">
      <c r="B65" s="1030" t="s">
        <v>118</v>
      </c>
      <c r="C65" s="1030"/>
      <c r="D65" s="949">
        <v>0.29849999999999999</v>
      </c>
    </row>
    <row r="66" spans="1:22" s="1018" customFormat="1" ht="12.75" customHeight="1">
      <c r="A66" s="1021"/>
      <c r="C66" s="440"/>
    </row>
    <row r="67" spans="1:22" s="1018" customFormat="1" ht="12.75" customHeight="1">
      <c r="A67" s="1021"/>
      <c r="C67" s="440"/>
    </row>
    <row r="68" spans="1:22" s="1018" customFormat="1" ht="15.75" hidden="1">
      <c r="A68" s="1291">
        <v>7</v>
      </c>
      <c r="B68" s="1071" t="s">
        <v>356</v>
      </c>
      <c r="C68" s="1000"/>
      <c r="D68" s="1384"/>
      <c r="E68" s="1384"/>
      <c r="F68" s="1384"/>
    </row>
    <row r="69" spans="1:22" s="1018" customFormat="1" ht="11.25" hidden="1">
      <c r="B69" s="1317" t="s">
        <v>357</v>
      </c>
      <c r="C69" s="1376"/>
      <c r="D69" s="443" t="s">
        <v>337</v>
      </c>
    </row>
    <row r="70" spans="1:22" s="1018" customFormat="1" ht="11.25" hidden="1">
      <c r="B70" s="1030"/>
      <c r="C70" s="1001"/>
      <c r="D70" s="519"/>
    </row>
    <row r="71" spans="1:22" s="1018" customFormat="1" ht="11.25" hidden="1"/>
    <row r="72" spans="1:22" s="1018" customFormat="1" hidden="1">
      <c r="B72" s="1022" t="s">
        <v>101</v>
      </c>
      <c r="D72" s="1018" t="str">
        <f>IF(SUM(D70:D71)=0,"",SUM(D70:D71))</f>
        <v/>
      </c>
    </row>
    <row r="73" spans="1:22" s="1018" customFormat="1" ht="15.75">
      <c r="A73" s="1291">
        <v>7</v>
      </c>
      <c r="B73" s="1071" t="s">
        <v>625</v>
      </c>
      <c r="C73" s="1388"/>
      <c r="D73" s="1388"/>
      <c r="E73" s="1388"/>
      <c r="F73" s="1388"/>
    </row>
    <row r="74" spans="1:22" s="1018" customFormat="1" ht="11.25"/>
    <row r="75" spans="1:22" ht="15.75">
      <c r="A75" s="1389"/>
      <c r="B75" s="1390"/>
      <c r="C75" s="1391"/>
      <c r="D75" s="1391"/>
      <c r="E75" s="1018" t="s">
        <v>345</v>
      </c>
      <c r="F75" s="1018"/>
      <c r="G75" s="1018"/>
      <c r="H75" s="1018"/>
      <c r="I75" s="1019"/>
      <c r="J75" s="1018"/>
      <c r="K75" s="1018"/>
      <c r="L75" s="1018"/>
      <c r="M75" s="1020"/>
      <c r="N75" s="1018"/>
      <c r="O75" s="1018"/>
      <c r="P75" s="1018"/>
      <c r="Q75" s="1018"/>
      <c r="R75" s="1013"/>
      <c r="S75" s="1012"/>
      <c r="T75" s="1012"/>
      <c r="U75" s="1012"/>
      <c r="V75" s="1014"/>
    </row>
    <row r="76" spans="1:22">
      <c r="B76" s="1392" t="s">
        <v>863</v>
      </c>
      <c r="C76" s="1393"/>
      <c r="D76" s="1393"/>
      <c r="E76" s="1003">
        <v>0.05</v>
      </c>
      <c r="F76" s="1010"/>
      <c r="G76" s="1010"/>
      <c r="H76" s="1010"/>
      <c r="I76" s="1010"/>
      <c r="J76" s="1010"/>
      <c r="K76" s="1010"/>
      <c r="L76" s="1010"/>
      <c r="M76" s="1010"/>
      <c r="N76" s="1010"/>
      <c r="O76" s="1010"/>
      <c r="P76" s="1010"/>
      <c r="Q76" s="1010"/>
      <c r="R76" s="1010"/>
      <c r="S76" s="1010"/>
      <c r="T76" s="1010"/>
      <c r="U76" s="1010"/>
      <c r="V76" s="1010"/>
    </row>
    <row r="77" spans="1:22">
      <c r="B77" s="1392" t="s">
        <v>864</v>
      </c>
      <c r="C77" s="1394"/>
      <c r="D77" s="1002"/>
      <c r="E77" s="1004">
        <v>0.01</v>
      </c>
      <c r="F77" s="674"/>
      <c r="G77" s="1106"/>
      <c r="H77" s="1010"/>
      <c r="I77" s="1010"/>
      <c r="J77" s="1010"/>
      <c r="K77" s="1010"/>
      <c r="L77" s="1010"/>
      <c r="M77" s="1010"/>
      <c r="N77" s="1010"/>
      <c r="O77" s="1010"/>
      <c r="P77" s="1010"/>
      <c r="Q77" s="1010"/>
      <c r="R77" s="1010"/>
      <c r="S77" s="1010"/>
      <c r="T77" s="1010"/>
      <c r="U77" s="1010"/>
      <c r="V77" s="1010"/>
    </row>
    <row r="78" spans="1:22">
      <c r="B78" s="1010"/>
      <c r="C78" s="1010"/>
      <c r="D78" s="1010"/>
      <c r="E78" s="1010"/>
      <c r="F78" s="1010"/>
      <c r="G78" s="1010"/>
      <c r="H78" s="1010"/>
      <c r="I78" s="1010"/>
      <c r="J78" s="1010"/>
      <c r="K78" s="1010"/>
      <c r="L78" s="1010"/>
      <c r="M78" s="1010"/>
      <c r="N78" s="1010"/>
      <c r="O78" s="1010"/>
      <c r="P78" s="1010"/>
      <c r="Q78" s="1010"/>
      <c r="R78" s="1010"/>
      <c r="S78" s="1010"/>
      <c r="T78" s="1010"/>
      <c r="U78" s="1010"/>
      <c r="V78" s="1010"/>
    </row>
    <row r="79" spans="1:22">
      <c r="B79" s="1010"/>
      <c r="C79" s="1010"/>
      <c r="D79" s="1010"/>
      <c r="E79" s="1010"/>
      <c r="F79" s="1010"/>
      <c r="G79" s="1010"/>
      <c r="H79" s="1010"/>
      <c r="I79" s="1010"/>
      <c r="J79" s="1010"/>
      <c r="K79" s="1010"/>
      <c r="L79" s="1010"/>
      <c r="M79" s="1010"/>
      <c r="N79" s="1010"/>
      <c r="O79" s="1010"/>
      <c r="P79" s="1010"/>
      <c r="Q79" s="1010"/>
      <c r="R79" s="1010"/>
      <c r="S79" s="1010"/>
      <c r="T79" s="1010"/>
      <c r="U79" s="1010"/>
      <c r="V79" s="1010"/>
    </row>
    <row r="80" spans="1:22">
      <c r="B80" s="1010"/>
      <c r="C80" s="1010"/>
      <c r="D80" s="1010"/>
      <c r="E80" s="1010"/>
      <c r="F80" s="1010"/>
      <c r="G80" s="1010"/>
      <c r="H80" s="1010"/>
      <c r="I80" s="1010"/>
      <c r="J80" s="1010"/>
      <c r="K80" s="1010"/>
      <c r="L80" s="1010"/>
      <c r="M80" s="1010"/>
      <c r="N80" s="1010"/>
      <c r="O80" s="1010"/>
      <c r="P80" s="1010"/>
      <c r="Q80" s="1010"/>
      <c r="R80" s="1010"/>
      <c r="S80" s="1010"/>
      <c r="T80" s="1010"/>
      <c r="U80" s="1010"/>
      <c r="V80" s="1010"/>
    </row>
    <row r="81" spans="1:21">
      <c r="A81" s="1010"/>
      <c r="B81" s="1010"/>
      <c r="C81" s="1010"/>
      <c r="D81" s="1010"/>
      <c r="E81" s="1010"/>
      <c r="F81" s="1010"/>
      <c r="G81" s="1010"/>
      <c r="H81" s="1010"/>
      <c r="I81" s="1010"/>
      <c r="J81" s="1010"/>
      <c r="K81" s="1010"/>
      <c r="L81" s="1010"/>
      <c r="M81" s="1010"/>
      <c r="N81" s="1010"/>
      <c r="O81" s="1010"/>
      <c r="P81" s="1010"/>
      <c r="Q81" s="1010"/>
      <c r="R81" s="1010"/>
      <c r="S81" s="1010"/>
      <c r="T81" s="1010"/>
      <c r="U81" s="1010"/>
    </row>
    <row r="82" spans="1:21">
      <c r="A82" s="1010"/>
      <c r="B82" s="1010"/>
      <c r="C82" s="1010"/>
      <c r="D82" s="1010"/>
      <c r="E82" s="1010"/>
      <c r="F82" s="1010"/>
      <c r="G82" s="1010"/>
      <c r="H82" s="1010"/>
      <c r="I82" s="1010"/>
      <c r="J82" s="1010"/>
      <c r="K82" s="1010"/>
      <c r="L82" s="1010"/>
      <c r="M82" s="1010"/>
      <c r="N82" s="1010"/>
      <c r="O82" s="1010"/>
      <c r="P82" s="1010"/>
      <c r="Q82" s="1010"/>
      <c r="R82" s="1010"/>
      <c r="S82" s="1010"/>
      <c r="T82" s="1010"/>
      <c r="U82" s="1010"/>
    </row>
    <row r="83" spans="1:21">
      <c r="A83" s="1010"/>
      <c r="B83" s="1010"/>
      <c r="C83" s="1010"/>
      <c r="D83" s="1010"/>
      <c r="E83" s="1010"/>
      <c r="F83" s="1010"/>
      <c r="G83" s="1010"/>
      <c r="H83" s="1010"/>
      <c r="I83" s="1010"/>
      <c r="J83" s="1010"/>
      <c r="K83" s="1010"/>
      <c r="L83" s="1010"/>
      <c r="M83" s="1010"/>
      <c r="N83" s="1010"/>
      <c r="O83" s="1010"/>
      <c r="P83" s="1010"/>
      <c r="Q83" s="1010"/>
      <c r="R83" s="1010"/>
      <c r="S83" s="1010"/>
      <c r="T83" s="1010"/>
      <c r="U83" s="1010"/>
    </row>
    <row r="84" spans="1:21">
      <c r="A84" s="1010"/>
      <c r="B84" s="1010"/>
      <c r="C84" s="1010"/>
      <c r="D84" s="1010"/>
      <c r="E84" s="1010"/>
      <c r="F84" s="1010"/>
      <c r="G84" s="1010"/>
      <c r="H84" s="1010"/>
      <c r="I84" s="1010"/>
      <c r="J84" s="1010"/>
      <c r="K84" s="1010"/>
      <c r="L84" s="1010"/>
      <c r="M84" s="1010"/>
      <c r="N84" s="1010"/>
      <c r="O84" s="1010"/>
      <c r="P84" s="1010"/>
      <c r="Q84" s="1010"/>
      <c r="R84" s="1010"/>
      <c r="S84" s="1010"/>
      <c r="T84" s="1010"/>
      <c r="U84" s="1010"/>
    </row>
    <row r="85" spans="1:21">
      <c r="A85" s="1010"/>
      <c r="B85" s="1010"/>
      <c r="C85" s="1010"/>
      <c r="D85" s="1010"/>
      <c r="E85" s="1010"/>
      <c r="F85" s="1010"/>
      <c r="G85" s="1010"/>
      <c r="H85" s="1010"/>
      <c r="I85" s="1010"/>
      <c r="J85" s="1010"/>
      <c r="K85" s="1010"/>
      <c r="L85" s="1010"/>
      <c r="M85" s="1010"/>
      <c r="N85" s="1010"/>
      <c r="O85" s="1010"/>
      <c r="P85" s="1010"/>
      <c r="Q85" s="1010"/>
      <c r="R85" s="1010"/>
      <c r="S85" s="1010"/>
      <c r="T85" s="1010"/>
      <c r="U85" s="1010"/>
    </row>
    <row r="86" spans="1:21">
      <c r="A86" s="1010"/>
      <c r="B86" s="1010"/>
      <c r="C86" s="1010"/>
      <c r="D86" s="1010"/>
      <c r="E86" s="1010"/>
      <c r="F86" s="1010"/>
      <c r="G86" s="1010"/>
      <c r="H86" s="1010"/>
      <c r="I86" s="1010"/>
      <c r="J86" s="1010"/>
      <c r="K86" s="1010"/>
      <c r="L86" s="1010"/>
      <c r="M86" s="1010"/>
      <c r="N86" s="1010"/>
      <c r="O86" s="1010"/>
      <c r="P86" s="1010"/>
      <c r="Q86" s="1010"/>
      <c r="R86" s="1010"/>
      <c r="S86" s="1010"/>
      <c r="T86" s="1010"/>
      <c r="U86" s="1010"/>
    </row>
    <row r="87" spans="1:21">
      <c r="A87" s="1010"/>
      <c r="B87" s="1010"/>
      <c r="C87" s="1010"/>
      <c r="D87" s="1010"/>
      <c r="E87" s="1010"/>
      <c r="F87" s="1010"/>
      <c r="G87" s="1010"/>
      <c r="H87" s="1010"/>
      <c r="I87" s="1010"/>
      <c r="J87" s="1010"/>
      <c r="K87" s="1010"/>
      <c r="L87" s="1010"/>
      <c r="M87" s="1010"/>
      <c r="N87" s="1010"/>
      <c r="O87" s="1010"/>
      <c r="P87" s="1010"/>
      <c r="Q87" s="1010"/>
      <c r="R87" s="1010"/>
      <c r="S87" s="1010"/>
      <c r="T87" s="1010"/>
      <c r="U87" s="1010"/>
    </row>
    <row r="88" spans="1:21">
      <c r="A88" s="1010"/>
      <c r="B88" s="1010"/>
      <c r="C88" s="1010"/>
      <c r="D88" s="1010"/>
      <c r="E88" s="1010"/>
      <c r="F88" s="1010"/>
      <c r="G88" s="1010"/>
      <c r="H88" s="1010"/>
      <c r="I88" s="1010"/>
      <c r="J88" s="1010"/>
      <c r="K88" s="1010"/>
      <c r="L88" s="1010"/>
      <c r="M88" s="1010"/>
      <c r="N88" s="1010"/>
      <c r="O88" s="1010"/>
      <c r="P88" s="1010"/>
      <c r="Q88" s="1010"/>
      <c r="R88" s="1010"/>
      <c r="S88" s="1010"/>
      <c r="T88" s="1010"/>
      <c r="U88" s="1010"/>
    </row>
    <row r="89" spans="1:21">
      <c r="A89" s="1010"/>
      <c r="B89" s="1010"/>
      <c r="C89" s="1010"/>
      <c r="D89" s="1010"/>
      <c r="E89" s="1010"/>
      <c r="F89" s="1010"/>
      <c r="G89" s="1010"/>
      <c r="H89" s="1010"/>
      <c r="I89" s="1010"/>
      <c r="J89" s="1010"/>
      <c r="K89" s="1010"/>
      <c r="L89" s="1010"/>
      <c r="M89" s="1010"/>
      <c r="N89" s="1010"/>
      <c r="O89" s="1010"/>
      <c r="P89" s="1010"/>
      <c r="Q89" s="1010"/>
      <c r="R89" s="1010"/>
      <c r="S89" s="1010"/>
      <c r="T89" s="1010"/>
      <c r="U89" s="1010"/>
    </row>
    <row r="90" spans="1:21">
      <c r="A90" s="1010"/>
      <c r="B90" s="1010"/>
      <c r="C90" s="1010"/>
      <c r="D90" s="1010"/>
      <c r="E90" s="1010"/>
      <c r="F90" s="1010"/>
      <c r="G90" s="1010"/>
      <c r="H90" s="1010"/>
      <c r="I90" s="1010"/>
      <c r="J90" s="1010"/>
      <c r="K90" s="1010"/>
      <c r="L90" s="1010"/>
      <c r="M90" s="1010"/>
      <c r="N90" s="1010"/>
      <c r="O90" s="1010"/>
      <c r="P90" s="1010"/>
      <c r="Q90" s="1010"/>
      <c r="R90" s="1010"/>
      <c r="S90" s="1010"/>
      <c r="T90" s="1010"/>
      <c r="U90" s="1010"/>
    </row>
    <row r="91" spans="1:21">
      <c r="A91" s="1010"/>
      <c r="B91" s="1010"/>
      <c r="C91" s="1010"/>
      <c r="D91" s="1010"/>
      <c r="E91" s="1010"/>
      <c r="F91" s="1010"/>
      <c r="G91" s="1010"/>
      <c r="H91" s="1010"/>
      <c r="I91" s="1010"/>
      <c r="J91" s="1010"/>
      <c r="K91" s="1010"/>
      <c r="L91" s="1010"/>
      <c r="M91" s="1010"/>
      <c r="N91" s="1010"/>
      <c r="O91" s="1010"/>
      <c r="P91" s="1010"/>
      <c r="Q91" s="1010"/>
      <c r="R91" s="1010"/>
      <c r="S91" s="1010"/>
      <c r="T91" s="1010"/>
      <c r="U91" s="1010"/>
    </row>
    <row r="92" spans="1:21">
      <c r="A92" s="1010"/>
      <c r="B92" s="1010"/>
      <c r="C92" s="1010"/>
      <c r="D92" s="1010"/>
      <c r="E92" s="1010"/>
      <c r="F92" s="1010"/>
      <c r="G92" s="1010"/>
      <c r="H92" s="1010"/>
      <c r="I92" s="1010"/>
      <c r="J92" s="1010"/>
      <c r="K92" s="1010"/>
      <c r="L92" s="1010"/>
      <c r="M92" s="1010"/>
      <c r="N92" s="1010"/>
      <c r="O92" s="1010"/>
      <c r="P92" s="1010"/>
      <c r="Q92" s="1010"/>
      <c r="R92" s="1010"/>
      <c r="S92" s="1010"/>
      <c r="T92" s="1010"/>
      <c r="U92" s="1010"/>
    </row>
    <row r="93" spans="1:21">
      <c r="A93" s="1010"/>
      <c r="B93" s="1010"/>
      <c r="C93" s="1010"/>
      <c r="D93" s="1010"/>
      <c r="E93" s="1010"/>
      <c r="F93" s="1010"/>
      <c r="G93" s="1010"/>
      <c r="H93" s="1010"/>
      <c r="I93" s="1010"/>
      <c r="J93" s="1010"/>
      <c r="K93" s="1010"/>
      <c r="L93" s="1010"/>
      <c r="M93" s="1010"/>
      <c r="N93" s="1010"/>
      <c r="O93" s="1010"/>
      <c r="P93" s="1010"/>
      <c r="Q93" s="1010"/>
      <c r="R93" s="1010"/>
      <c r="S93" s="1010"/>
      <c r="T93" s="1010"/>
      <c r="U93" s="1010"/>
    </row>
    <row r="94" spans="1:21">
      <c r="A94" s="1010"/>
      <c r="B94" s="1010"/>
      <c r="C94" s="1010"/>
      <c r="D94" s="1010"/>
      <c r="E94" s="1010"/>
      <c r="F94" s="1010"/>
      <c r="G94" s="1010"/>
      <c r="H94" s="1010"/>
      <c r="I94" s="1010"/>
      <c r="J94" s="1010"/>
      <c r="K94" s="1010"/>
      <c r="L94" s="1010"/>
      <c r="M94" s="1010"/>
      <c r="N94" s="1010"/>
      <c r="O94" s="1010"/>
      <c r="P94" s="1010"/>
      <c r="Q94" s="1010"/>
      <c r="R94" s="1010"/>
      <c r="S94" s="1010"/>
      <c r="T94" s="1010"/>
      <c r="U94" s="1010"/>
    </row>
    <row r="95" spans="1:21">
      <c r="A95" s="1010"/>
      <c r="B95" s="1010"/>
      <c r="C95" s="1010"/>
      <c r="D95" s="1010"/>
      <c r="E95" s="1010"/>
      <c r="F95" s="1010"/>
      <c r="G95" s="1010"/>
      <c r="H95" s="1010"/>
      <c r="I95" s="1010"/>
      <c r="J95" s="1010"/>
      <c r="K95" s="1010"/>
      <c r="L95" s="1010"/>
      <c r="M95" s="1010"/>
      <c r="N95" s="1010"/>
      <c r="O95" s="1010"/>
      <c r="P95" s="1010"/>
      <c r="Q95" s="1010"/>
      <c r="R95" s="1010"/>
      <c r="S95" s="1010"/>
      <c r="T95" s="1010"/>
      <c r="U95" s="1010"/>
    </row>
    <row r="96" spans="1:21">
      <c r="A96" s="1010"/>
      <c r="B96" s="1010"/>
      <c r="C96" s="1010"/>
      <c r="D96" s="1010"/>
      <c r="E96" s="1010"/>
      <c r="F96" s="1010"/>
      <c r="G96" s="1010"/>
      <c r="H96" s="1010"/>
      <c r="I96" s="1010"/>
      <c r="J96" s="1010"/>
      <c r="K96" s="1010"/>
      <c r="L96" s="1010"/>
      <c r="M96" s="1010"/>
      <c r="N96" s="1010"/>
      <c r="O96" s="1010"/>
      <c r="P96" s="1010"/>
      <c r="Q96" s="1010"/>
      <c r="R96" s="1010"/>
      <c r="S96" s="1010"/>
      <c r="T96" s="1010"/>
      <c r="U96" s="1010"/>
    </row>
    <row r="97" spans="1:21">
      <c r="A97" s="1010"/>
      <c r="B97" s="1010"/>
      <c r="C97" s="1010"/>
      <c r="D97" s="1010"/>
      <c r="E97" s="1010"/>
      <c r="F97" s="1010"/>
      <c r="G97" s="1010"/>
      <c r="H97" s="1010"/>
      <c r="I97" s="1010"/>
      <c r="J97" s="1010"/>
      <c r="K97" s="1010"/>
      <c r="L97" s="1010"/>
      <c r="M97" s="1010"/>
      <c r="N97" s="1010"/>
      <c r="O97" s="1010"/>
      <c r="P97" s="1010"/>
      <c r="Q97" s="1010"/>
      <c r="R97" s="1010"/>
      <c r="S97" s="1010"/>
      <c r="T97" s="1010"/>
      <c r="U97" s="1010"/>
    </row>
    <row r="98" spans="1:21">
      <c r="A98" s="1010"/>
      <c r="B98" s="1010"/>
      <c r="C98" s="1010"/>
      <c r="D98" s="1010"/>
      <c r="E98" s="1010"/>
      <c r="F98" s="1010"/>
      <c r="G98" s="1010"/>
      <c r="H98" s="1010"/>
      <c r="I98" s="1010"/>
      <c r="J98" s="1010"/>
      <c r="K98" s="1010"/>
      <c r="L98" s="1010"/>
      <c r="M98" s="1010"/>
      <c r="N98" s="1010"/>
      <c r="O98" s="1010"/>
      <c r="P98" s="1010"/>
      <c r="Q98" s="1010"/>
      <c r="R98" s="1010"/>
      <c r="S98" s="1010"/>
      <c r="T98" s="1010"/>
      <c r="U98" s="1010"/>
    </row>
    <row r="99" spans="1:21">
      <c r="A99" s="1010"/>
      <c r="B99" s="1010"/>
      <c r="C99" s="1010"/>
      <c r="D99" s="1010"/>
      <c r="E99" s="1010"/>
      <c r="F99" s="1010"/>
      <c r="G99" s="1010"/>
      <c r="H99" s="1010"/>
      <c r="I99" s="1010"/>
      <c r="J99" s="1010"/>
      <c r="K99" s="1010"/>
      <c r="L99" s="1010"/>
      <c r="M99" s="1010"/>
      <c r="N99" s="1010"/>
      <c r="O99" s="1010"/>
      <c r="P99" s="1010"/>
      <c r="Q99" s="1010"/>
      <c r="R99" s="1010"/>
      <c r="S99" s="1010"/>
      <c r="T99" s="1010"/>
      <c r="U99" s="1010"/>
    </row>
    <row r="100" spans="1:21">
      <c r="A100" s="1010"/>
      <c r="B100" s="1010"/>
      <c r="C100" s="1010"/>
      <c r="D100" s="1010"/>
      <c r="E100" s="1010"/>
      <c r="F100" s="1010"/>
      <c r="G100" s="1010"/>
      <c r="H100" s="1010"/>
      <c r="I100" s="1010"/>
      <c r="J100" s="1010"/>
      <c r="K100" s="1010"/>
      <c r="L100" s="1010"/>
      <c r="M100" s="1010"/>
      <c r="N100" s="1010"/>
      <c r="O100" s="1010"/>
      <c r="P100" s="1010"/>
      <c r="Q100" s="1010"/>
      <c r="R100" s="1010"/>
      <c r="S100" s="1010"/>
      <c r="T100" s="1010"/>
      <c r="U100" s="1010"/>
    </row>
    <row r="101" spans="1:21">
      <c r="A101" s="1010"/>
      <c r="B101" s="1010"/>
      <c r="C101" s="1010"/>
      <c r="D101" s="1010"/>
      <c r="E101" s="1010"/>
      <c r="F101" s="1010"/>
      <c r="G101" s="1010"/>
      <c r="H101" s="1010"/>
      <c r="I101" s="1010"/>
      <c r="J101" s="1010"/>
      <c r="K101" s="1010"/>
      <c r="L101" s="1010"/>
      <c r="M101" s="1010"/>
      <c r="N101" s="1010"/>
      <c r="O101" s="1010"/>
      <c r="P101" s="1010"/>
      <c r="Q101" s="1010"/>
      <c r="R101" s="1010"/>
      <c r="S101" s="1010"/>
      <c r="T101" s="1010"/>
      <c r="U101" s="1010"/>
    </row>
    <row r="102" spans="1:21">
      <c r="A102" s="1010"/>
      <c r="B102" s="1010"/>
      <c r="C102" s="1010"/>
      <c r="D102" s="1010"/>
      <c r="E102" s="1010"/>
      <c r="F102" s="1010"/>
      <c r="G102" s="1010"/>
      <c r="H102" s="1010"/>
      <c r="I102" s="1010"/>
      <c r="J102" s="1010"/>
      <c r="K102" s="1010"/>
      <c r="L102" s="1010"/>
      <c r="M102" s="1010"/>
      <c r="N102" s="1010"/>
      <c r="O102" s="1010"/>
      <c r="P102" s="1010"/>
      <c r="Q102" s="1010"/>
      <c r="R102" s="1010"/>
      <c r="S102" s="1010"/>
      <c r="T102" s="1010"/>
      <c r="U102" s="1010"/>
    </row>
    <row r="103" spans="1:21">
      <c r="A103" s="1010"/>
      <c r="B103" s="1010"/>
      <c r="C103" s="1010"/>
      <c r="D103" s="1010"/>
      <c r="E103" s="1010"/>
      <c r="F103" s="1010"/>
      <c r="G103" s="1010"/>
      <c r="H103" s="1010"/>
      <c r="I103" s="1010"/>
      <c r="J103" s="1010"/>
      <c r="K103" s="1010"/>
      <c r="L103" s="1010"/>
      <c r="M103" s="1010"/>
      <c r="N103" s="1010"/>
      <c r="O103" s="1010"/>
      <c r="P103" s="1010"/>
      <c r="Q103" s="1010"/>
      <c r="R103" s="1010"/>
      <c r="S103" s="1010"/>
      <c r="T103" s="1010"/>
      <c r="U103" s="1010"/>
    </row>
    <row r="104" spans="1:21">
      <c r="A104" s="1010"/>
      <c r="B104" s="1010"/>
      <c r="C104" s="1010"/>
      <c r="D104" s="1010"/>
      <c r="E104" s="1010"/>
      <c r="F104" s="1010"/>
      <c r="G104" s="1010"/>
      <c r="H104" s="1010"/>
      <c r="I104" s="1010"/>
      <c r="J104" s="1010"/>
      <c r="K104" s="1010"/>
      <c r="L104" s="1010"/>
      <c r="M104" s="1010"/>
      <c r="N104" s="1010"/>
      <c r="O104" s="1010"/>
      <c r="P104" s="1010"/>
      <c r="Q104" s="1010"/>
      <c r="R104" s="1010"/>
      <c r="S104" s="1010"/>
      <c r="T104" s="1010"/>
      <c r="U104" s="1010"/>
    </row>
    <row r="105" spans="1:21">
      <c r="A105" s="1010"/>
      <c r="B105" s="1010"/>
      <c r="C105" s="1010"/>
      <c r="D105" s="1010"/>
      <c r="E105" s="1010"/>
      <c r="F105" s="1010"/>
      <c r="G105" s="1010"/>
      <c r="H105" s="1010"/>
      <c r="I105" s="1010"/>
      <c r="J105" s="1010"/>
      <c r="K105" s="1010"/>
      <c r="L105" s="1010"/>
      <c r="M105" s="1010"/>
      <c r="N105" s="1010"/>
      <c r="O105" s="1010"/>
      <c r="P105" s="1010"/>
      <c r="Q105" s="1010"/>
      <c r="R105" s="1010"/>
      <c r="S105" s="1010"/>
      <c r="T105" s="1010"/>
      <c r="U105" s="1010"/>
    </row>
    <row r="106" spans="1:21">
      <c r="A106" s="1010"/>
      <c r="B106" s="1010"/>
      <c r="C106" s="1010"/>
      <c r="D106" s="1010"/>
      <c r="E106" s="1010"/>
      <c r="F106" s="1010"/>
      <c r="G106" s="1010"/>
      <c r="H106" s="1010"/>
      <c r="I106" s="1010"/>
      <c r="J106" s="1010"/>
      <c r="K106" s="1010"/>
      <c r="L106" s="1010"/>
      <c r="M106" s="1010"/>
      <c r="N106" s="1010"/>
      <c r="O106" s="1010"/>
      <c r="P106" s="1010"/>
      <c r="Q106" s="1010"/>
      <c r="R106" s="1010"/>
      <c r="S106" s="1010"/>
      <c r="T106" s="1010"/>
      <c r="U106" s="1010"/>
    </row>
    <row r="107" spans="1:21">
      <c r="A107" s="1010"/>
      <c r="B107" s="1010"/>
      <c r="C107" s="1010"/>
      <c r="D107" s="1010"/>
      <c r="E107" s="1010"/>
      <c r="F107" s="1010"/>
      <c r="G107" s="1010"/>
      <c r="H107" s="1010"/>
      <c r="I107" s="1010"/>
      <c r="J107" s="1010"/>
      <c r="K107" s="1010"/>
      <c r="L107" s="1010"/>
      <c r="M107" s="1010"/>
      <c r="N107" s="1010"/>
      <c r="O107" s="1010"/>
      <c r="P107" s="1010"/>
      <c r="Q107" s="1010"/>
      <c r="R107" s="1010"/>
      <c r="S107" s="1010"/>
      <c r="T107" s="1010"/>
      <c r="U107" s="1010"/>
    </row>
    <row r="108" spans="1:21">
      <c r="A108" s="1010"/>
      <c r="B108" s="1010"/>
      <c r="C108" s="1010"/>
      <c r="D108" s="1010"/>
      <c r="E108" s="1010"/>
      <c r="F108" s="1010"/>
      <c r="G108" s="1010"/>
      <c r="H108" s="1010"/>
      <c r="I108" s="1010"/>
      <c r="J108" s="1010"/>
      <c r="K108" s="1010"/>
      <c r="L108" s="1010"/>
      <c r="M108" s="1010"/>
      <c r="N108" s="1010"/>
      <c r="O108" s="1010"/>
      <c r="P108" s="1010"/>
      <c r="Q108" s="1010"/>
      <c r="R108" s="1010"/>
      <c r="S108" s="1010"/>
      <c r="T108" s="1010"/>
      <c r="U108" s="1010"/>
    </row>
    <row r="109" spans="1:21">
      <c r="A109" s="1010"/>
      <c r="B109" s="1010"/>
      <c r="C109" s="1010"/>
      <c r="D109" s="1010"/>
      <c r="E109" s="1010"/>
      <c r="F109" s="1010"/>
      <c r="G109" s="1010"/>
      <c r="H109" s="1010"/>
      <c r="I109" s="1010"/>
      <c r="J109" s="1010"/>
      <c r="K109" s="1010"/>
      <c r="L109" s="1010"/>
      <c r="M109" s="1010"/>
      <c r="N109" s="1010"/>
      <c r="O109" s="1010"/>
      <c r="P109" s="1010"/>
      <c r="Q109" s="1010"/>
      <c r="R109" s="1010"/>
      <c r="S109" s="1010"/>
      <c r="T109" s="1010"/>
      <c r="U109" s="1010"/>
    </row>
    <row r="110" spans="1:21">
      <c r="A110" s="1010"/>
      <c r="B110" s="1010"/>
      <c r="C110" s="1010"/>
      <c r="D110" s="1010"/>
      <c r="E110" s="1010"/>
      <c r="F110" s="1010"/>
      <c r="G110" s="1010"/>
      <c r="H110" s="1010"/>
      <c r="I110" s="1010"/>
      <c r="J110" s="1010"/>
      <c r="K110" s="1010"/>
      <c r="L110" s="1010"/>
      <c r="M110" s="1010"/>
      <c r="N110" s="1010"/>
      <c r="O110" s="1010"/>
      <c r="P110" s="1010"/>
      <c r="Q110" s="1010"/>
      <c r="R110" s="1010"/>
      <c r="S110" s="1010"/>
      <c r="T110" s="1010"/>
      <c r="U110" s="1010"/>
    </row>
    <row r="111" spans="1:21">
      <c r="A111" s="1010"/>
      <c r="B111" s="1010"/>
      <c r="C111" s="1010"/>
      <c r="D111" s="1010"/>
      <c r="E111" s="1010"/>
      <c r="F111" s="1010"/>
      <c r="G111" s="1010"/>
      <c r="H111" s="1010"/>
      <c r="I111" s="1010"/>
      <c r="J111" s="1010"/>
      <c r="K111" s="1010"/>
      <c r="L111" s="1010"/>
      <c r="M111" s="1010"/>
      <c r="N111" s="1010"/>
      <c r="O111" s="1010"/>
      <c r="P111" s="1010"/>
      <c r="Q111" s="1010"/>
      <c r="R111" s="1010"/>
      <c r="S111" s="1010"/>
      <c r="T111" s="1010"/>
      <c r="U111" s="1010"/>
    </row>
    <row r="112" spans="1:21">
      <c r="A112" s="1010"/>
      <c r="B112" s="1010"/>
      <c r="C112" s="1010"/>
      <c r="D112" s="1010"/>
      <c r="E112" s="1010"/>
      <c r="F112" s="1010"/>
      <c r="G112" s="1010"/>
      <c r="H112" s="1010"/>
      <c r="I112" s="1010"/>
      <c r="J112" s="1010"/>
      <c r="K112" s="1010"/>
      <c r="L112" s="1010"/>
      <c r="M112" s="1010"/>
      <c r="N112" s="1010"/>
      <c r="O112" s="1010"/>
      <c r="P112" s="1010"/>
      <c r="Q112" s="1010"/>
      <c r="R112" s="1010"/>
      <c r="S112" s="1010"/>
      <c r="T112" s="1010"/>
      <c r="U112" s="1010"/>
    </row>
    <row r="113" spans="1:21">
      <c r="A113" s="1010"/>
      <c r="B113" s="1010"/>
      <c r="C113" s="1010"/>
      <c r="D113" s="1010"/>
      <c r="E113" s="1010"/>
      <c r="F113" s="1010"/>
      <c r="G113" s="1010"/>
      <c r="H113" s="1010"/>
      <c r="I113" s="1010"/>
      <c r="J113" s="1010"/>
      <c r="K113" s="1010"/>
      <c r="L113" s="1010"/>
      <c r="M113" s="1010"/>
      <c r="N113" s="1010"/>
      <c r="O113" s="1010"/>
      <c r="P113" s="1010"/>
      <c r="Q113" s="1010"/>
      <c r="R113" s="1010"/>
      <c r="S113" s="1010"/>
      <c r="T113" s="1010"/>
      <c r="U113" s="1010"/>
    </row>
    <row r="114" spans="1:21">
      <c r="A114" s="1010"/>
      <c r="B114" s="1010"/>
      <c r="C114" s="1010"/>
      <c r="D114" s="1010"/>
      <c r="E114" s="1010"/>
      <c r="F114" s="1010"/>
      <c r="G114" s="1010"/>
      <c r="H114" s="1010"/>
      <c r="I114" s="1010"/>
      <c r="J114" s="1010"/>
      <c r="K114" s="1010"/>
      <c r="L114" s="1010"/>
      <c r="M114" s="1010"/>
      <c r="N114" s="1010"/>
      <c r="O114" s="1010"/>
      <c r="P114" s="1010"/>
      <c r="Q114" s="1010"/>
      <c r="R114" s="1010"/>
      <c r="S114" s="1010"/>
      <c r="T114" s="1010"/>
      <c r="U114" s="1010"/>
    </row>
    <row r="115" spans="1:21">
      <c r="A115" s="1010"/>
      <c r="B115" s="1010"/>
      <c r="C115" s="1010"/>
      <c r="D115" s="1010"/>
      <c r="E115" s="1010"/>
      <c r="F115" s="1010"/>
      <c r="G115" s="1010"/>
      <c r="H115" s="1010"/>
      <c r="I115" s="1010"/>
      <c r="J115" s="1010"/>
      <c r="K115" s="1010"/>
      <c r="L115" s="1010"/>
      <c r="M115" s="1010"/>
      <c r="N115" s="1010"/>
      <c r="O115" s="1010"/>
      <c r="P115" s="1010"/>
      <c r="Q115" s="1010"/>
      <c r="R115" s="1010"/>
      <c r="S115" s="1010"/>
      <c r="T115" s="1010"/>
      <c r="U115" s="1010"/>
    </row>
    <row r="116" spans="1:21">
      <c r="A116" s="1010"/>
      <c r="B116" s="1010"/>
      <c r="C116" s="1010"/>
      <c r="D116" s="1010"/>
      <c r="E116" s="1010"/>
      <c r="F116" s="1010"/>
      <c r="G116" s="1010"/>
      <c r="H116" s="1010"/>
      <c r="I116" s="1010"/>
      <c r="J116" s="1010"/>
      <c r="K116" s="1010"/>
      <c r="L116" s="1010"/>
      <c r="M116" s="1010"/>
      <c r="N116" s="1010"/>
      <c r="O116" s="1010"/>
      <c r="P116" s="1010"/>
      <c r="Q116" s="1010"/>
      <c r="R116" s="1010"/>
      <c r="S116" s="1010"/>
      <c r="T116" s="1010"/>
      <c r="U116" s="1010"/>
    </row>
    <row r="117" spans="1:21">
      <c r="A117" s="1010"/>
      <c r="B117" s="1010"/>
      <c r="C117" s="1010"/>
      <c r="D117" s="1010"/>
      <c r="E117" s="1010"/>
      <c r="F117" s="1010"/>
      <c r="G117" s="1010"/>
      <c r="H117" s="1010"/>
      <c r="I117" s="1010"/>
      <c r="J117" s="1010"/>
      <c r="K117" s="1010"/>
      <c r="L117" s="1010"/>
      <c r="M117" s="1010"/>
      <c r="N117" s="1010"/>
      <c r="O117" s="1010"/>
      <c r="P117" s="1010"/>
      <c r="Q117" s="1010"/>
      <c r="R117" s="1010"/>
      <c r="S117" s="1010"/>
      <c r="T117" s="1010"/>
    </row>
    <row r="118" spans="1:21">
      <c r="A118" s="1010"/>
      <c r="B118" s="1010"/>
      <c r="C118" s="1010"/>
      <c r="D118" s="1010"/>
      <c r="E118" s="1010"/>
      <c r="F118" s="1010"/>
      <c r="G118" s="1010"/>
      <c r="H118" s="1010"/>
      <c r="I118" s="1010"/>
      <c r="J118" s="1010"/>
      <c r="K118" s="1010"/>
      <c r="L118" s="1010"/>
      <c r="M118" s="1010"/>
      <c r="N118" s="1010"/>
      <c r="O118" s="1010"/>
      <c r="P118" s="1010"/>
      <c r="Q118" s="1010"/>
      <c r="R118" s="1010"/>
      <c r="S118" s="1010"/>
      <c r="T118" s="1010"/>
    </row>
    <row r="119" spans="1:21">
      <c r="A119" s="1010"/>
      <c r="B119" s="1010"/>
      <c r="C119" s="1010"/>
      <c r="D119" s="1010"/>
      <c r="E119" s="1010"/>
      <c r="F119" s="1010"/>
      <c r="G119" s="1010"/>
      <c r="H119" s="1010"/>
      <c r="I119" s="1010"/>
      <c r="J119" s="1010"/>
      <c r="K119" s="1010"/>
      <c r="L119" s="1010"/>
      <c r="M119" s="1010"/>
      <c r="N119" s="1010"/>
      <c r="O119" s="1010"/>
      <c r="P119" s="1010"/>
      <c r="Q119" s="1010"/>
      <c r="R119" s="1010"/>
      <c r="S119" s="1010"/>
      <c r="T119" s="1010"/>
    </row>
    <row r="120" spans="1:21">
      <c r="A120" s="1010"/>
      <c r="B120" s="1010"/>
      <c r="C120" s="1010"/>
      <c r="D120" s="1010"/>
      <c r="E120" s="1010"/>
      <c r="F120" s="1010"/>
      <c r="G120" s="1010"/>
      <c r="H120" s="1010"/>
      <c r="I120" s="1010"/>
      <c r="J120" s="1010"/>
      <c r="K120" s="1010"/>
      <c r="L120" s="1010"/>
      <c r="M120" s="1010"/>
      <c r="N120" s="1010"/>
      <c r="O120" s="1010"/>
      <c r="P120" s="1010"/>
      <c r="Q120" s="1010"/>
      <c r="R120" s="1010"/>
      <c r="S120" s="1010"/>
      <c r="T120" s="1010"/>
    </row>
    <row r="121" spans="1:21">
      <c r="A121" s="1010"/>
      <c r="B121" s="1010"/>
      <c r="C121" s="1010"/>
      <c r="D121" s="1010"/>
      <c r="E121" s="1010"/>
      <c r="F121" s="1010"/>
      <c r="G121" s="1010"/>
      <c r="H121" s="1010"/>
      <c r="I121" s="1010"/>
      <c r="J121" s="1010"/>
      <c r="K121" s="1010"/>
      <c r="L121" s="1010"/>
      <c r="M121" s="1010"/>
      <c r="N121" s="1010"/>
      <c r="O121" s="1010"/>
      <c r="P121" s="1010"/>
      <c r="Q121" s="1010"/>
      <c r="R121" s="1010"/>
      <c r="S121" s="1010"/>
      <c r="T121" s="1010"/>
    </row>
    <row r="122" spans="1:21">
      <c r="A122" s="1010"/>
      <c r="B122" s="1010"/>
      <c r="C122" s="1010"/>
      <c r="D122" s="1010"/>
      <c r="E122" s="1010"/>
      <c r="F122" s="1010"/>
      <c r="G122" s="1010"/>
      <c r="H122" s="1010"/>
      <c r="I122" s="1010"/>
      <c r="J122" s="1010"/>
      <c r="K122" s="1010"/>
      <c r="L122" s="1010"/>
      <c r="M122" s="1010"/>
      <c r="N122" s="1010"/>
      <c r="O122" s="1010"/>
      <c r="P122" s="1010"/>
      <c r="Q122" s="1010"/>
      <c r="R122" s="1010"/>
      <c r="S122" s="1010"/>
      <c r="T122" s="1010"/>
    </row>
    <row r="123" spans="1:21">
      <c r="A123" s="1010"/>
      <c r="B123" s="1010"/>
      <c r="C123" s="1010"/>
      <c r="D123" s="1010"/>
      <c r="E123" s="1010"/>
      <c r="F123" s="1010"/>
      <c r="G123" s="1010"/>
      <c r="H123" s="1010"/>
      <c r="I123" s="1010"/>
      <c r="J123" s="1010"/>
      <c r="K123" s="1010"/>
      <c r="L123" s="1010"/>
      <c r="M123" s="1010"/>
      <c r="N123" s="1010"/>
      <c r="O123" s="1010"/>
      <c r="P123" s="1010"/>
      <c r="Q123" s="1010"/>
      <c r="R123" s="1010"/>
      <c r="S123" s="1010"/>
      <c r="T123" s="1010"/>
    </row>
    <row r="124" spans="1:21">
      <c r="A124" s="1010"/>
      <c r="B124" s="1010"/>
      <c r="C124" s="1010"/>
      <c r="D124" s="1010"/>
      <c r="E124" s="1010"/>
      <c r="F124" s="1010"/>
      <c r="G124" s="1010"/>
      <c r="H124" s="1010"/>
      <c r="I124" s="1010"/>
      <c r="J124" s="1010"/>
      <c r="K124" s="1010"/>
      <c r="L124" s="1010"/>
      <c r="M124" s="1010"/>
      <c r="N124" s="1010"/>
      <c r="O124" s="1010"/>
      <c r="P124" s="1010"/>
      <c r="Q124" s="1010"/>
      <c r="R124" s="1010"/>
      <c r="S124" s="1010"/>
      <c r="T124" s="1010"/>
    </row>
    <row r="125" spans="1:21">
      <c r="A125" s="1010"/>
      <c r="B125" s="1010"/>
      <c r="C125" s="1010"/>
      <c r="D125" s="1010"/>
      <c r="E125" s="1010"/>
      <c r="F125" s="1010"/>
      <c r="G125" s="1010"/>
      <c r="H125" s="1010"/>
      <c r="I125" s="1010"/>
      <c r="J125" s="1010"/>
      <c r="K125" s="1010"/>
      <c r="L125" s="1010"/>
      <c r="M125" s="1010"/>
      <c r="N125" s="1010"/>
      <c r="O125" s="1010"/>
      <c r="P125" s="1010"/>
      <c r="Q125" s="1010"/>
      <c r="R125" s="1010"/>
      <c r="S125" s="1010"/>
      <c r="T125" s="1010"/>
    </row>
    <row r="126" spans="1:21">
      <c r="A126" s="1010"/>
      <c r="B126" s="1010"/>
      <c r="C126" s="1010"/>
      <c r="D126" s="1010"/>
      <c r="E126" s="1010"/>
      <c r="F126" s="1010"/>
      <c r="G126" s="1010"/>
      <c r="H126" s="1010"/>
      <c r="I126" s="1010"/>
      <c r="J126" s="1010"/>
      <c r="K126" s="1010"/>
      <c r="L126" s="1010"/>
      <c r="M126" s="1010"/>
      <c r="N126" s="1010"/>
      <c r="O126" s="1010"/>
      <c r="P126" s="1010"/>
      <c r="Q126" s="1010"/>
      <c r="R126" s="1010"/>
      <c r="S126" s="1010"/>
      <c r="T126" s="1010"/>
    </row>
    <row r="127" spans="1:21">
      <c r="A127" s="1010"/>
      <c r="B127" s="1010"/>
      <c r="C127" s="1010"/>
      <c r="D127" s="1010"/>
      <c r="E127" s="1010"/>
      <c r="F127" s="1010"/>
      <c r="G127" s="1010"/>
      <c r="H127" s="1010"/>
      <c r="I127" s="1010"/>
      <c r="J127" s="1010"/>
      <c r="K127" s="1010"/>
      <c r="L127" s="1010"/>
      <c r="M127" s="1010"/>
      <c r="N127" s="1010"/>
      <c r="O127" s="1010"/>
      <c r="P127" s="1010"/>
      <c r="Q127" s="1010"/>
      <c r="R127" s="1010"/>
      <c r="S127" s="1010"/>
      <c r="T127" s="1010"/>
    </row>
    <row r="128" spans="1:21">
      <c r="A128" s="1010"/>
      <c r="B128" s="1010"/>
      <c r="C128" s="1010"/>
      <c r="D128" s="1010"/>
      <c r="E128" s="1010"/>
      <c r="F128" s="1010"/>
      <c r="G128" s="1010"/>
      <c r="H128" s="1010"/>
      <c r="I128" s="1010"/>
      <c r="J128" s="1010"/>
      <c r="K128" s="1010"/>
      <c r="L128" s="1010"/>
      <c r="M128" s="1010"/>
      <c r="N128" s="1010"/>
      <c r="O128" s="1010"/>
      <c r="P128" s="1010"/>
      <c r="Q128" s="1010"/>
      <c r="R128" s="1010"/>
      <c r="S128" s="1010"/>
      <c r="T128" s="1010"/>
    </row>
    <row r="129" spans="1:20">
      <c r="A129" s="1010"/>
      <c r="B129" s="1010"/>
      <c r="C129" s="1010"/>
      <c r="D129" s="1010"/>
      <c r="E129" s="1010"/>
      <c r="F129" s="1010"/>
      <c r="G129" s="1010"/>
      <c r="H129" s="1010"/>
      <c r="I129" s="1010"/>
      <c r="J129" s="1010"/>
      <c r="K129" s="1010"/>
      <c r="L129" s="1010"/>
      <c r="M129" s="1010"/>
      <c r="N129" s="1010"/>
      <c r="O129" s="1010"/>
      <c r="P129" s="1010"/>
      <c r="Q129" s="1010"/>
      <c r="R129" s="1010"/>
      <c r="S129" s="1010"/>
      <c r="T129" s="1010"/>
    </row>
    <row r="130" spans="1:20">
      <c r="A130" s="1010"/>
      <c r="B130" s="1010"/>
      <c r="C130" s="1010"/>
      <c r="D130" s="1010"/>
      <c r="E130" s="1010"/>
      <c r="F130" s="1010"/>
      <c r="G130" s="1010"/>
      <c r="H130" s="1010"/>
      <c r="I130" s="1010"/>
      <c r="J130" s="1010"/>
      <c r="K130" s="1010"/>
      <c r="L130" s="1010"/>
      <c r="M130" s="1010"/>
      <c r="N130" s="1010"/>
      <c r="O130" s="1010"/>
      <c r="P130" s="1010"/>
      <c r="Q130" s="1010"/>
      <c r="R130" s="1010"/>
      <c r="S130" s="1010"/>
      <c r="T130" s="1010"/>
    </row>
    <row r="131" spans="1:20">
      <c r="A131" s="1010"/>
      <c r="B131" s="1010"/>
      <c r="C131" s="1010"/>
      <c r="D131" s="1010"/>
      <c r="E131" s="1010"/>
      <c r="F131" s="1010"/>
      <c r="G131" s="1010"/>
      <c r="H131" s="1010"/>
      <c r="I131" s="1010"/>
      <c r="J131" s="1010"/>
      <c r="K131" s="1010"/>
      <c r="L131" s="1010"/>
      <c r="M131" s="1010"/>
      <c r="N131" s="1010"/>
      <c r="O131" s="1010"/>
      <c r="P131" s="1010"/>
      <c r="Q131" s="1010"/>
      <c r="R131" s="1010"/>
      <c r="S131" s="1010"/>
      <c r="T131" s="1010"/>
    </row>
    <row r="132" spans="1:20">
      <c r="A132" s="1010"/>
      <c r="B132" s="1010"/>
      <c r="C132" s="1010"/>
      <c r="D132" s="1010"/>
      <c r="E132" s="1010"/>
      <c r="F132" s="1010"/>
      <c r="G132" s="1010"/>
      <c r="H132" s="1010"/>
      <c r="I132" s="1010"/>
      <c r="J132" s="1010"/>
      <c r="K132" s="1010"/>
      <c r="L132" s="1010"/>
      <c r="M132" s="1010"/>
      <c r="N132" s="1010"/>
      <c r="O132" s="1010"/>
      <c r="P132" s="1010"/>
      <c r="Q132" s="1010"/>
      <c r="R132" s="1010"/>
      <c r="S132" s="1010"/>
      <c r="T132" s="1010"/>
    </row>
    <row r="133" spans="1:20">
      <c r="A133" s="1010"/>
      <c r="B133" s="1010"/>
      <c r="C133" s="1010"/>
      <c r="D133" s="1010"/>
      <c r="E133" s="1010"/>
      <c r="F133" s="1010"/>
      <c r="G133" s="1010"/>
      <c r="H133" s="1010"/>
      <c r="I133" s="1010"/>
      <c r="J133" s="1010"/>
      <c r="K133" s="1010"/>
      <c r="L133" s="1010"/>
      <c r="M133" s="1010"/>
      <c r="N133" s="1010"/>
      <c r="O133" s="1010"/>
      <c r="P133" s="1010"/>
      <c r="Q133" s="1010"/>
      <c r="R133" s="1010"/>
      <c r="S133" s="1010"/>
      <c r="T133" s="1010"/>
    </row>
    <row r="134" spans="1:20">
      <c r="A134" s="1010"/>
      <c r="B134" s="1010"/>
      <c r="C134" s="1010"/>
      <c r="D134" s="1010"/>
      <c r="E134" s="1010"/>
      <c r="F134" s="1010"/>
      <c r="G134" s="1010"/>
      <c r="H134" s="1010"/>
      <c r="I134" s="1010"/>
      <c r="J134" s="1010"/>
      <c r="K134" s="1010"/>
      <c r="L134" s="1010"/>
      <c r="M134" s="1010"/>
      <c r="N134" s="1010"/>
      <c r="O134" s="1010"/>
      <c r="P134" s="1010"/>
      <c r="Q134" s="1010"/>
      <c r="R134" s="1010"/>
      <c r="S134" s="1010"/>
      <c r="T134" s="1010"/>
    </row>
    <row r="135" spans="1:20">
      <c r="A135" s="1010"/>
      <c r="B135" s="1010"/>
      <c r="C135" s="1010"/>
      <c r="D135" s="1010"/>
      <c r="E135" s="1010"/>
      <c r="F135" s="1010"/>
      <c r="G135" s="1010"/>
      <c r="H135" s="1010"/>
      <c r="I135" s="1010"/>
      <c r="J135" s="1010"/>
      <c r="K135" s="1010"/>
      <c r="L135" s="1010"/>
      <c r="M135" s="1010"/>
      <c r="N135" s="1010"/>
      <c r="O135" s="1010"/>
      <c r="P135" s="1010"/>
      <c r="Q135" s="1010"/>
      <c r="R135" s="1010"/>
      <c r="S135" s="1010"/>
      <c r="T135" s="1010"/>
    </row>
    <row r="136" spans="1:20">
      <c r="A136" s="1010"/>
      <c r="B136" s="1010"/>
      <c r="C136" s="1010"/>
      <c r="D136" s="1010"/>
      <c r="E136" s="1010"/>
      <c r="F136" s="1010"/>
      <c r="G136" s="1010"/>
      <c r="H136" s="1010"/>
      <c r="I136" s="1010"/>
      <c r="J136" s="1010"/>
      <c r="K136" s="1010"/>
      <c r="L136" s="1010"/>
      <c r="M136" s="1010"/>
      <c r="N136" s="1010"/>
      <c r="O136" s="1010"/>
      <c r="P136" s="1010"/>
      <c r="Q136" s="1010"/>
      <c r="R136" s="1010"/>
      <c r="S136" s="1010"/>
      <c r="T136" s="1010"/>
    </row>
    <row r="137" spans="1:20">
      <c r="A137" s="1010"/>
      <c r="B137" s="1010"/>
      <c r="C137" s="1010"/>
      <c r="D137" s="1010"/>
      <c r="E137" s="1010"/>
      <c r="F137" s="1010"/>
      <c r="G137" s="1010"/>
      <c r="H137" s="1010"/>
      <c r="I137" s="1010"/>
      <c r="J137" s="1010"/>
      <c r="K137" s="1010"/>
      <c r="L137" s="1010"/>
      <c r="M137" s="1010"/>
      <c r="N137" s="1010"/>
      <c r="O137" s="1010"/>
      <c r="P137" s="1010"/>
      <c r="Q137" s="1010"/>
      <c r="R137" s="1010"/>
      <c r="S137" s="1010"/>
      <c r="T137" s="1010"/>
    </row>
    <row r="138" spans="1:20">
      <c r="A138" s="1010"/>
      <c r="B138" s="1010"/>
      <c r="C138" s="1010"/>
      <c r="D138" s="1010"/>
      <c r="E138" s="1010"/>
      <c r="F138" s="1010"/>
      <c r="G138" s="1010"/>
      <c r="H138" s="1010"/>
      <c r="I138" s="1010"/>
      <c r="J138" s="1010"/>
      <c r="K138" s="1010"/>
      <c r="L138" s="1010"/>
      <c r="M138" s="1010"/>
      <c r="N138" s="1010"/>
      <c r="O138" s="1010"/>
      <c r="P138" s="1010"/>
      <c r="Q138" s="1010"/>
      <c r="R138" s="1010"/>
      <c r="S138" s="1010"/>
      <c r="T138" s="1010"/>
    </row>
    <row r="139" spans="1:20">
      <c r="A139" s="1010"/>
      <c r="B139" s="1010"/>
      <c r="C139" s="1010"/>
      <c r="D139" s="1010"/>
      <c r="E139" s="1010"/>
      <c r="F139" s="1010"/>
      <c r="G139" s="1010"/>
      <c r="H139" s="1010"/>
      <c r="I139" s="1010"/>
      <c r="J139" s="1010"/>
      <c r="K139" s="1010"/>
      <c r="L139" s="1010"/>
      <c r="M139" s="1010"/>
      <c r="N139" s="1010"/>
      <c r="O139" s="1010"/>
      <c r="P139" s="1010"/>
      <c r="Q139" s="1010"/>
      <c r="R139" s="1010"/>
      <c r="S139" s="1010"/>
      <c r="T139" s="1010"/>
    </row>
    <row r="140" spans="1:20">
      <c r="A140" s="1010"/>
      <c r="B140" s="1010"/>
      <c r="C140" s="1010"/>
      <c r="D140" s="1010"/>
      <c r="E140" s="1010"/>
      <c r="F140" s="1010"/>
      <c r="G140" s="1010"/>
      <c r="H140" s="1010"/>
      <c r="I140" s="1010"/>
      <c r="J140" s="1010"/>
      <c r="K140" s="1010"/>
      <c r="L140" s="1010"/>
      <c r="M140" s="1010"/>
      <c r="N140" s="1010"/>
      <c r="O140" s="1010"/>
      <c r="P140" s="1010"/>
      <c r="Q140" s="1010"/>
      <c r="R140" s="1010"/>
      <c r="S140" s="1010"/>
      <c r="T140" s="1010"/>
    </row>
    <row r="141" spans="1:20">
      <c r="A141" s="1010"/>
      <c r="B141" s="1010"/>
      <c r="C141" s="1010"/>
      <c r="D141" s="1010"/>
      <c r="E141" s="1010"/>
      <c r="F141" s="1010"/>
      <c r="G141" s="1010"/>
      <c r="H141" s="1010"/>
      <c r="I141" s="1010"/>
      <c r="J141" s="1010"/>
      <c r="K141" s="1010"/>
      <c r="L141" s="1010"/>
      <c r="M141" s="1010"/>
      <c r="N141" s="1010"/>
      <c r="O141" s="1010"/>
      <c r="P141" s="1010"/>
      <c r="Q141" s="1010"/>
      <c r="R141" s="1010"/>
      <c r="S141" s="1010"/>
      <c r="T141" s="1010"/>
    </row>
    <row r="142" spans="1:20">
      <c r="A142" s="1010"/>
      <c r="B142" s="1010"/>
      <c r="C142" s="1010"/>
      <c r="D142" s="1010"/>
      <c r="E142" s="1010"/>
      <c r="F142" s="1010"/>
      <c r="G142" s="1010"/>
      <c r="H142" s="1010"/>
      <c r="I142" s="1010"/>
      <c r="J142" s="1010"/>
      <c r="K142" s="1010"/>
      <c r="L142" s="1010"/>
      <c r="M142" s="1010"/>
      <c r="N142" s="1010"/>
      <c r="O142" s="1010"/>
      <c r="P142" s="1010"/>
      <c r="Q142" s="1010"/>
      <c r="R142" s="1010"/>
      <c r="S142" s="1010"/>
      <c r="T142" s="1010"/>
    </row>
    <row r="143" spans="1:20">
      <c r="A143" s="1010"/>
      <c r="B143" s="1010"/>
      <c r="C143" s="1010"/>
      <c r="D143" s="1010"/>
      <c r="E143" s="1010"/>
      <c r="F143" s="1010"/>
      <c r="G143" s="1010"/>
      <c r="H143" s="1010"/>
      <c r="I143" s="1010"/>
      <c r="J143" s="1010"/>
      <c r="K143" s="1010"/>
      <c r="L143" s="1010"/>
      <c r="M143" s="1010"/>
      <c r="N143" s="1010"/>
      <c r="O143" s="1010"/>
      <c r="P143" s="1010"/>
      <c r="Q143" s="1010"/>
      <c r="R143" s="1010"/>
      <c r="S143" s="1010"/>
      <c r="T143" s="1010"/>
    </row>
    <row r="144" spans="1:20">
      <c r="A144" s="1010"/>
      <c r="B144" s="1010"/>
      <c r="C144" s="1010"/>
      <c r="D144" s="1010"/>
      <c r="E144" s="1010"/>
      <c r="F144" s="1010"/>
      <c r="G144" s="1010"/>
      <c r="H144" s="1010"/>
      <c r="I144" s="1010"/>
      <c r="J144" s="1010"/>
      <c r="K144" s="1010"/>
      <c r="L144" s="1010"/>
      <c r="M144" s="1010"/>
      <c r="N144" s="1010"/>
      <c r="O144" s="1010"/>
      <c r="P144" s="1010"/>
      <c r="Q144" s="1010"/>
      <c r="R144" s="1010"/>
      <c r="S144" s="1010"/>
      <c r="T144" s="1010"/>
    </row>
    <row r="145" spans="1:20">
      <c r="A145" s="1010"/>
      <c r="B145" s="1010"/>
      <c r="C145" s="1010"/>
      <c r="D145" s="1010"/>
      <c r="E145" s="1010"/>
      <c r="F145" s="1010"/>
      <c r="G145" s="1010"/>
      <c r="H145" s="1010"/>
      <c r="I145" s="1010"/>
      <c r="J145" s="1010"/>
      <c r="K145" s="1010"/>
      <c r="L145" s="1010"/>
      <c r="M145" s="1010"/>
      <c r="N145" s="1010"/>
      <c r="O145" s="1010"/>
      <c r="P145" s="1010"/>
      <c r="Q145" s="1010"/>
      <c r="R145" s="1010"/>
      <c r="S145" s="1010"/>
      <c r="T145" s="1010"/>
    </row>
    <row r="146" spans="1:20">
      <c r="A146" s="1010"/>
      <c r="B146" s="1010"/>
      <c r="C146" s="1010"/>
      <c r="D146" s="1010"/>
      <c r="E146" s="1010"/>
      <c r="F146" s="1010"/>
      <c r="G146" s="1010"/>
      <c r="H146" s="1010"/>
      <c r="I146" s="1010"/>
      <c r="J146" s="1010"/>
      <c r="K146" s="1010"/>
      <c r="L146" s="1010"/>
      <c r="M146" s="1010"/>
      <c r="N146" s="1010"/>
      <c r="O146" s="1010"/>
      <c r="P146" s="1010"/>
      <c r="Q146" s="1010"/>
      <c r="R146" s="1010"/>
      <c r="S146" s="1010"/>
      <c r="T146" s="1010"/>
    </row>
    <row r="147" spans="1:20">
      <c r="A147" s="1010"/>
      <c r="B147" s="1010"/>
      <c r="C147" s="1010"/>
      <c r="D147" s="1010"/>
      <c r="E147" s="1010"/>
      <c r="F147" s="1010"/>
      <c r="G147" s="1010"/>
      <c r="H147" s="1010"/>
      <c r="I147" s="1010"/>
      <c r="J147" s="1010"/>
      <c r="K147" s="1010"/>
      <c r="L147" s="1010"/>
      <c r="M147" s="1010"/>
      <c r="N147" s="1010"/>
      <c r="O147" s="1010"/>
      <c r="P147" s="1010"/>
      <c r="Q147" s="1010"/>
      <c r="R147" s="1010"/>
      <c r="S147" s="1010"/>
      <c r="T147" s="1010"/>
    </row>
    <row r="148" spans="1:20">
      <c r="A148" s="1010"/>
      <c r="B148" s="1010"/>
      <c r="C148" s="1010"/>
      <c r="D148" s="1010"/>
      <c r="E148" s="1010"/>
      <c r="F148" s="1010"/>
      <c r="G148" s="1010"/>
      <c r="H148" s="1010"/>
      <c r="I148" s="1010"/>
      <c r="J148" s="1010"/>
      <c r="K148" s="1010"/>
      <c r="L148" s="1010"/>
      <c r="M148" s="1010"/>
      <c r="N148" s="1010"/>
      <c r="O148" s="1010"/>
      <c r="P148" s="1010"/>
      <c r="Q148" s="1010"/>
      <c r="R148" s="1010"/>
      <c r="S148" s="1010"/>
      <c r="T148" s="1010"/>
    </row>
    <row r="149" spans="1:20">
      <c r="A149" s="1010"/>
      <c r="B149" s="1010"/>
      <c r="C149" s="1010"/>
      <c r="D149" s="1010"/>
      <c r="E149" s="1010"/>
      <c r="F149" s="1010"/>
      <c r="G149" s="1010"/>
      <c r="H149" s="1010"/>
      <c r="I149" s="1010"/>
      <c r="J149" s="1010"/>
      <c r="K149" s="1010"/>
      <c r="L149" s="1010"/>
      <c r="M149" s="1010"/>
      <c r="N149" s="1010"/>
      <c r="O149" s="1010"/>
      <c r="P149" s="1010"/>
      <c r="Q149" s="1010"/>
      <c r="R149" s="1010"/>
      <c r="S149" s="1010"/>
      <c r="T149" s="1010"/>
    </row>
    <row r="150" spans="1:20">
      <c r="A150" s="1010"/>
      <c r="B150" s="1010"/>
      <c r="C150" s="1010"/>
      <c r="D150" s="1010"/>
      <c r="E150" s="1010"/>
      <c r="F150" s="1010"/>
      <c r="G150" s="1010"/>
      <c r="H150" s="1010"/>
      <c r="I150" s="1010"/>
      <c r="J150" s="1010"/>
      <c r="K150" s="1010"/>
      <c r="L150" s="1010"/>
      <c r="M150" s="1010"/>
      <c r="N150" s="1010"/>
      <c r="O150" s="1010"/>
      <c r="P150" s="1010"/>
      <c r="Q150" s="1010"/>
      <c r="R150" s="1010"/>
      <c r="S150" s="1010"/>
      <c r="T150" s="1010"/>
    </row>
    <row r="151" spans="1:20">
      <c r="A151" s="1010"/>
      <c r="B151" s="1010"/>
      <c r="C151" s="1010"/>
      <c r="D151" s="1010"/>
      <c r="E151" s="1010"/>
      <c r="F151" s="1010"/>
      <c r="G151" s="1010"/>
      <c r="H151" s="1010"/>
      <c r="I151" s="1010"/>
      <c r="J151" s="1010"/>
      <c r="K151" s="1010"/>
      <c r="L151" s="1010"/>
      <c r="M151" s="1010"/>
      <c r="N151" s="1010"/>
      <c r="O151" s="1010"/>
      <c r="P151" s="1010"/>
      <c r="Q151" s="1010"/>
      <c r="R151" s="1010"/>
      <c r="S151" s="1010"/>
      <c r="T151" s="1010"/>
    </row>
    <row r="152" spans="1:20">
      <c r="A152" s="1010"/>
      <c r="B152" s="1010"/>
      <c r="C152" s="1010"/>
      <c r="D152" s="1010"/>
      <c r="E152" s="1010"/>
      <c r="F152" s="1010"/>
      <c r="G152" s="1010"/>
      <c r="H152" s="1010"/>
      <c r="I152" s="1010"/>
      <c r="J152" s="1010"/>
      <c r="K152" s="1010"/>
      <c r="L152" s="1010"/>
      <c r="M152" s="1010"/>
      <c r="N152" s="1010"/>
      <c r="O152" s="1010"/>
      <c r="P152" s="1010"/>
      <c r="Q152" s="1010"/>
      <c r="R152" s="1010"/>
      <c r="S152" s="1010"/>
      <c r="T152" s="1010"/>
    </row>
    <row r="153" spans="1:20">
      <c r="A153" s="1010"/>
      <c r="B153" s="1010"/>
      <c r="C153" s="1010"/>
      <c r="D153" s="1010"/>
      <c r="E153" s="1010"/>
      <c r="F153" s="1010"/>
      <c r="G153" s="1010"/>
      <c r="H153" s="1010"/>
      <c r="I153" s="1010"/>
      <c r="J153" s="1010"/>
      <c r="K153" s="1010"/>
      <c r="L153" s="1010"/>
      <c r="M153" s="1010"/>
      <c r="N153" s="1010"/>
      <c r="O153" s="1010"/>
      <c r="P153" s="1010"/>
      <c r="Q153" s="1010"/>
      <c r="R153" s="1010"/>
      <c r="S153" s="1010"/>
      <c r="T153" s="1010"/>
    </row>
    <row r="154" spans="1:20">
      <c r="A154" s="1010"/>
      <c r="B154" s="1010"/>
      <c r="C154" s="1010"/>
      <c r="D154" s="1010"/>
      <c r="E154" s="1010"/>
      <c r="F154" s="1010"/>
      <c r="G154" s="1010"/>
      <c r="H154" s="1010"/>
      <c r="I154" s="1010"/>
      <c r="J154" s="1010"/>
      <c r="K154" s="1010"/>
      <c r="L154" s="1010"/>
      <c r="M154" s="1010"/>
      <c r="N154" s="1010"/>
      <c r="O154" s="1010"/>
      <c r="P154" s="1010"/>
      <c r="Q154" s="1010"/>
      <c r="R154" s="1010"/>
      <c r="S154" s="1010"/>
      <c r="T154" s="1010"/>
    </row>
    <row r="155" spans="1:20">
      <c r="A155" s="1010"/>
      <c r="B155" s="1010"/>
      <c r="C155" s="1010"/>
      <c r="D155" s="1010"/>
      <c r="E155" s="1010"/>
      <c r="F155" s="1010"/>
      <c r="G155" s="1010"/>
      <c r="H155" s="1010"/>
      <c r="I155" s="1010"/>
      <c r="J155" s="1010"/>
      <c r="K155" s="1010"/>
      <c r="L155" s="1010"/>
      <c r="M155" s="1010"/>
      <c r="N155" s="1010"/>
      <c r="O155" s="1010"/>
      <c r="P155" s="1010"/>
      <c r="Q155" s="1010"/>
      <c r="R155" s="1010"/>
      <c r="S155" s="1010"/>
      <c r="T155" s="1010"/>
    </row>
    <row r="156" spans="1:20">
      <c r="A156" s="1010"/>
      <c r="B156" s="1010"/>
      <c r="C156" s="1010"/>
      <c r="D156" s="1010"/>
      <c r="E156" s="1010"/>
      <c r="F156" s="1010"/>
      <c r="G156" s="1010"/>
      <c r="H156" s="1010"/>
      <c r="I156" s="1010"/>
      <c r="J156" s="1010"/>
      <c r="K156" s="1010"/>
      <c r="L156" s="1010"/>
      <c r="M156" s="1010"/>
      <c r="N156" s="1010"/>
      <c r="O156" s="1010"/>
      <c r="P156" s="1010"/>
      <c r="Q156" s="1010"/>
      <c r="R156" s="1010"/>
      <c r="S156" s="1010"/>
      <c r="T156" s="1010"/>
    </row>
    <row r="157" spans="1:20">
      <c r="A157" s="1010"/>
      <c r="B157" s="1010"/>
      <c r="C157" s="1010"/>
      <c r="D157" s="1010"/>
      <c r="E157" s="1010"/>
      <c r="F157" s="1010"/>
      <c r="G157" s="1010"/>
      <c r="H157" s="1010"/>
      <c r="I157" s="1010"/>
      <c r="J157" s="1010"/>
      <c r="K157" s="1010"/>
      <c r="L157" s="1010"/>
      <c r="M157" s="1010"/>
      <c r="N157" s="1010"/>
      <c r="O157" s="1010"/>
      <c r="P157" s="1010"/>
      <c r="Q157" s="1010"/>
      <c r="R157" s="1010"/>
      <c r="S157" s="1010"/>
      <c r="T157" s="1010"/>
    </row>
    <row r="158" spans="1:20">
      <c r="A158" s="1010"/>
      <c r="B158" s="1010"/>
      <c r="C158" s="1010"/>
      <c r="D158" s="1010"/>
      <c r="E158" s="1010"/>
      <c r="F158" s="1010"/>
      <c r="G158" s="1010"/>
      <c r="H158" s="1010"/>
      <c r="I158" s="1010"/>
      <c r="J158" s="1010"/>
      <c r="K158" s="1010"/>
      <c r="L158" s="1010"/>
      <c r="M158" s="1010"/>
      <c r="N158" s="1010"/>
      <c r="O158" s="1010"/>
      <c r="P158" s="1010"/>
      <c r="Q158" s="1010"/>
      <c r="R158" s="1010"/>
      <c r="S158" s="1010"/>
      <c r="T158" s="1010"/>
    </row>
    <row r="159" spans="1:20">
      <c r="A159" s="1010"/>
      <c r="B159" s="1010"/>
      <c r="C159" s="1010"/>
      <c r="D159" s="1010"/>
      <c r="E159" s="1010"/>
      <c r="F159" s="1010"/>
      <c r="G159" s="1010"/>
      <c r="H159" s="1010"/>
      <c r="I159" s="1010"/>
      <c r="J159" s="1010"/>
      <c r="K159" s="1010"/>
      <c r="L159" s="1010"/>
      <c r="M159" s="1010"/>
      <c r="N159" s="1010"/>
      <c r="O159" s="1010"/>
      <c r="P159" s="1010"/>
      <c r="Q159" s="1010"/>
      <c r="R159" s="1010"/>
      <c r="S159" s="1010"/>
      <c r="T159" s="1010"/>
    </row>
    <row r="160" spans="1:20">
      <c r="A160" s="1010"/>
      <c r="B160" s="1010"/>
      <c r="C160" s="1010"/>
      <c r="D160" s="1010"/>
      <c r="E160" s="1010"/>
      <c r="F160" s="1010"/>
      <c r="G160" s="1010"/>
      <c r="H160" s="1010"/>
      <c r="I160" s="1010"/>
      <c r="J160" s="1010"/>
      <c r="K160" s="1010"/>
      <c r="L160" s="1010"/>
      <c r="M160" s="1010"/>
      <c r="N160" s="1010"/>
      <c r="O160" s="1010"/>
      <c r="P160" s="1010"/>
      <c r="Q160" s="1010"/>
      <c r="R160" s="1010"/>
      <c r="S160" s="1010"/>
      <c r="T160" s="1010"/>
    </row>
    <row r="161" spans="1:20">
      <c r="A161" s="1010"/>
      <c r="B161" s="1010"/>
      <c r="C161" s="1010"/>
      <c r="D161" s="1010"/>
      <c r="E161" s="1010"/>
      <c r="F161" s="1010"/>
      <c r="G161" s="1010"/>
      <c r="H161" s="1010"/>
      <c r="I161" s="1010"/>
      <c r="J161" s="1010"/>
      <c r="K161" s="1010"/>
      <c r="L161" s="1010"/>
      <c r="M161" s="1010"/>
      <c r="N161" s="1010"/>
      <c r="O161" s="1010"/>
      <c r="P161" s="1010"/>
      <c r="Q161" s="1010"/>
      <c r="R161" s="1010"/>
      <c r="S161" s="1010"/>
      <c r="T161" s="1010"/>
    </row>
    <row r="162" spans="1:20">
      <c r="A162" s="1010"/>
      <c r="B162" s="1010"/>
      <c r="C162" s="1010"/>
      <c r="D162" s="1010"/>
      <c r="E162" s="1010"/>
      <c r="F162" s="1010"/>
      <c r="G162" s="1010"/>
      <c r="H162" s="1010"/>
      <c r="I162" s="1010"/>
      <c r="J162" s="1010"/>
      <c r="K162" s="1010"/>
      <c r="L162" s="1010"/>
      <c r="M162" s="1010"/>
      <c r="N162" s="1010"/>
      <c r="O162" s="1010"/>
      <c r="P162" s="1010"/>
      <c r="Q162" s="1010"/>
      <c r="R162" s="1010"/>
      <c r="S162" s="1010"/>
      <c r="T162" s="1010"/>
    </row>
    <row r="163" spans="1:20">
      <c r="A163" s="1010"/>
      <c r="B163" s="1010"/>
      <c r="C163" s="1010"/>
      <c r="D163" s="1010"/>
      <c r="E163" s="1010"/>
      <c r="F163" s="1010"/>
      <c r="G163" s="1010"/>
      <c r="H163" s="1010"/>
      <c r="I163" s="1010"/>
      <c r="J163" s="1010"/>
      <c r="K163" s="1010"/>
      <c r="L163" s="1010"/>
      <c r="M163" s="1010"/>
      <c r="N163" s="1010"/>
      <c r="O163" s="1010"/>
      <c r="P163" s="1010"/>
      <c r="Q163" s="1010"/>
      <c r="R163" s="1010"/>
      <c r="S163" s="1010"/>
      <c r="T163" s="1010"/>
    </row>
    <row r="164" spans="1:20">
      <c r="A164" s="1010"/>
      <c r="B164" s="1010"/>
      <c r="C164" s="1010"/>
      <c r="D164" s="1010"/>
      <c r="E164" s="1010"/>
      <c r="F164" s="1010"/>
      <c r="G164" s="1010"/>
      <c r="H164" s="1010"/>
      <c r="I164" s="1010"/>
      <c r="J164" s="1010"/>
      <c r="K164" s="1010"/>
      <c r="L164" s="1010"/>
      <c r="M164" s="1010"/>
      <c r="N164" s="1010"/>
      <c r="O164" s="1010"/>
      <c r="P164" s="1010"/>
      <c r="Q164" s="1010"/>
      <c r="R164" s="1010"/>
      <c r="S164" s="1010"/>
      <c r="T164" s="1010"/>
    </row>
    <row r="165" spans="1:20">
      <c r="A165" s="1010"/>
      <c r="B165" s="1010"/>
      <c r="C165" s="1010"/>
      <c r="D165" s="1010"/>
      <c r="E165" s="1010"/>
      <c r="F165" s="1010"/>
      <c r="G165" s="1010"/>
      <c r="H165" s="1010"/>
      <c r="I165" s="1010"/>
      <c r="J165" s="1010"/>
      <c r="K165" s="1010"/>
      <c r="L165" s="1010"/>
      <c r="M165" s="1010"/>
      <c r="N165" s="1010"/>
      <c r="O165" s="1010"/>
      <c r="P165" s="1010"/>
      <c r="Q165" s="1010"/>
      <c r="R165" s="1010"/>
      <c r="S165" s="1010"/>
      <c r="T165" s="1010"/>
    </row>
    <row r="166" spans="1:20">
      <c r="A166" s="1010"/>
      <c r="B166" s="1010"/>
      <c r="C166" s="1010"/>
      <c r="D166" s="1010"/>
      <c r="E166" s="1010"/>
      <c r="F166" s="1010"/>
      <c r="G166" s="1010"/>
      <c r="H166" s="1010"/>
      <c r="I166" s="1010"/>
      <c r="J166" s="1010"/>
      <c r="K166" s="1010"/>
      <c r="L166" s="1010"/>
      <c r="M166" s="1010"/>
      <c r="N166" s="1010"/>
      <c r="O166" s="1010"/>
      <c r="P166" s="1010"/>
      <c r="Q166" s="1010"/>
      <c r="R166" s="1010"/>
      <c r="S166" s="1010"/>
      <c r="T166" s="1010"/>
    </row>
    <row r="167" spans="1:20">
      <c r="A167" s="1010"/>
      <c r="B167" s="1010"/>
      <c r="C167" s="1010"/>
      <c r="D167" s="1010"/>
      <c r="E167" s="1010"/>
      <c r="F167" s="1010"/>
      <c r="G167" s="1010"/>
      <c r="H167" s="1010"/>
      <c r="I167" s="1010"/>
      <c r="J167" s="1010"/>
      <c r="K167" s="1010"/>
      <c r="L167" s="1010"/>
      <c r="M167" s="1010"/>
      <c r="N167" s="1010"/>
      <c r="O167" s="1010"/>
      <c r="P167" s="1010"/>
      <c r="Q167" s="1010"/>
      <c r="R167" s="1010"/>
      <c r="S167" s="1010"/>
      <c r="T167" s="1010"/>
    </row>
    <row r="168" spans="1:20">
      <c r="A168" s="1010"/>
      <c r="B168" s="1010"/>
      <c r="C168" s="1010"/>
      <c r="D168" s="1010"/>
      <c r="E168" s="1010"/>
      <c r="F168" s="1010"/>
      <c r="G168" s="1010"/>
      <c r="H168" s="1010"/>
      <c r="I168" s="1010"/>
      <c r="J168" s="1010"/>
      <c r="K168" s="1010"/>
      <c r="L168" s="1010"/>
      <c r="M168" s="1010"/>
      <c r="N168" s="1010"/>
      <c r="O168" s="1010"/>
      <c r="P168" s="1010"/>
      <c r="Q168" s="1010"/>
      <c r="R168" s="1010"/>
      <c r="S168" s="1010"/>
      <c r="T168" s="1010"/>
    </row>
    <row r="169" spans="1:20">
      <c r="A169" s="1010"/>
      <c r="B169" s="1010"/>
      <c r="C169" s="1010"/>
      <c r="D169" s="1010"/>
      <c r="E169" s="1010"/>
      <c r="F169" s="1010"/>
      <c r="G169" s="1010"/>
      <c r="H169" s="1010"/>
      <c r="I169" s="1010"/>
      <c r="J169" s="1010"/>
      <c r="K169" s="1010"/>
      <c r="L169" s="1010"/>
      <c r="M169" s="1010"/>
      <c r="N169" s="1010"/>
      <c r="O169" s="1010"/>
      <c r="P169" s="1010"/>
      <c r="Q169" s="1010"/>
      <c r="R169" s="1010"/>
      <c r="S169" s="1010"/>
      <c r="T169" s="1010"/>
    </row>
    <row r="170" spans="1:20">
      <c r="A170" s="1010"/>
      <c r="B170" s="1010"/>
      <c r="C170" s="1010"/>
      <c r="D170" s="1010"/>
      <c r="E170" s="1010"/>
      <c r="F170" s="1010"/>
      <c r="G170" s="1010"/>
      <c r="H170" s="1010"/>
      <c r="I170" s="1010"/>
      <c r="J170" s="1010"/>
      <c r="K170" s="1010"/>
      <c r="L170" s="1010"/>
      <c r="M170" s="1010"/>
      <c r="N170" s="1010"/>
      <c r="O170" s="1010"/>
      <c r="P170" s="1010"/>
      <c r="Q170" s="1010"/>
      <c r="R170" s="1010"/>
      <c r="S170" s="1010"/>
      <c r="T170" s="1010"/>
    </row>
    <row r="171" spans="1:20">
      <c r="A171" s="1010"/>
      <c r="B171" s="1010"/>
      <c r="C171" s="1010"/>
      <c r="D171" s="1010"/>
      <c r="E171" s="1010"/>
      <c r="F171" s="1010"/>
      <c r="G171" s="1010"/>
      <c r="H171" s="1010"/>
      <c r="I171" s="1010"/>
      <c r="J171" s="1010"/>
      <c r="K171" s="1010"/>
      <c r="L171" s="1010"/>
      <c r="M171" s="1010"/>
      <c r="N171" s="1010"/>
      <c r="O171" s="1010"/>
      <c r="P171" s="1010"/>
      <c r="Q171" s="1010"/>
      <c r="R171" s="1010"/>
      <c r="S171" s="1010"/>
      <c r="T171" s="1010"/>
    </row>
    <row r="172" spans="1:20">
      <c r="A172" s="1010"/>
      <c r="B172" s="1010"/>
      <c r="C172" s="1010"/>
      <c r="D172" s="1010"/>
      <c r="E172" s="1010"/>
      <c r="F172" s="1010"/>
      <c r="G172" s="1010"/>
      <c r="H172" s="1010"/>
      <c r="I172" s="1010"/>
      <c r="J172" s="1010"/>
      <c r="K172" s="1010"/>
      <c r="L172" s="1010"/>
      <c r="M172" s="1010"/>
      <c r="N172" s="1010"/>
      <c r="O172" s="1010"/>
      <c r="P172" s="1010"/>
      <c r="Q172" s="1010"/>
      <c r="R172" s="1010"/>
      <c r="S172" s="1010"/>
      <c r="T172" s="1010"/>
    </row>
    <row r="173" spans="1:20">
      <c r="A173" s="1010"/>
      <c r="B173" s="1010"/>
      <c r="C173" s="1010"/>
      <c r="D173" s="1010"/>
      <c r="E173" s="1010"/>
      <c r="F173" s="1010"/>
      <c r="G173" s="1010"/>
      <c r="H173" s="1010"/>
      <c r="I173" s="1010"/>
      <c r="J173" s="1010"/>
      <c r="K173" s="1010"/>
      <c r="L173" s="1010"/>
      <c r="M173" s="1010"/>
      <c r="N173" s="1010"/>
      <c r="O173" s="1010"/>
      <c r="P173" s="1010"/>
      <c r="Q173" s="1010"/>
      <c r="R173" s="1010"/>
      <c r="S173" s="1010"/>
      <c r="T173" s="1010"/>
    </row>
    <row r="174" spans="1:20">
      <c r="A174" s="1010"/>
      <c r="B174" s="1010"/>
      <c r="C174" s="1010"/>
      <c r="D174" s="1010"/>
      <c r="E174" s="1010"/>
      <c r="F174" s="1010"/>
      <c r="G174" s="1010"/>
      <c r="H174" s="1010"/>
      <c r="I174" s="1010"/>
      <c r="J174" s="1010"/>
      <c r="K174" s="1010"/>
      <c r="L174" s="1010"/>
      <c r="M174" s="1010"/>
      <c r="N174" s="1010"/>
      <c r="O174" s="1010"/>
      <c r="P174" s="1010"/>
      <c r="Q174" s="1010"/>
      <c r="R174" s="1010"/>
      <c r="S174" s="1010"/>
      <c r="T174" s="1010"/>
    </row>
    <row r="175" spans="1:20">
      <c r="A175" s="1010"/>
      <c r="B175" s="1010"/>
      <c r="C175" s="1010"/>
      <c r="D175" s="1010"/>
      <c r="E175" s="1010"/>
      <c r="F175" s="1010"/>
      <c r="G175" s="1010"/>
      <c r="H175" s="1010"/>
      <c r="I175" s="1010"/>
      <c r="J175" s="1010"/>
      <c r="K175" s="1010"/>
      <c r="L175" s="1010"/>
      <c r="M175" s="1010"/>
      <c r="N175" s="1010"/>
      <c r="O175" s="1010"/>
      <c r="P175" s="1010"/>
      <c r="Q175" s="1010"/>
      <c r="R175" s="1010"/>
      <c r="S175" s="1010"/>
      <c r="T175" s="1010"/>
    </row>
    <row r="176" spans="1:20">
      <c r="A176" s="1010"/>
      <c r="B176" s="1010"/>
      <c r="C176" s="1010"/>
      <c r="D176" s="1010"/>
      <c r="E176" s="1010"/>
      <c r="F176" s="1010"/>
      <c r="G176" s="1010"/>
      <c r="H176" s="1010"/>
      <c r="I176" s="1010"/>
      <c r="J176" s="1010"/>
      <c r="K176" s="1010"/>
      <c r="L176" s="1010"/>
      <c r="M176" s="1010"/>
      <c r="N176" s="1010"/>
      <c r="O176" s="1010"/>
      <c r="P176" s="1010"/>
      <c r="Q176" s="1010"/>
      <c r="R176" s="1010"/>
      <c r="S176" s="1010"/>
      <c r="T176" s="1010"/>
    </row>
    <row r="177" spans="1:20">
      <c r="A177" s="1010"/>
      <c r="B177" s="1010"/>
      <c r="C177" s="1010"/>
      <c r="D177" s="1010"/>
      <c r="E177" s="1010"/>
      <c r="F177" s="1010"/>
      <c r="G177" s="1010"/>
      <c r="H177" s="1010"/>
      <c r="I177" s="1010"/>
      <c r="J177" s="1010"/>
      <c r="K177" s="1010"/>
      <c r="L177" s="1010"/>
      <c r="M177" s="1010"/>
      <c r="N177" s="1010"/>
      <c r="O177" s="1010"/>
      <c r="P177" s="1010"/>
      <c r="Q177" s="1010"/>
      <c r="R177" s="1010"/>
      <c r="S177" s="1010"/>
      <c r="T177" s="1010"/>
    </row>
    <row r="178" spans="1:20">
      <c r="A178" s="1010"/>
      <c r="B178" s="1010"/>
      <c r="C178" s="1010"/>
      <c r="D178" s="1010"/>
      <c r="E178" s="1010"/>
      <c r="F178" s="1010"/>
      <c r="G178" s="1010"/>
      <c r="H178" s="1010"/>
      <c r="I178" s="1010"/>
      <c r="J178" s="1010"/>
      <c r="K178" s="1010"/>
      <c r="L178" s="1010"/>
      <c r="M178" s="1010"/>
      <c r="N178" s="1010"/>
      <c r="O178" s="1010"/>
      <c r="P178" s="1010"/>
      <c r="Q178" s="1010"/>
      <c r="R178" s="1010"/>
      <c r="S178" s="1010"/>
      <c r="T178" s="1010"/>
    </row>
    <row r="179" spans="1:20">
      <c r="A179" s="1010"/>
      <c r="B179" s="1010"/>
      <c r="C179" s="1010"/>
      <c r="D179" s="1010"/>
      <c r="E179" s="1010"/>
      <c r="F179" s="1010"/>
      <c r="G179" s="1010"/>
      <c r="H179" s="1010"/>
      <c r="I179" s="1010"/>
      <c r="J179" s="1010"/>
      <c r="K179" s="1010"/>
      <c r="L179" s="1010"/>
      <c r="M179" s="1010"/>
      <c r="N179" s="1010"/>
      <c r="O179" s="1010"/>
      <c r="P179" s="1010"/>
      <c r="Q179" s="1010"/>
      <c r="R179" s="1010"/>
      <c r="S179" s="1010"/>
      <c r="T179" s="1010"/>
    </row>
    <row r="180" spans="1:20">
      <c r="A180" s="1010"/>
      <c r="B180" s="1010"/>
      <c r="C180" s="1010"/>
      <c r="D180" s="1010"/>
      <c r="E180" s="1010"/>
      <c r="F180" s="1010"/>
      <c r="G180" s="1010"/>
      <c r="H180" s="1010"/>
      <c r="I180" s="1010"/>
      <c r="J180" s="1010"/>
      <c r="K180" s="1010"/>
      <c r="L180" s="1010"/>
      <c r="M180" s="1010"/>
      <c r="N180" s="1010"/>
      <c r="O180" s="1010"/>
      <c r="P180" s="1010"/>
      <c r="Q180" s="1010"/>
      <c r="R180" s="1010"/>
      <c r="S180" s="1010"/>
      <c r="T180" s="1010"/>
    </row>
    <row r="181" spans="1:20">
      <c r="A181" s="1010"/>
      <c r="B181" s="1010"/>
      <c r="C181" s="1010"/>
      <c r="D181" s="1010"/>
      <c r="E181" s="1010"/>
      <c r="F181" s="1010"/>
      <c r="G181" s="1010"/>
      <c r="H181" s="1010"/>
      <c r="I181" s="1010"/>
      <c r="J181" s="1010"/>
      <c r="K181" s="1010"/>
      <c r="L181" s="1010"/>
      <c r="M181" s="1010"/>
      <c r="N181" s="1010"/>
      <c r="O181" s="1010"/>
      <c r="P181" s="1010"/>
      <c r="Q181" s="1010"/>
      <c r="R181" s="1010"/>
      <c r="S181" s="1010"/>
      <c r="T181" s="1010"/>
    </row>
    <row r="182" spans="1:20">
      <c r="A182" s="1010"/>
      <c r="B182" s="1010"/>
      <c r="C182" s="1010"/>
      <c r="D182" s="1010"/>
      <c r="E182" s="1010"/>
      <c r="F182" s="1010"/>
      <c r="G182" s="1010"/>
      <c r="H182" s="1010"/>
      <c r="I182" s="1010"/>
      <c r="J182" s="1010"/>
      <c r="K182" s="1010"/>
      <c r="L182" s="1010"/>
      <c r="M182" s="1010"/>
      <c r="N182" s="1010"/>
      <c r="O182" s="1010"/>
      <c r="P182" s="1010"/>
      <c r="Q182" s="1010"/>
      <c r="R182" s="1010"/>
      <c r="S182" s="1010"/>
      <c r="T182" s="1010"/>
    </row>
    <row r="183" spans="1:20">
      <c r="A183" s="1010"/>
      <c r="B183" s="1010"/>
      <c r="C183" s="1010"/>
      <c r="D183" s="1010"/>
      <c r="E183" s="1010"/>
      <c r="F183" s="1010"/>
      <c r="G183" s="1010"/>
      <c r="H183" s="1010"/>
      <c r="I183" s="1010"/>
      <c r="J183" s="1010"/>
      <c r="K183" s="1010"/>
      <c r="L183" s="1010"/>
      <c r="M183" s="1010"/>
      <c r="N183" s="1010"/>
      <c r="O183" s="1010"/>
      <c r="P183" s="1010"/>
      <c r="Q183" s="1010"/>
      <c r="R183" s="1010"/>
      <c r="S183" s="1010"/>
      <c r="T183" s="1010"/>
    </row>
    <row r="184" spans="1:20">
      <c r="A184" s="1010"/>
      <c r="B184" s="1010"/>
      <c r="C184" s="1010"/>
      <c r="D184" s="1010"/>
      <c r="E184" s="1010"/>
      <c r="F184" s="1010"/>
      <c r="G184" s="1010"/>
      <c r="H184" s="1010"/>
      <c r="I184" s="1010"/>
      <c r="J184" s="1010"/>
      <c r="K184" s="1010"/>
      <c r="L184" s="1010"/>
      <c r="M184" s="1010"/>
      <c r="N184" s="1010"/>
      <c r="O184" s="1010"/>
      <c r="P184" s="1010"/>
      <c r="Q184" s="1010"/>
      <c r="R184" s="1010"/>
      <c r="S184" s="1010"/>
      <c r="T184" s="1010"/>
    </row>
    <row r="185" spans="1:20">
      <c r="A185" s="1010"/>
      <c r="B185" s="1010"/>
      <c r="C185" s="1010"/>
      <c r="D185" s="1010"/>
      <c r="E185" s="1010"/>
      <c r="F185" s="1010"/>
      <c r="G185" s="1010"/>
      <c r="H185" s="1010"/>
      <c r="I185" s="1010"/>
      <c r="J185" s="1010"/>
      <c r="K185" s="1010"/>
      <c r="L185" s="1010"/>
      <c r="M185" s="1010"/>
      <c r="N185" s="1010"/>
      <c r="O185" s="1010"/>
      <c r="P185" s="1010"/>
      <c r="Q185" s="1010"/>
      <c r="R185" s="1010"/>
      <c r="S185" s="1010"/>
      <c r="T185" s="1010"/>
    </row>
    <row r="186" spans="1:20">
      <c r="A186" s="1010"/>
      <c r="B186" s="1010"/>
      <c r="C186" s="1010"/>
      <c r="D186" s="1010"/>
      <c r="E186" s="1010"/>
      <c r="F186" s="1010"/>
      <c r="G186" s="1010"/>
      <c r="H186" s="1010"/>
      <c r="I186" s="1010"/>
      <c r="J186" s="1010"/>
      <c r="K186" s="1010"/>
      <c r="L186" s="1010"/>
      <c r="M186" s="1010"/>
      <c r="N186" s="1010"/>
      <c r="O186" s="1010"/>
      <c r="P186" s="1010"/>
      <c r="Q186" s="1010"/>
      <c r="R186" s="1010"/>
      <c r="S186" s="1010"/>
      <c r="T186" s="1010"/>
    </row>
    <row r="187" spans="1:20">
      <c r="A187" s="1010"/>
      <c r="B187" s="1010"/>
      <c r="C187" s="1010"/>
      <c r="D187" s="1010"/>
      <c r="E187" s="1010"/>
      <c r="F187" s="1010"/>
      <c r="G187" s="1010"/>
      <c r="H187" s="1010"/>
      <c r="I187" s="1010"/>
      <c r="J187" s="1010"/>
      <c r="K187" s="1010"/>
      <c r="L187" s="1010"/>
      <c r="M187" s="1010"/>
      <c r="N187" s="1010"/>
      <c r="O187" s="1010"/>
      <c r="P187" s="1010"/>
      <c r="Q187" s="1010"/>
      <c r="R187" s="1010"/>
      <c r="S187" s="1010"/>
      <c r="T187" s="1010"/>
    </row>
    <row r="188" spans="1:20">
      <c r="A188" s="1010"/>
      <c r="B188" s="1010"/>
      <c r="C188" s="1010"/>
      <c r="D188" s="1010"/>
      <c r="E188" s="1010"/>
      <c r="F188" s="1010"/>
      <c r="G188" s="1010"/>
      <c r="H188" s="1010"/>
      <c r="I188" s="1010"/>
      <c r="J188" s="1010"/>
      <c r="K188" s="1010"/>
      <c r="L188" s="1010"/>
      <c r="M188" s="1010"/>
      <c r="N188" s="1010"/>
      <c r="O188" s="1010"/>
      <c r="P188" s="1010"/>
      <c r="Q188" s="1010"/>
      <c r="R188" s="1010"/>
      <c r="S188" s="1010"/>
      <c r="T188" s="1010"/>
    </row>
    <row r="189" spans="1:20">
      <c r="A189" s="1010"/>
      <c r="B189" s="1010"/>
      <c r="C189" s="1010"/>
      <c r="D189" s="1010"/>
      <c r="E189" s="1010"/>
      <c r="F189" s="1010"/>
      <c r="G189" s="1010"/>
      <c r="H189" s="1010"/>
      <c r="I189" s="1010"/>
      <c r="J189" s="1010"/>
      <c r="K189" s="1010"/>
      <c r="L189" s="1010"/>
      <c r="M189" s="1010"/>
      <c r="N189" s="1010"/>
      <c r="O189" s="1010"/>
      <c r="P189" s="1010"/>
      <c r="Q189" s="1010"/>
      <c r="R189" s="1010"/>
      <c r="S189" s="1010"/>
      <c r="T189" s="1010"/>
    </row>
    <row r="190" spans="1:20">
      <c r="A190" s="1010"/>
      <c r="B190" s="1010"/>
      <c r="C190" s="1010"/>
      <c r="D190" s="1010"/>
      <c r="E190" s="1010"/>
      <c r="F190" s="1010"/>
      <c r="G190" s="1010"/>
      <c r="H190" s="1010"/>
      <c r="I190" s="1010"/>
      <c r="J190" s="1010"/>
      <c r="K190" s="1010"/>
      <c r="L190" s="1010"/>
      <c r="M190" s="1010"/>
      <c r="N190" s="1010"/>
      <c r="O190" s="1010"/>
      <c r="P190" s="1010"/>
      <c r="Q190" s="1010"/>
      <c r="R190" s="1010"/>
      <c r="S190" s="1010"/>
      <c r="T190" s="1010"/>
    </row>
    <row r="191" spans="1:20">
      <c r="A191" s="1010"/>
      <c r="B191" s="1010"/>
      <c r="C191" s="1010"/>
      <c r="D191" s="1010"/>
      <c r="E191" s="1010"/>
      <c r="F191" s="1010"/>
      <c r="G191" s="1010"/>
      <c r="H191" s="1010"/>
      <c r="I191" s="1010"/>
      <c r="J191" s="1010"/>
      <c r="K191" s="1010"/>
      <c r="L191" s="1010"/>
      <c r="M191" s="1010"/>
      <c r="N191" s="1010"/>
      <c r="O191" s="1010"/>
      <c r="P191" s="1010"/>
      <c r="Q191" s="1010"/>
      <c r="R191" s="1010"/>
      <c r="S191" s="1010"/>
      <c r="T191" s="1010"/>
    </row>
    <row r="192" spans="1:20">
      <c r="A192" s="1010"/>
      <c r="B192" s="1010"/>
      <c r="C192" s="1010"/>
      <c r="D192" s="1010"/>
      <c r="E192" s="1010"/>
      <c r="F192" s="1010"/>
      <c r="G192" s="1010"/>
      <c r="H192" s="1010"/>
      <c r="I192" s="1010"/>
      <c r="J192" s="1010"/>
      <c r="K192" s="1010"/>
      <c r="L192" s="1010"/>
      <c r="M192" s="1010"/>
      <c r="N192" s="1010"/>
      <c r="O192" s="1010"/>
      <c r="P192" s="1010"/>
      <c r="Q192" s="1010"/>
      <c r="R192" s="1010"/>
      <c r="S192" s="1010"/>
      <c r="T192" s="1010"/>
    </row>
    <row r="193" spans="1:20">
      <c r="A193" s="1010"/>
      <c r="B193" s="1010"/>
      <c r="C193" s="1010"/>
      <c r="D193" s="1010"/>
      <c r="E193" s="1010"/>
      <c r="F193" s="1010"/>
      <c r="G193" s="1010"/>
      <c r="H193" s="1010"/>
      <c r="I193" s="1010"/>
      <c r="J193" s="1010"/>
      <c r="K193" s="1010"/>
      <c r="L193" s="1010"/>
      <c r="M193" s="1010"/>
      <c r="N193" s="1010"/>
      <c r="O193" s="1010"/>
      <c r="P193" s="1010"/>
      <c r="Q193" s="1010"/>
      <c r="R193" s="1010"/>
      <c r="S193" s="1010"/>
      <c r="T193" s="1010"/>
    </row>
    <row r="194" spans="1:20">
      <c r="A194" s="1010"/>
      <c r="B194" s="1010"/>
      <c r="C194" s="1010"/>
      <c r="D194" s="1010"/>
      <c r="E194" s="1010"/>
      <c r="F194" s="1010"/>
      <c r="G194" s="1010"/>
      <c r="H194" s="1010"/>
      <c r="I194" s="1010"/>
      <c r="J194" s="1010"/>
      <c r="K194" s="1010"/>
      <c r="L194" s="1010"/>
      <c r="M194" s="1010"/>
      <c r="N194" s="1010"/>
      <c r="O194" s="1010"/>
      <c r="P194" s="1010"/>
      <c r="Q194" s="1010"/>
      <c r="R194" s="1010"/>
      <c r="S194" s="1010"/>
      <c r="T194" s="1010"/>
    </row>
    <row r="195" spans="1:20">
      <c r="A195" s="1010"/>
      <c r="B195" s="1010"/>
      <c r="C195" s="1010"/>
      <c r="D195" s="1010"/>
      <c r="E195" s="1010"/>
      <c r="F195" s="1010"/>
      <c r="G195" s="1010"/>
      <c r="H195" s="1010"/>
      <c r="I195" s="1010"/>
      <c r="J195" s="1010"/>
      <c r="K195" s="1010"/>
      <c r="L195" s="1010"/>
      <c r="M195" s="1010"/>
      <c r="N195" s="1010"/>
      <c r="O195" s="1010"/>
      <c r="P195" s="1010"/>
      <c r="Q195" s="1010"/>
      <c r="R195" s="1010"/>
      <c r="S195" s="1010"/>
      <c r="T195" s="1010"/>
    </row>
    <row r="196" spans="1:20">
      <c r="A196" s="1010"/>
      <c r="B196" s="1010"/>
      <c r="C196" s="1010"/>
      <c r="D196" s="1010"/>
      <c r="E196" s="1010"/>
      <c r="F196" s="1010"/>
      <c r="G196" s="1010"/>
      <c r="H196" s="1010"/>
      <c r="I196" s="1010"/>
      <c r="J196" s="1010"/>
      <c r="K196" s="1010"/>
      <c r="L196" s="1010"/>
      <c r="M196" s="1010"/>
      <c r="N196" s="1010"/>
      <c r="O196" s="1010"/>
      <c r="P196" s="1010"/>
      <c r="Q196" s="1010"/>
      <c r="R196" s="1010"/>
      <c r="S196" s="1010"/>
      <c r="T196" s="1010"/>
    </row>
    <row r="197" spans="1:20">
      <c r="A197" s="1010"/>
      <c r="B197" s="1010"/>
      <c r="C197" s="1010"/>
      <c r="D197" s="1010"/>
      <c r="E197" s="1010"/>
      <c r="F197" s="1010"/>
      <c r="G197" s="1010"/>
      <c r="H197" s="1010"/>
      <c r="I197" s="1010"/>
      <c r="J197" s="1010"/>
      <c r="K197" s="1010"/>
      <c r="L197" s="1010"/>
      <c r="M197" s="1010"/>
      <c r="N197" s="1010"/>
      <c r="O197" s="1010"/>
      <c r="P197" s="1010"/>
      <c r="Q197" s="1010"/>
      <c r="R197" s="1010"/>
      <c r="S197" s="1010"/>
      <c r="T197" s="1010"/>
    </row>
    <row r="198" spans="1:20">
      <c r="A198" s="1010"/>
      <c r="B198" s="1010"/>
      <c r="C198" s="1010"/>
      <c r="D198" s="1010"/>
      <c r="E198" s="1010"/>
      <c r="F198" s="1010"/>
      <c r="G198" s="1010"/>
      <c r="H198" s="1010"/>
      <c r="I198" s="1010"/>
      <c r="J198" s="1010"/>
      <c r="K198" s="1010"/>
      <c r="L198" s="1010"/>
      <c r="M198" s="1010"/>
      <c r="N198" s="1010"/>
      <c r="O198" s="1010"/>
      <c r="P198" s="1010"/>
      <c r="Q198" s="1010"/>
      <c r="R198" s="1010"/>
      <c r="S198" s="1010"/>
      <c r="T198" s="1010"/>
    </row>
    <row r="199" spans="1:20">
      <c r="A199" s="1010"/>
      <c r="B199" s="1010"/>
      <c r="C199" s="1010"/>
      <c r="D199" s="1010"/>
      <c r="E199" s="1010"/>
      <c r="F199" s="1010"/>
      <c r="G199" s="1010"/>
      <c r="H199" s="1010"/>
      <c r="I199" s="1010"/>
      <c r="J199" s="1010"/>
      <c r="K199" s="1010"/>
      <c r="L199" s="1010"/>
      <c r="M199" s="1010"/>
      <c r="N199" s="1010"/>
      <c r="O199" s="1010"/>
      <c r="P199" s="1010"/>
      <c r="Q199" s="1010"/>
      <c r="R199" s="1010"/>
      <c r="S199" s="1010"/>
      <c r="T199" s="1010"/>
    </row>
    <row r="200" spans="1:20">
      <c r="A200" s="1010"/>
      <c r="B200" s="1010"/>
      <c r="C200" s="1010"/>
      <c r="D200" s="1010"/>
      <c r="E200" s="1010"/>
      <c r="F200" s="1010"/>
      <c r="G200" s="1010"/>
      <c r="H200" s="1010"/>
      <c r="I200" s="1010"/>
      <c r="J200" s="1010"/>
      <c r="K200" s="1010"/>
      <c r="L200" s="1010"/>
      <c r="M200" s="1010"/>
      <c r="N200" s="1010"/>
      <c r="O200" s="1010"/>
      <c r="P200" s="1010"/>
      <c r="Q200" s="1010"/>
      <c r="R200" s="1010"/>
      <c r="S200" s="1010"/>
      <c r="T200" s="1010"/>
    </row>
    <row r="201" spans="1:20">
      <c r="A201" s="1010"/>
      <c r="B201" s="1010"/>
      <c r="C201" s="1010"/>
      <c r="D201" s="1010"/>
      <c r="E201" s="1010"/>
      <c r="F201" s="1010"/>
      <c r="G201" s="1010"/>
      <c r="H201" s="1010"/>
      <c r="I201" s="1010"/>
      <c r="J201" s="1010"/>
      <c r="K201" s="1010"/>
      <c r="L201" s="1010"/>
      <c r="M201" s="1010"/>
      <c r="N201" s="1010"/>
      <c r="O201" s="1010"/>
      <c r="P201" s="1010"/>
      <c r="Q201" s="1010"/>
      <c r="R201" s="1010"/>
      <c r="S201" s="1010"/>
      <c r="T201" s="1010"/>
    </row>
    <row r="202" spans="1:20">
      <c r="A202" s="1010"/>
      <c r="B202" s="1010"/>
      <c r="C202" s="1010"/>
      <c r="D202" s="1010"/>
      <c r="E202" s="1010"/>
      <c r="F202" s="1010"/>
      <c r="G202" s="1010"/>
      <c r="H202" s="1010"/>
      <c r="I202" s="1010"/>
      <c r="J202" s="1010"/>
      <c r="K202" s="1010"/>
      <c r="L202" s="1010"/>
      <c r="M202" s="1010"/>
      <c r="N202" s="1010"/>
      <c r="O202" s="1010"/>
      <c r="P202" s="1010"/>
      <c r="Q202" s="1010"/>
      <c r="R202" s="1010"/>
      <c r="S202" s="1010"/>
      <c r="T202" s="1010"/>
    </row>
    <row r="203" spans="1:20">
      <c r="A203" s="1010"/>
      <c r="B203" s="1010"/>
      <c r="C203" s="1010"/>
      <c r="D203" s="1010"/>
      <c r="E203" s="1010"/>
      <c r="F203" s="1010"/>
      <c r="G203" s="1010"/>
      <c r="H203" s="1010"/>
      <c r="I203" s="1010"/>
      <c r="J203" s="1010"/>
      <c r="K203" s="1010"/>
      <c r="L203" s="1010"/>
      <c r="M203" s="1010"/>
      <c r="N203" s="1010"/>
      <c r="O203" s="1010"/>
      <c r="P203" s="1010"/>
      <c r="Q203" s="1010"/>
      <c r="R203" s="1010"/>
      <c r="S203" s="1010"/>
      <c r="T203" s="1010"/>
    </row>
    <row r="204" spans="1:20">
      <c r="A204" s="1010"/>
      <c r="B204" s="1010"/>
      <c r="C204" s="1010"/>
      <c r="D204" s="1010"/>
      <c r="E204" s="1010"/>
      <c r="F204" s="1010"/>
      <c r="G204" s="1010"/>
      <c r="H204" s="1010"/>
      <c r="I204" s="1010"/>
      <c r="J204" s="1010"/>
      <c r="K204" s="1010"/>
      <c r="L204" s="1010"/>
      <c r="M204" s="1010"/>
      <c r="N204" s="1010"/>
      <c r="O204" s="1010"/>
      <c r="P204" s="1010"/>
      <c r="Q204" s="1010"/>
      <c r="R204" s="1010"/>
      <c r="S204" s="1010"/>
      <c r="T204" s="1010"/>
    </row>
    <row r="205" spans="1:20">
      <c r="A205" s="1010"/>
      <c r="B205" s="1010"/>
      <c r="C205" s="1010"/>
      <c r="D205" s="1010"/>
      <c r="E205" s="1010"/>
      <c r="F205" s="1010"/>
      <c r="G205" s="1010"/>
      <c r="H205" s="1010"/>
      <c r="I205" s="1010"/>
      <c r="J205" s="1010"/>
      <c r="K205" s="1010"/>
      <c r="L205" s="1010"/>
      <c r="M205" s="1010"/>
      <c r="N205" s="1010"/>
      <c r="O205" s="1010"/>
      <c r="P205" s="1010"/>
      <c r="Q205" s="1010"/>
      <c r="R205" s="1010"/>
      <c r="S205" s="1010"/>
      <c r="T205" s="1010"/>
    </row>
    <row r="206" spans="1:20">
      <c r="A206" s="1010"/>
      <c r="B206" s="1010"/>
      <c r="C206" s="1010"/>
      <c r="D206" s="1010"/>
      <c r="E206" s="1010"/>
      <c r="F206" s="1010"/>
      <c r="G206" s="1010"/>
      <c r="H206" s="1010"/>
      <c r="I206" s="1010"/>
      <c r="J206" s="1010"/>
      <c r="K206" s="1010"/>
      <c r="L206" s="1010"/>
      <c r="M206" s="1010"/>
      <c r="N206" s="1010"/>
      <c r="O206" s="1010"/>
      <c r="P206" s="1010"/>
      <c r="Q206" s="1010"/>
      <c r="R206" s="1010"/>
      <c r="S206" s="1010"/>
      <c r="T206" s="1010"/>
    </row>
    <row r="207" spans="1:20">
      <c r="A207" s="1010"/>
      <c r="B207" s="1010"/>
      <c r="C207" s="1010"/>
      <c r="D207" s="1010"/>
      <c r="E207" s="1010"/>
      <c r="F207" s="1010"/>
      <c r="G207" s="1010"/>
      <c r="H207" s="1010"/>
      <c r="I207" s="1010"/>
      <c r="J207" s="1010"/>
      <c r="K207" s="1010"/>
      <c r="L207" s="1010"/>
      <c r="M207" s="1010"/>
      <c r="N207" s="1010"/>
      <c r="O207" s="1010"/>
      <c r="P207" s="1010"/>
      <c r="Q207" s="1010"/>
      <c r="R207" s="1010"/>
      <c r="S207" s="1010"/>
      <c r="T207" s="1010"/>
    </row>
    <row r="208" spans="1:20">
      <c r="A208" s="1010"/>
      <c r="B208" s="1010"/>
      <c r="C208" s="1010"/>
      <c r="D208" s="1010"/>
      <c r="E208" s="1010"/>
      <c r="F208" s="1010"/>
      <c r="G208" s="1010"/>
      <c r="H208" s="1010"/>
      <c r="I208" s="1010"/>
      <c r="J208" s="1010"/>
      <c r="K208" s="1010"/>
      <c r="L208" s="1010"/>
      <c r="M208" s="1010"/>
      <c r="N208" s="1010"/>
      <c r="O208" s="1010"/>
      <c r="P208" s="1010"/>
      <c r="Q208" s="1010"/>
      <c r="R208" s="1010"/>
      <c r="S208" s="1010"/>
      <c r="T208" s="1010"/>
    </row>
    <row r="209" spans="1:20">
      <c r="A209" s="1010"/>
      <c r="B209" s="1010"/>
      <c r="C209" s="1010"/>
      <c r="D209" s="1010"/>
      <c r="E209" s="1010"/>
      <c r="F209" s="1010"/>
      <c r="G209" s="1010"/>
      <c r="H209" s="1010"/>
      <c r="I209" s="1010"/>
      <c r="J209" s="1010"/>
      <c r="K209" s="1010"/>
      <c r="L209" s="1010"/>
      <c r="M209" s="1010"/>
      <c r="N209" s="1010"/>
      <c r="O209" s="1010"/>
      <c r="P209" s="1010"/>
      <c r="Q209" s="1010"/>
      <c r="R209" s="1010"/>
      <c r="S209" s="1010"/>
      <c r="T209" s="1010"/>
    </row>
    <row r="210" spans="1:20">
      <c r="A210" s="1010"/>
      <c r="B210" s="1010"/>
      <c r="C210" s="1010"/>
      <c r="D210" s="1010"/>
      <c r="E210" s="1010"/>
      <c r="F210" s="1010"/>
      <c r="G210" s="1010"/>
      <c r="H210" s="1010"/>
      <c r="I210" s="1010"/>
      <c r="J210" s="1010"/>
      <c r="K210" s="1010"/>
      <c r="L210" s="1010"/>
      <c r="M210" s="1010"/>
      <c r="N210" s="1010"/>
      <c r="O210" s="1010"/>
      <c r="P210" s="1010"/>
      <c r="Q210" s="1010"/>
      <c r="R210" s="1010"/>
      <c r="S210" s="1010"/>
      <c r="T210" s="1010"/>
    </row>
    <row r="211" spans="1:20">
      <c r="A211" s="1010"/>
      <c r="B211" s="1010"/>
      <c r="C211" s="1010"/>
      <c r="D211" s="1010"/>
      <c r="E211" s="1010"/>
      <c r="F211" s="1010"/>
      <c r="G211" s="1010"/>
      <c r="H211" s="1010"/>
      <c r="I211" s="1010"/>
      <c r="J211" s="1010"/>
      <c r="K211" s="1010"/>
      <c r="L211" s="1010"/>
      <c r="M211" s="1010"/>
      <c r="N211" s="1010"/>
      <c r="O211" s="1010"/>
      <c r="P211" s="1010"/>
      <c r="Q211" s="1010"/>
      <c r="R211" s="1010"/>
      <c r="S211" s="1010"/>
      <c r="T211" s="1010"/>
    </row>
    <row r="212" spans="1:20">
      <c r="A212" s="1010"/>
      <c r="B212" s="1010"/>
      <c r="C212" s="1010"/>
      <c r="D212" s="1010"/>
      <c r="E212" s="1010"/>
      <c r="F212" s="1010"/>
      <c r="G212" s="1010"/>
      <c r="H212" s="1010"/>
      <c r="I212" s="1010"/>
      <c r="J212" s="1010"/>
      <c r="K212" s="1010"/>
      <c r="L212" s="1010"/>
      <c r="M212" s="1010"/>
      <c r="N212" s="1010"/>
      <c r="O212" s="1010"/>
      <c r="P212" s="1010"/>
      <c r="Q212" s="1010"/>
      <c r="R212" s="1010"/>
      <c r="S212" s="1010"/>
      <c r="T212" s="1010"/>
    </row>
    <row r="213" spans="1:20">
      <c r="A213" s="1010"/>
      <c r="B213" s="1010"/>
      <c r="C213" s="1010"/>
      <c r="D213" s="1010"/>
      <c r="E213" s="1010"/>
      <c r="F213" s="1010"/>
      <c r="G213" s="1010"/>
      <c r="H213" s="1010"/>
      <c r="I213" s="1010"/>
      <c r="J213" s="1010"/>
      <c r="K213" s="1010"/>
      <c r="L213" s="1010"/>
      <c r="M213" s="1010"/>
      <c r="N213" s="1010"/>
      <c r="O213" s="1010"/>
      <c r="P213" s="1010"/>
      <c r="Q213" s="1010"/>
      <c r="R213" s="1010"/>
      <c r="S213" s="1010"/>
      <c r="T213" s="1010"/>
    </row>
    <row r="214" spans="1:20">
      <c r="A214" s="1010"/>
      <c r="B214" s="1010"/>
      <c r="C214" s="1010"/>
      <c r="D214" s="1010"/>
      <c r="E214" s="1010"/>
      <c r="F214" s="1010"/>
      <c r="G214" s="1010"/>
      <c r="H214" s="1010"/>
      <c r="I214" s="1010"/>
      <c r="J214" s="1010"/>
      <c r="K214" s="1010"/>
      <c r="L214" s="1010"/>
      <c r="M214" s="1010"/>
      <c r="N214" s="1010"/>
      <c r="O214" s="1010"/>
      <c r="P214" s="1010"/>
      <c r="Q214" s="1010"/>
      <c r="R214" s="1010"/>
      <c r="S214" s="1010"/>
      <c r="T214" s="1010"/>
    </row>
    <row r="215" spans="1:20">
      <c r="A215" s="1010"/>
      <c r="B215" s="1010"/>
      <c r="C215" s="1010"/>
      <c r="D215" s="1010"/>
      <c r="E215" s="1010"/>
      <c r="F215" s="1010"/>
      <c r="G215" s="1010"/>
      <c r="H215" s="1010"/>
      <c r="I215" s="1010"/>
      <c r="J215" s="1010"/>
      <c r="K215" s="1010"/>
      <c r="L215" s="1010"/>
      <c r="M215" s="1010"/>
      <c r="N215" s="1010"/>
      <c r="O215" s="1010"/>
      <c r="P215" s="1010"/>
      <c r="Q215" s="1010"/>
      <c r="R215" s="1010"/>
      <c r="S215" s="1010"/>
      <c r="T215" s="1010"/>
    </row>
    <row r="216" spans="1:20">
      <c r="A216" s="1010"/>
      <c r="B216" s="1010"/>
      <c r="C216" s="1010"/>
      <c r="D216" s="1010"/>
      <c r="E216" s="1010"/>
      <c r="F216" s="1010"/>
      <c r="G216" s="1010"/>
      <c r="H216" s="1010"/>
      <c r="I216" s="1010"/>
      <c r="J216" s="1010"/>
      <c r="K216" s="1010"/>
      <c r="L216" s="1010"/>
      <c r="M216" s="1010"/>
      <c r="N216" s="1010"/>
      <c r="O216" s="1010"/>
      <c r="P216" s="1010"/>
      <c r="Q216" s="1010"/>
      <c r="R216" s="1010"/>
      <c r="S216" s="1010"/>
      <c r="T216" s="1010"/>
    </row>
    <row r="217" spans="1:20">
      <c r="A217" s="1010"/>
      <c r="B217" s="1010"/>
      <c r="C217" s="1010"/>
      <c r="D217" s="1010"/>
      <c r="E217" s="1010"/>
      <c r="F217" s="1010"/>
      <c r="G217" s="1010"/>
      <c r="H217" s="1010"/>
      <c r="I217" s="1010"/>
      <c r="J217" s="1010"/>
      <c r="K217" s="1010"/>
      <c r="L217" s="1010"/>
      <c r="M217" s="1010"/>
      <c r="N217" s="1010"/>
      <c r="O217" s="1010"/>
      <c r="P217" s="1010"/>
      <c r="Q217" s="1010"/>
      <c r="R217" s="1010"/>
      <c r="S217" s="1010"/>
      <c r="T217" s="1010"/>
    </row>
    <row r="218" spans="1:20">
      <c r="A218" s="1010"/>
      <c r="B218" s="1010"/>
      <c r="C218" s="1010"/>
      <c r="D218" s="1010"/>
      <c r="E218" s="1010"/>
      <c r="F218" s="1010"/>
      <c r="G218" s="1010"/>
      <c r="H218" s="1010"/>
      <c r="I218" s="1010"/>
      <c r="J218" s="1010"/>
      <c r="K218" s="1010"/>
      <c r="L218" s="1010"/>
      <c r="M218" s="1010"/>
      <c r="N218" s="1010"/>
      <c r="O218" s="1010"/>
      <c r="P218" s="1010"/>
      <c r="Q218" s="1010"/>
      <c r="R218" s="1010"/>
      <c r="S218" s="1010"/>
      <c r="T218" s="1010"/>
    </row>
    <row r="219" spans="1:20">
      <c r="A219" s="1010"/>
      <c r="B219" s="1010"/>
      <c r="C219" s="1010"/>
      <c r="D219" s="1010"/>
      <c r="E219" s="1010"/>
      <c r="F219" s="1010"/>
      <c r="G219" s="1010"/>
      <c r="H219" s="1010"/>
      <c r="I219" s="1010"/>
      <c r="J219" s="1010"/>
      <c r="K219" s="1010"/>
      <c r="L219" s="1010"/>
      <c r="M219" s="1010"/>
      <c r="N219" s="1010"/>
      <c r="O219" s="1010"/>
      <c r="P219" s="1010"/>
      <c r="Q219" s="1010"/>
      <c r="R219" s="1010"/>
      <c r="S219" s="1010"/>
      <c r="T219" s="1010"/>
    </row>
    <row r="220" spans="1:20">
      <c r="A220" s="1010"/>
      <c r="B220" s="1010"/>
      <c r="C220" s="1010"/>
      <c r="D220" s="1010"/>
      <c r="E220" s="1010"/>
      <c r="F220" s="1010"/>
      <c r="G220" s="1010"/>
      <c r="H220" s="1010"/>
      <c r="I220" s="1010"/>
      <c r="J220" s="1010"/>
      <c r="K220" s="1010"/>
      <c r="L220" s="1010"/>
      <c r="M220" s="1010"/>
      <c r="N220" s="1010"/>
      <c r="O220" s="1010"/>
      <c r="P220" s="1010"/>
      <c r="Q220" s="1010"/>
      <c r="R220" s="1010"/>
      <c r="S220" s="1010"/>
      <c r="T220" s="1010"/>
    </row>
    <row r="221" spans="1:20">
      <c r="A221" s="1010"/>
      <c r="B221" s="1010"/>
      <c r="C221" s="1010"/>
      <c r="D221" s="1010"/>
      <c r="E221" s="1010"/>
      <c r="F221" s="1010"/>
      <c r="G221" s="1010"/>
      <c r="H221" s="1010"/>
      <c r="I221" s="1010"/>
      <c r="J221" s="1010"/>
      <c r="K221" s="1010"/>
      <c r="L221" s="1010"/>
      <c r="M221" s="1010"/>
      <c r="N221" s="1010"/>
      <c r="O221" s="1010"/>
      <c r="P221" s="1010"/>
      <c r="Q221" s="1010"/>
      <c r="R221" s="1010"/>
      <c r="S221" s="1010"/>
      <c r="T221" s="1010"/>
    </row>
    <row r="222" spans="1:20">
      <c r="A222" s="1010"/>
      <c r="B222" s="1010"/>
      <c r="C222" s="1010"/>
      <c r="D222" s="1010"/>
      <c r="E222" s="1010"/>
      <c r="F222" s="1010"/>
      <c r="G222" s="1010"/>
      <c r="H222" s="1010"/>
      <c r="I222" s="1010"/>
      <c r="J222" s="1010"/>
      <c r="K222" s="1010"/>
      <c r="L222" s="1010"/>
      <c r="M222" s="1010"/>
      <c r="N222" s="1010"/>
      <c r="O222" s="1010"/>
      <c r="P222" s="1010"/>
      <c r="Q222" s="1010"/>
      <c r="R222" s="1010"/>
      <c r="S222" s="1010"/>
      <c r="T222" s="1010"/>
    </row>
    <row r="223" spans="1:20">
      <c r="A223" s="1010"/>
      <c r="B223" s="1010"/>
      <c r="C223" s="1010"/>
      <c r="D223" s="1010"/>
      <c r="E223" s="1010"/>
      <c r="F223" s="1010"/>
      <c r="G223" s="1010"/>
      <c r="H223" s="1010"/>
      <c r="I223" s="1010"/>
      <c r="J223" s="1010"/>
      <c r="K223" s="1010"/>
      <c r="L223" s="1010"/>
      <c r="M223" s="1010"/>
      <c r="N223" s="1010"/>
      <c r="O223" s="1010"/>
      <c r="P223" s="1010"/>
      <c r="Q223" s="1010"/>
      <c r="R223" s="1010"/>
      <c r="S223" s="1010"/>
      <c r="T223" s="1010"/>
    </row>
    <row r="224" spans="1:20">
      <c r="A224" s="1010"/>
      <c r="B224" s="1010"/>
      <c r="C224" s="1010"/>
      <c r="D224" s="1010"/>
      <c r="E224" s="1010"/>
      <c r="F224" s="1010"/>
      <c r="G224" s="1010"/>
      <c r="H224" s="1010"/>
      <c r="I224" s="1010"/>
      <c r="J224" s="1010"/>
      <c r="K224" s="1010"/>
      <c r="L224" s="1010"/>
      <c r="M224" s="1010"/>
      <c r="N224" s="1010"/>
      <c r="O224" s="1010"/>
      <c r="P224" s="1010"/>
      <c r="Q224" s="1010"/>
      <c r="R224" s="1010"/>
      <c r="S224" s="1010"/>
      <c r="T224" s="1010"/>
    </row>
    <row r="225" spans="1:20">
      <c r="A225" s="1010"/>
      <c r="B225" s="1010"/>
      <c r="C225" s="1010"/>
      <c r="D225" s="1010"/>
      <c r="E225" s="1010"/>
      <c r="F225" s="1010"/>
      <c r="G225" s="1010"/>
      <c r="H225" s="1010"/>
      <c r="I225" s="1010"/>
      <c r="J225" s="1010"/>
      <c r="K225" s="1010"/>
      <c r="L225" s="1010"/>
      <c r="M225" s="1010"/>
      <c r="N225" s="1010"/>
      <c r="O225" s="1010"/>
      <c r="P225" s="1010"/>
      <c r="Q225" s="1010"/>
      <c r="R225" s="1010"/>
      <c r="S225" s="1010"/>
      <c r="T225" s="1010"/>
    </row>
    <row r="226" spans="1:20">
      <c r="A226" s="1010"/>
      <c r="B226" s="1010"/>
      <c r="C226" s="1010"/>
      <c r="D226" s="1010"/>
      <c r="E226" s="1010"/>
      <c r="F226" s="1010"/>
      <c r="G226" s="1010"/>
      <c r="H226" s="1010"/>
      <c r="I226" s="1010"/>
      <c r="J226" s="1010"/>
      <c r="K226" s="1010"/>
      <c r="L226" s="1010"/>
      <c r="M226" s="1010"/>
      <c r="N226" s="1010"/>
      <c r="O226" s="1010"/>
      <c r="P226" s="1010"/>
      <c r="Q226" s="1010"/>
      <c r="R226" s="1010"/>
      <c r="S226" s="1010"/>
      <c r="T226" s="1010"/>
    </row>
    <row r="227" spans="1:20">
      <c r="A227" s="1010"/>
      <c r="B227" s="1010"/>
      <c r="C227" s="1010"/>
      <c r="D227" s="1010"/>
      <c r="E227" s="1010"/>
      <c r="F227" s="1010"/>
      <c r="G227" s="1010"/>
      <c r="H227" s="1010"/>
      <c r="I227" s="1010"/>
      <c r="J227" s="1010"/>
      <c r="K227" s="1010"/>
      <c r="L227" s="1010"/>
      <c r="M227" s="1010"/>
      <c r="N227" s="1010"/>
      <c r="O227" s="1010"/>
      <c r="P227" s="1010"/>
      <c r="Q227" s="1010"/>
      <c r="R227" s="1010"/>
      <c r="S227" s="1010"/>
      <c r="T227" s="1010"/>
    </row>
    <row r="228" spans="1:20">
      <c r="A228" s="1010"/>
      <c r="B228" s="1010"/>
      <c r="C228" s="1010"/>
      <c r="D228" s="1010"/>
      <c r="E228" s="1010"/>
      <c r="F228" s="1010"/>
      <c r="G228" s="1010"/>
      <c r="H228" s="1010"/>
      <c r="I228" s="1010"/>
      <c r="J228" s="1010"/>
      <c r="K228" s="1010"/>
      <c r="L228" s="1010"/>
      <c r="M228" s="1010"/>
      <c r="N228" s="1010"/>
      <c r="O228" s="1010"/>
      <c r="P228" s="1010"/>
      <c r="Q228" s="1010"/>
      <c r="R228" s="1010"/>
      <c r="S228" s="1010"/>
      <c r="T228" s="1010"/>
    </row>
    <row r="229" spans="1:20">
      <c r="A229" s="1010"/>
      <c r="B229" s="1010"/>
      <c r="C229" s="1010"/>
      <c r="D229" s="1010"/>
      <c r="E229" s="1010"/>
      <c r="F229" s="1010"/>
      <c r="G229" s="1010"/>
      <c r="H229" s="1010"/>
      <c r="I229" s="1010"/>
      <c r="J229" s="1010"/>
      <c r="K229" s="1010"/>
      <c r="L229" s="1010"/>
      <c r="M229" s="1010"/>
      <c r="N229" s="1010"/>
      <c r="O229" s="1010"/>
      <c r="P229" s="1010"/>
      <c r="Q229" s="1010"/>
      <c r="R229" s="1010"/>
      <c r="S229" s="1010"/>
      <c r="T229" s="1010"/>
    </row>
    <row r="230" spans="1:20">
      <c r="A230" s="1010"/>
      <c r="B230" s="1010"/>
      <c r="C230" s="1010"/>
      <c r="D230" s="1010"/>
      <c r="E230" s="1010"/>
      <c r="F230" s="1010"/>
      <c r="G230" s="1010"/>
      <c r="H230" s="1010"/>
      <c r="I230" s="1010"/>
      <c r="J230" s="1010"/>
      <c r="K230" s="1010"/>
      <c r="L230" s="1010"/>
      <c r="M230" s="1010"/>
      <c r="N230" s="1010"/>
      <c r="O230" s="1010"/>
      <c r="P230" s="1010"/>
      <c r="Q230" s="1010"/>
      <c r="R230" s="1010"/>
      <c r="S230" s="1010"/>
      <c r="T230" s="1010"/>
    </row>
    <row r="231" spans="1:20">
      <c r="A231" s="1010"/>
      <c r="B231" s="1010"/>
      <c r="C231" s="1010"/>
      <c r="D231" s="1010"/>
      <c r="E231" s="1010"/>
      <c r="F231" s="1010"/>
      <c r="G231" s="1010"/>
      <c r="H231" s="1010"/>
      <c r="I231" s="1010"/>
      <c r="J231" s="1010"/>
      <c r="K231" s="1010"/>
      <c r="L231" s="1010"/>
      <c r="M231" s="1010"/>
      <c r="N231" s="1010"/>
      <c r="O231" s="1010"/>
      <c r="P231" s="1010"/>
      <c r="Q231" s="1010"/>
      <c r="R231" s="1010"/>
      <c r="S231" s="1010"/>
      <c r="T231" s="1010"/>
    </row>
    <row r="232" spans="1:20">
      <c r="A232" s="1010"/>
      <c r="B232" s="1010"/>
      <c r="C232" s="1010"/>
      <c r="D232" s="1010"/>
      <c r="E232" s="1010"/>
      <c r="F232" s="1010"/>
      <c r="G232" s="1010"/>
      <c r="H232" s="1010"/>
      <c r="I232" s="1010"/>
      <c r="J232" s="1010"/>
      <c r="K232" s="1010"/>
      <c r="L232" s="1010"/>
      <c r="M232" s="1010"/>
      <c r="N232" s="1010"/>
      <c r="O232" s="1010"/>
      <c r="P232" s="1010"/>
      <c r="Q232" s="1010"/>
      <c r="R232" s="1010"/>
      <c r="S232" s="1010"/>
      <c r="T232" s="1010"/>
    </row>
    <row r="233" spans="1:20">
      <c r="A233" s="1010"/>
      <c r="B233" s="1010"/>
      <c r="C233" s="1010"/>
      <c r="D233" s="1010"/>
      <c r="E233" s="1010"/>
      <c r="F233" s="1010"/>
      <c r="G233" s="1010"/>
      <c r="H233" s="1010"/>
      <c r="I233" s="1010"/>
      <c r="J233" s="1010"/>
      <c r="K233" s="1010"/>
      <c r="L233" s="1010"/>
      <c r="M233" s="1010"/>
      <c r="N233" s="1010"/>
      <c r="O233" s="1010"/>
      <c r="P233" s="1010"/>
      <c r="Q233" s="1010"/>
      <c r="R233" s="1010"/>
      <c r="S233" s="1010"/>
      <c r="T233" s="1010"/>
    </row>
    <row r="234" spans="1:20">
      <c r="A234" s="1010"/>
      <c r="B234" s="1010"/>
      <c r="C234" s="1010"/>
      <c r="D234" s="1010"/>
      <c r="E234" s="1010"/>
      <c r="F234" s="1010"/>
      <c r="G234" s="1010"/>
      <c r="H234" s="1010"/>
      <c r="I234" s="1010"/>
      <c r="J234" s="1010"/>
      <c r="K234" s="1010"/>
      <c r="L234" s="1010"/>
      <c r="M234" s="1010"/>
      <c r="N234" s="1010"/>
      <c r="O234" s="1010"/>
      <c r="P234" s="1010"/>
      <c r="Q234" s="1010"/>
      <c r="R234" s="1010"/>
      <c r="S234" s="1010"/>
      <c r="T234" s="1010"/>
    </row>
    <row r="235" spans="1:20">
      <c r="A235" s="1010"/>
      <c r="B235" s="1010"/>
      <c r="C235" s="1010"/>
      <c r="D235" s="1010"/>
      <c r="E235" s="1010"/>
      <c r="F235" s="1010"/>
      <c r="G235" s="1010"/>
      <c r="H235" s="1010"/>
      <c r="I235" s="1010"/>
      <c r="J235" s="1010"/>
      <c r="K235" s="1010"/>
      <c r="L235" s="1010"/>
      <c r="M235" s="1010"/>
      <c r="N235" s="1010"/>
      <c r="O235" s="1010"/>
      <c r="P235" s="1010"/>
      <c r="Q235" s="1010"/>
      <c r="R235" s="1010"/>
      <c r="S235" s="1010"/>
      <c r="T235" s="1010"/>
    </row>
    <row r="236" spans="1:20">
      <c r="A236" s="1010"/>
      <c r="B236" s="1010"/>
      <c r="C236" s="1010"/>
      <c r="D236" s="1010"/>
      <c r="E236" s="1010"/>
      <c r="F236" s="1010"/>
      <c r="G236" s="1010"/>
      <c r="H236" s="1010"/>
      <c r="I236" s="1010"/>
      <c r="J236" s="1010"/>
      <c r="K236" s="1010"/>
      <c r="L236" s="1010"/>
      <c r="M236" s="1010"/>
      <c r="N236" s="1010"/>
      <c r="O236" s="1010"/>
      <c r="P236" s="1010"/>
      <c r="Q236" s="1010"/>
      <c r="R236" s="1010"/>
      <c r="S236" s="1010"/>
      <c r="T236" s="1010"/>
    </row>
    <row r="237" spans="1:20">
      <c r="A237" s="1010"/>
      <c r="B237" s="1010"/>
      <c r="C237" s="1010"/>
      <c r="D237" s="1010"/>
      <c r="E237" s="1010"/>
      <c r="F237" s="1010"/>
      <c r="G237" s="1010"/>
      <c r="H237" s="1010"/>
      <c r="I237" s="1010"/>
      <c r="J237" s="1010"/>
      <c r="K237" s="1010"/>
      <c r="L237" s="1010"/>
      <c r="M237" s="1010"/>
      <c r="N237" s="1010"/>
      <c r="O237" s="1010"/>
      <c r="P237" s="1010"/>
      <c r="Q237" s="1010"/>
      <c r="R237" s="1010"/>
      <c r="S237" s="1010"/>
      <c r="T237" s="1010"/>
    </row>
    <row r="238" spans="1:20">
      <c r="A238" s="1010"/>
      <c r="B238" s="1010"/>
      <c r="C238" s="1010"/>
      <c r="D238" s="1010"/>
      <c r="E238" s="1010"/>
      <c r="F238" s="1010"/>
      <c r="G238" s="1010"/>
      <c r="H238" s="1010"/>
      <c r="I238" s="1010"/>
      <c r="J238" s="1010"/>
      <c r="K238" s="1010"/>
      <c r="L238" s="1010"/>
      <c r="M238" s="1010"/>
      <c r="N238" s="1010"/>
      <c r="O238" s="1010"/>
      <c r="P238" s="1010"/>
      <c r="Q238" s="1010"/>
      <c r="R238" s="1010"/>
      <c r="S238" s="1010"/>
      <c r="T238" s="1010"/>
    </row>
    <row r="239" spans="1:20">
      <c r="A239" s="1010"/>
      <c r="B239" s="1010"/>
      <c r="C239" s="1010"/>
      <c r="D239" s="1010"/>
      <c r="E239" s="1010"/>
      <c r="F239" s="1010"/>
      <c r="G239" s="1010"/>
      <c r="H239" s="1010"/>
      <c r="I239" s="1010"/>
      <c r="J239" s="1010"/>
      <c r="K239" s="1010"/>
      <c r="L239" s="1010"/>
      <c r="M239" s="1010"/>
      <c r="N239" s="1010"/>
      <c r="O239" s="1010"/>
      <c r="P239" s="1010"/>
      <c r="Q239" s="1010"/>
      <c r="R239" s="1010"/>
      <c r="S239" s="1010"/>
      <c r="T239" s="1010"/>
    </row>
    <row r="240" spans="1:20">
      <c r="A240" s="1010"/>
      <c r="B240" s="1010"/>
      <c r="C240" s="1010"/>
      <c r="D240" s="1010"/>
      <c r="E240" s="1010"/>
      <c r="F240" s="1010"/>
      <c r="G240" s="1010"/>
      <c r="H240" s="1010"/>
      <c r="I240" s="1010"/>
      <c r="J240" s="1010"/>
      <c r="K240" s="1010"/>
      <c r="L240" s="1010"/>
      <c r="M240" s="1010"/>
      <c r="N240" s="1010"/>
      <c r="O240" s="1010"/>
      <c r="P240" s="1010"/>
      <c r="Q240" s="1010"/>
      <c r="R240" s="1010"/>
      <c r="S240" s="1010"/>
      <c r="T240" s="1010"/>
    </row>
    <row r="241" spans="1:20">
      <c r="A241" s="1010"/>
      <c r="B241" s="1010"/>
      <c r="C241" s="1010"/>
      <c r="D241" s="1010"/>
      <c r="E241" s="1010"/>
      <c r="F241" s="1010"/>
      <c r="G241" s="1010"/>
      <c r="H241" s="1010"/>
      <c r="I241" s="1010"/>
      <c r="J241" s="1010"/>
      <c r="K241" s="1010"/>
      <c r="L241" s="1010"/>
      <c r="M241" s="1010"/>
      <c r="N241" s="1010"/>
      <c r="O241" s="1010"/>
      <c r="P241" s="1010"/>
      <c r="Q241" s="1010"/>
      <c r="R241" s="1010"/>
      <c r="S241" s="1010"/>
      <c r="T241" s="1010"/>
    </row>
    <row r="242" spans="1:20">
      <c r="A242" s="1010"/>
      <c r="B242" s="1010"/>
      <c r="C242" s="1010"/>
      <c r="D242" s="1010"/>
      <c r="E242" s="1010"/>
      <c r="F242" s="1010"/>
      <c r="G242" s="1010"/>
      <c r="H242" s="1010"/>
      <c r="I242" s="1010"/>
      <c r="J242" s="1010"/>
      <c r="K242" s="1010"/>
      <c r="L242" s="1010"/>
      <c r="M242" s="1010"/>
      <c r="N242" s="1010"/>
      <c r="O242" s="1010"/>
      <c r="P242" s="1010"/>
      <c r="Q242" s="1010"/>
      <c r="R242" s="1010"/>
      <c r="S242" s="1010"/>
      <c r="T242" s="1010"/>
    </row>
    <row r="243" spans="1:20">
      <c r="A243" s="1010"/>
      <c r="B243" s="1010"/>
      <c r="C243" s="1010"/>
      <c r="D243" s="1010"/>
      <c r="E243" s="1010"/>
      <c r="F243" s="1010"/>
      <c r="G243" s="1010"/>
      <c r="H243" s="1010"/>
      <c r="I243" s="1010"/>
      <c r="J243" s="1010"/>
      <c r="K243" s="1010"/>
      <c r="L243" s="1010"/>
      <c r="M243" s="1010"/>
      <c r="N243" s="1010"/>
      <c r="O243" s="1010"/>
      <c r="P243" s="1010"/>
      <c r="Q243" s="1010"/>
      <c r="R243" s="1010"/>
      <c r="S243" s="1010"/>
      <c r="T243" s="1010"/>
    </row>
    <row r="244" spans="1:20">
      <c r="A244" s="1010"/>
      <c r="B244" s="1010"/>
      <c r="C244" s="1010"/>
      <c r="D244" s="1010"/>
      <c r="E244" s="1010"/>
      <c r="F244" s="1010"/>
      <c r="G244" s="1010"/>
      <c r="H244" s="1010"/>
      <c r="I244" s="1010"/>
      <c r="J244" s="1010"/>
      <c r="K244" s="1010"/>
      <c r="L244" s="1010"/>
      <c r="M244" s="1010"/>
      <c r="N244" s="1010"/>
      <c r="O244" s="1010"/>
      <c r="P244" s="1010"/>
      <c r="Q244" s="1010"/>
      <c r="R244" s="1010"/>
      <c r="S244" s="1010"/>
      <c r="T244" s="1010"/>
    </row>
    <row r="245" spans="1:20">
      <c r="A245" s="1010"/>
      <c r="B245" s="1010"/>
      <c r="C245" s="1010"/>
      <c r="D245" s="1010"/>
      <c r="E245" s="1010"/>
      <c r="F245" s="1010"/>
      <c r="G245" s="1010"/>
      <c r="H245" s="1010"/>
      <c r="I245" s="1010"/>
      <c r="J245" s="1010"/>
      <c r="K245" s="1010"/>
      <c r="L245" s="1010"/>
      <c r="M245" s="1010"/>
      <c r="N245" s="1010"/>
      <c r="O245" s="1010"/>
      <c r="P245" s="1010"/>
      <c r="Q245" s="1010"/>
      <c r="R245" s="1010"/>
      <c r="S245" s="1010"/>
      <c r="T245" s="1010"/>
    </row>
    <row r="246" spans="1:20">
      <c r="A246" s="1010"/>
      <c r="B246" s="1010"/>
      <c r="C246" s="1010"/>
      <c r="D246" s="1010"/>
      <c r="E246" s="1010"/>
      <c r="F246" s="1010"/>
      <c r="G246" s="1010"/>
      <c r="H246" s="1010"/>
      <c r="I246" s="1010"/>
      <c r="J246" s="1010"/>
      <c r="K246" s="1010"/>
      <c r="L246" s="1010"/>
      <c r="M246" s="1010"/>
      <c r="N246" s="1010"/>
      <c r="O246" s="1010"/>
      <c r="P246" s="1010"/>
      <c r="Q246" s="1010"/>
      <c r="R246" s="1010"/>
      <c r="S246" s="1010"/>
      <c r="T246" s="1010"/>
    </row>
    <row r="247" spans="1:20">
      <c r="A247" s="1010"/>
      <c r="B247" s="1010"/>
      <c r="C247" s="1010"/>
      <c r="D247" s="1010"/>
      <c r="E247" s="1010"/>
      <c r="F247" s="1010"/>
      <c r="G247" s="1010"/>
      <c r="H247" s="1010"/>
      <c r="I247" s="1010"/>
      <c r="J247" s="1010"/>
      <c r="K247" s="1010"/>
      <c r="L247" s="1010"/>
      <c r="M247" s="1010"/>
      <c r="N247" s="1010"/>
      <c r="O247" s="1010"/>
      <c r="P247" s="1010"/>
      <c r="Q247" s="1010"/>
      <c r="R247" s="1010"/>
      <c r="S247" s="1010"/>
      <c r="T247" s="1010"/>
    </row>
    <row r="248" spans="1:20">
      <c r="A248" s="1010"/>
      <c r="B248" s="1010"/>
      <c r="C248" s="1010"/>
      <c r="D248" s="1010"/>
      <c r="E248" s="1010"/>
      <c r="F248" s="1010"/>
      <c r="G248" s="1010"/>
      <c r="H248" s="1010"/>
      <c r="I248" s="1010"/>
      <c r="J248" s="1010"/>
      <c r="K248" s="1010"/>
      <c r="L248" s="1010"/>
      <c r="M248" s="1010"/>
      <c r="N248" s="1010"/>
      <c r="O248" s="1010"/>
      <c r="P248" s="1010"/>
      <c r="Q248" s="1010"/>
      <c r="R248" s="1010"/>
      <c r="S248" s="1010"/>
      <c r="T248" s="1010"/>
    </row>
    <row r="249" spans="1:20">
      <c r="A249" s="1010"/>
      <c r="B249" s="1010"/>
      <c r="C249" s="1010"/>
      <c r="D249" s="1010"/>
      <c r="E249" s="1010"/>
      <c r="F249" s="1010"/>
      <c r="G249" s="1010"/>
      <c r="H249" s="1010"/>
      <c r="I249" s="1010"/>
      <c r="J249" s="1010"/>
      <c r="K249" s="1010"/>
      <c r="L249" s="1010"/>
      <c r="M249" s="1010"/>
      <c r="N249" s="1010"/>
      <c r="O249" s="1010"/>
      <c r="P249" s="1010"/>
      <c r="Q249" s="1010"/>
      <c r="R249" s="1010"/>
      <c r="S249" s="1010"/>
      <c r="T249" s="1010"/>
    </row>
    <row r="250" spans="1:20">
      <c r="A250" s="1010"/>
      <c r="B250" s="1010"/>
      <c r="C250" s="1010"/>
      <c r="D250" s="1010"/>
      <c r="E250" s="1010"/>
      <c r="F250" s="1010"/>
      <c r="G250" s="1010"/>
      <c r="H250" s="1010"/>
      <c r="I250" s="1010"/>
      <c r="J250" s="1010"/>
      <c r="K250" s="1010"/>
      <c r="L250" s="1010"/>
      <c r="M250" s="1010"/>
      <c r="N250" s="1010"/>
      <c r="O250" s="1010"/>
      <c r="P250" s="1010"/>
      <c r="Q250" s="1010"/>
      <c r="R250" s="1010"/>
      <c r="S250" s="1010"/>
      <c r="T250" s="1010"/>
    </row>
    <row r="251" spans="1:20">
      <c r="A251" s="1010"/>
      <c r="B251" s="1010"/>
      <c r="C251" s="1010"/>
      <c r="D251" s="1010"/>
      <c r="E251" s="1010"/>
      <c r="F251" s="1010"/>
      <c r="G251" s="1010"/>
      <c r="H251" s="1010"/>
      <c r="I251" s="1010"/>
      <c r="J251" s="1010"/>
      <c r="K251" s="1010"/>
      <c r="L251" s="1010"/>
      <c r="M251" s="1010"/>
      <c r="N251" s="1010"/>
      <c r="O251" s="1010"/>
      <c r="P251" s="1010"/>
      <c r="Q251" s="1010"/>
      <c r="R251" s="1010"/>
      <c r="S251" s="1010"/>
      <c r="T251" s="1010"/>
    </row>
    <row r="252" spans="1:20">
      <c r="A252" s="1010"/>
      <c r="B252" s="1010"/>
      <c r="C252" s="1010"/>
      <c r="D252" s="1010"/>
      <c r="E252" s="1010"/>
      <c r="F252" s="1010"/>
      <c r="G252" s="1010"/>
      <c r="H252" s="1010"/>
      <c r="I252" s="1010"/>
      <c r="J252" s="1010"/>
      <c r="K252" s="1010"/>
      <c r="L252" s="1010"/>
      <c r="M252" s="1010"/>
      <c r="N252" s="1010"/>
      <c r="O252" s="1010"/>
      <c r="P252" s="1010"/>
      <c r="Q252" s="1010"/>
      <c r="R252" s="1010"/>
      <c r="S252" s="1010"/>
      <c r="T252" s="1010"/>
    </row>
    <row r="253" spans="1:20">
      <c r="A253" s="1010"/>
      <c r="B253" s="1010"/>
      <c r="C253" s="1010"/>
      <c r="D253" s="1010"/>
      <c r="E253" s="1010"/>
      <c r="F253" s="1010"/>
      <c r="G253" s="1010"/>
      <c r="H253" s="1010"/>
      <c r="I253" s="1010"/>
      <c r="J253" s="1010"/>
      <c r="K253" s="1010"/>
      <c r="L253" s="1010"/>
      <c r="M253" s="1010"/>
      <c r="N253" s="1010"/>
      <c r="O253" s="1010"/>
      <c r="P253" s="1010"/>
      <c r="Q253" s="1010"/>
      <c r="R253" s="1010"/>
      <c r="S253" s="1010"/>
      <c r="T253" s="1010"/>
    </row>
    <row r="254" spans="1:20">
      <c r="A254" s="1010"/>
      <c r="B254" s="1010"/>
      <c r="C254" s="1010"/>
      <c r="D254" s="1010"/>
      <c r="E254" s="1010"/>
      <c r="F254" s="1010"/>
      <c r="G254" s="1010"/>
      <c r="H254" s="1010"/>
      <c r="I254" s="1010"/>
      <c r="J254" s="1010"/>
      <c r="K254" s="1010"/>
      <c r="L254" s="1010"/>
      <c r="M254" s="1010"/>
      <c r="N254" s="1010"/>
      <c r="O254" s="1010"/>
      <c r="P254" s="1010"/>
      <c r="Q254" s="1010"/>
      <c r="R254" s="1010"/>
      <c r="S254" s="1010"/>
      <c r="T254" s="1010"/>
    </row>
    <row r="255" spans="1:20">
      <c r="A255" s="1010"/>
      <c r="B255" s="1010"/>
      <c r="C255" s="1010"/>
      <c r="D255" s="1010"/>
      <c r="E255" s="1010"/>
      <c r="F255" s="1010"/>
      <c r="G255" s="1010"/>
      <c r="H255" s="1010"/>
      <c r="I255" s="1010"/>
      <c r="J255" s="1010"/>
      <c r="K255" s="1010"/>
      <c r="L255" s="1010"/>
      <c r="M255" s="1010"/>
      <c r="N255" s="1010"/>
      <c r="O255" s="1010"/>
      <c r="P255" s="1010"/>
      <c r="Q255" s="1010"/>
      <c r="R255" s="1010"/>
      <c r="S255" s="1010"/>
      <c r="T255" s="1010"/>
    </row>
    <row r="256" spans="1:20">
      <c r="A256" s="1010"/>
      <c r="B256" s="1010"/>
      <c r="C256" s="1010"/>
      <c r="D256" s="1010"/>
      <c r="E256" s="1010"/>
      <c r="F256" s="1010"/>
      <c r="G256" s="1010"/>
      <c r="H256" s="1010"/>
      <c r="I256" s="1010"/>
      <c r="J256" s="1010"/>
      <c r="K256" s="1010"/>
      <c r="L256" s="1010"/>
      <c r="M256" s="1010"/>
      <c r="N256" s="1010"/>
      <c r="O256" s="1010"/>
      <c r="P256" s="1010"/>
      <c r="Q256" s="1010"/>
      <c r="R256" s="1010"/>
      <c r="S256" s="1010"/>
      <c r="T256" s="1010"/>
    </row>
    <row r="257" spans="1:20">
      <c r="A257" s="1010"/>
      <c r="B257" s="1010"/>
      <c r="C257" s="1010"/>
      <c r="D257" s="1010"/>
      <c r="E257" s="1010"/>
      <c r="F257" s="1010"/>
      <c r="G257" s="1010"/>
      <c r="H257" s="1010"/>
      <c r="I257" s="1010"/>
      <c r="J257" s="1010"/>
      <c r="K257" s="1010"/>
      <c r="L257" s="1010"/>
      <c r="M257" s="1010"/>
      <c r="N257" s="1010"/>
      <c r="O257" s="1010"/>
      <c r="P257" s="1010"/>
      <c r="Q257" s="1010"/>
      <c r="R257" s="1010"/>
      <c r="S257" s="1010"/>
      <c r="T257" s="1010"/>
    </row>
    <row r="258" spans="1:20">
      <c r="A258" s="1010"/>
      <c r="B258" s="1010"/>
      <c r="C258" s="1010"/>
      <c r="D258" s="1010"/>
      <c r="E258" s="1010"/>
      <c r="F258" s="1010"/>
      <c r="G258" s="1010"/>
      <c r="H258" s="1010"/>
      <c r="I258" s="1010"/>
      <c r="J258" s="1010"/>
      <c r="K258" s="1010"/>
      <c r="L258" s="1010"/>
      <c r="M258" s="1010"/>
      <c r="N258" s="1010"/>
      <c r="O258" s="1010"/>
      <c r="P258" s="1010"/>
      <c r="Q258" s="1010"/>
      <c r="R258" s="1010"/>
      <c r="S258" s="1010"/>
      <c r="T258" s="1010"/>
    </row>
    <row r="259" spans="1:20">
      <c r="A259" s="1010"/>
      <c r="B259" s="1010"/>
      <c r="C259" s="1010"/>
      <c r="D259" s="1010"/>
      <c r="E259" s="1010"/>
      <c r="F259" s="1010"/>
      <c r="G259" s="1010"/>
      <c r="H259" s="1010"/>
      <c r="I259" s="1010"/>
      <c r="J259" s="1010"/>
      <c r="K259" s="1010"/>
      <c r="L259" s="1010"/>
      <c r="M259" s="1010"/>
      <c r="N259" s="1010"/>
      <c r="O259" s="1010"/>
      <c r="P259" s="1010"/>
      <c r="Q259" s="1010"/>
      <c r="R259" s="1010"/>
      <c r="S259" s="1010"/>
      <c r="T259" s="1010"/>
    </row>
    <row r="260" spans="1:20">
      <c r="A260" s="1010"/>
      <c r="B260" s="1010"/>
      <c r="C260" s="1010"/>
      <c r="D260" s="1010"/>
      <c r="E260" s="1010"/>
      <c r="F260" s="1010"/>
      <c r="G260" s="1010"/>
      <c r="H260" s="1010"/>
      <c r="I260" s="1010"/>
      <c r="J260" s="1010"/>
      <c r="K260" s="1010"/>
      <c r="L260" s="1010"/>
      <c r="M260" s="1010"/>
      <c r="N260" s="1010"/>
      <c r="O260" s="1010"/>
      <c r="P260" s="1010"/>
      <c r="Q260" s="1010"/>
      <c r="R260" s="1010"/>
      <c r="S260" s="1010"/>
      <c r="T260" s="1010"/>
    </row>
    <row r="261" spans="1:20">
      <c r="A261" s="1010"/>
      <c r="B261" s="1010"/>
      <c r="C261" s="1010"/>
      <c r="D261" s="1010"/>
      <c r="E261" s="1010"/>
      <c r="F261" s="1010"/>
      <c r="G261" s="1010"/>
      <c r="H261" s="1010"/>
      <c r="I261" s="1010"/>
      <c r="J261" s="1010"/>
      <c r="K261" s="1010"/>
      <c r="L261" s="1010"/>
      <c r="M261" s="1010"/>
      <c r="N261" s="1010"/>
      <c r="O261" s="1010"/>
      <c r="P261" s="1010"/>
      <c r="Q261" s="1010"/>
      <c r="R261" s="1010"/>
      <c r="S261" s="1010"/>
      <c r="T261" s="1010"/>
    </row>
    <row r="262" spans="1:20">
      <c r="A262" s="1010"/>
      <c r="B262" s="1010"/>
      <c r="C262" s="1010"/>
      <c r="D262" s="1010"/>
      <c r="E262" s="1010"/>
      <c r="F262" s="1010"/>
      <c r="G262" s="1010"/>
      <c r="H262" s="1010"/>
      <c r="I262" s="1010"/>
      <c r="J262" s="1010"/>
      <c r="K262" s="1010"/>
      <c r="L262" s="1010"/>
      <c r="M262" s="1010"/>
      <c r="N262" s="1010"/>
      <c r="O262" s="1010"/>
      <c r="P262" s="1010"/>
      <c r="Q262" s="1010"/>
      <c r="R262" s="1010"/>
      <c r="S262" s="1010"/>
      <c r="T262" s="1010"/>
    </row>
    <row r="263" spans="1:20">
      <c r="A263" s="1010"/>
      <c r="B263" s="1010"/>
      <c r="C263" s="1010"/>
      <c r="D263" s="1010"/>
      <c r="E263" s="1010"/>
      <c r="F263" s="1010"/>
      <c r="G263" s="1010"/>
      <c r="H263" s="1010"/>
      <c r="I263" s="1010"/>
      <c r="J263" s="1010"/>
      <c r="K263" s="1010"/>
      <c r="L263" s="1010"/>
      <c r="M263" s="1010"/>
      <c r="N263" s="1010"/>
      <c r="O263" s="1010"/>
      <c r="P263" s="1010"/>
      <c r="Q263" s="1010"/>
      <c r="R263" s="1010"/>
      <c r="S263" s="1010"/>
      <c r="T263" s="1010"/>
    </row>
    <row r="264" spans="1:20">
      <c r="A264" s="1010"/>
      <c r="B264" s="1010"/>
      <c r="C264" s="1010"/>
      <c r="D264" s="1010"/>
      <c r="E264" s="1010"/>
      <c r="F264" s="1010"/>
      <c r="G264" s="1010"/>
      <c r="H264" s="1010"/>
      <c r="I264" s="1010"/>
      <c r="J264" s="1010"/>
      <c r="K264" s="1010"/>
      <c r="L264" s="1010"/>
      <c r="M264" s="1010"/>
      <c r="N264" s="1010"/>
      <c r="O264" s="1010"/>
      <c r="P264" s="1010"/>
      <c r="Q264" s="1010"/>
      <c r="R264" s="1010"/>
      <c r="S264" s="1010"/>
      <c r="T264" s="1010"/>
    </row>
    <row r="265" spans="1:20">
      <c r="A265" s="1010"/>
      <c r="B265" s="1010"/>
      <c r="C265" s="1010"/>
      <c r="D265" s="1010"/>
      <c r="E265" s="1010"/>
      <c r="F265" s="1010"/>
      <c r="G265" s="1010"/>
      <c r="H265" s="1010"/>
      <c r="I265" s="1010"/>
      <c r="J265" s="1010"/>
      <c r="K265" s="1010"/>
      <c r="L265" s="1010"/>
      <c r="M265" s="1010"/>
      <c r="N265" s="1010"/>
      <c r="O265" s="1010"/>
      <c r="P265" s="1010"/>
      <c r="Q265" s="1010"/>
      <c r="R265" s="1010"/>
      <c r="S265" s="1010"/>
      <c r="T265" s="1010"/>
    </row>
    <row r="266" spans="1:20">
      <c r="A266" s="1010"/>
      <c r="B266" s="1010"/>
      <c r="C266" s="1010"/>
      <c r="D266" s="1010"/>
      <c r="E266" s="1010"/>
      <c r="F266" s="1010"/>
      <c r="G266" s="1010"/>
      <c r="H266" s="1010"/>
      <c r="I266" s="1010"/>
      <c r="J266" s="1010"/>
      <c r="K266" s="1010"/>
      <c r="L266" s="1010"/>
      <c r="M266" s="1010"/>
      <c r="N266" s="1010"/>
      <c r="O266" s="1010"/>
      <c r="P266" s="1010"/>
      <c r="Q266" s="1010"/>
      <c r="R266" s="1010"/>
      <c r="S266" s="1010"/>
      <c r="T266" s="1010"/>
    </row>
    <row r="267" spans="1:20">
      <c r="A267" s="1010"/>
      <c r="B267" s="1010"/>
      <c r="C267" s="1010"/>
      <c r="D267" s="1010"/>
      <c r="E267" s="1010"/>
      <c r="F267" s="1010"/>
      <c r="G267" s="1010"/>
      <c r="H267" s="1010"/>
      <c r="I267" s="1010"/>
      <c r="J267" s="1010"/>
      <c r="K267" s="1010"/>
      <c r="L267" s="1010"/>
      <c r="M267" s="1010"/>
      <c r="N267" s="1010"/>
      <c r="O267" s="1010"/>
      <c r="P267" s="1010"/>
      <c r="Q267" s="1010"/>
      <c r="R267" s="1010"/>
      <c r="S267" s="1010"/>
      <c r="T267" s="1010"/>
    </row>
    <row r="268" spans="1:20">
      <c r="A268" s="1010"/>
      <c r="B268" s="1010"/>
      <c r="C268" s="1010"/>
      <c r="D268" s="1010"/>
      <c r="E268" s="1010"/>
      <c r="F268" s="1010"/>
      <c r="G268" s="1010"/>
      <c r="H268" s="1010"/>
      <c r="I268" s="1010"/>
      <c r="J268" s="1010"/>
      <c r="K268" s="1010"/>
      <c r="L268" s="1010"/>
      <c r="M268" s="1010"/>
      <c r="N268" s="1010"/>
      <c r="O268" s="1010"/>
      <c r="P268" s="1010"/>
      <c r="Q268" s="1010"/>
      <c r="R268" s="1010"/>
      <c r="S268" s="1010"/>
      <c r="T268" s="1010"/>
    </row>
    <row r="269" spans="1:20">
      <c r="A269" s="1010"/>
      <c r="B269" s="1010"/>
      <c r="C269" s="1010"/>
      <c r="D269" s="1010"/>
      <c r="E269" s="1010"/>
      <c r="F269" s="1010"/>
      <c r="G269" s="1010"/>
      <c r="H269" s="1010"/>
      <c r="I269" s="1010"/>
      <c r="J269" s="1010"/>
      <c r="K269" s="1010"/>
      <c r="L269" s="1010"/>
      <c r="M269" s="1010"/>
      <c r="N269" s="1010"/>
      <c r="O269" s="1010"/>
      <c r="P269" s="1010"/>
      <c r="Q269" s="1010"/>
      <c r="R269" s="1010"/>
      <c r="S269" s="1010"/>
      <c r="T269" s="1010"/>
    </row>
    <row r="270" spans="1:20">
      <c r="A270" s="1010"/>
      <c r="B270" s="1010"/>
      <c r="C270" s="1010"/>
      <c r="D270" s="1010"/>
      <c r="E270" s="1010"/>
      <c r="F270" s="1010"/>
      <c r="G270" s="1010"/>
      <c r="H270" s="1010"/>
      <c r="I270" s="1010"/>
      <c r="J270" s="1010"/>
      <c r="K270" s="1010"/>
      <c r="L270" s="1010"/>
      <c r="M270" s="1010"/>
      <c r="N270" s="1010"/>
      <c r="O270" s="1010"/>
      <c r="P270" s="1010"/>
      <c r="Q270" s="1010"/>
      <c r="R270" s="1010"/>
      <c r="S270" s="1010"/>
      <c r="T270" s="1010"/>
    </row>
    <row r="271" spans="1:20">
      <c r="A271" s="1010"/>
      <c r="B271" s="1010"/>
      <c r="C271" s="1010"/>
      <c r="D271" s="1010"/>
      <c r="E271" s="1010"/>
      <c r="F271" s="1010"/>
      <c r="G271" s="1010"/>
      <c r="H271" s="1010"/>
      <c r="I271" s="1010"/>
      <c r="J271" s="1010"/>
      <c r="K271" s="1010"/>
      <c r="L271" s="1010"/>
      <c r="M271" s="1010"/>
      <c r="N271" s="1010"/>
      <c r="O271" s="1010"/>
      <c r="P271" s="1010"/>
      <c r="Q271" s="1010"/>
      <c r="R271" s="1010"/>
      <c r="S271" s="1010"/>
      <c r="T271" s="1010"/>
    </row>
    <row r="272" spans="1:20">
      <c r="A272" s="1010"/>
      <c r="B272" s="1010"/>
      <c r="C272" s="1010"/>
      <c r="D272" s="1010"/>
      <c r="E272" s="1010"/>
      <c r="F272" s="1010"/>
      <c r="G272" s="1010"/>
      <c r="H272" s="1010"/>
      <c r="I272" s="1010"/>
      <c r="J272" s="1010"/>
      <c r="K272" s="1010"/>
      <c r="L272" s="1010"/>
      <c r="M272" s="1010"/>
      <c r="N272" s="1010"/>
      <c r="O272" s="1010"/>
      <c r="P272" s="1010"/>
      <c r="Q272" s="1010"/>
      <c r="R272" s="1010"/>
      <c r="S272" s="1010"/>
      <c r="T272" s="1010"/>
    </row>
    <row r="273" spans="1:20">
      <c r="A273" s="1010"/>
      <c r="B273" s="1010"/>
      <c r="C273" s="1010"/>
      <c r="D273" s="1010"/>
      <c r="E273" s="1010"/>
      <c r="F273" s="1010"/>
      <c r="G273" s="1010"/>
      <c r="H273" s="1010"/>
      <c r="I273" s="1010"/>
      <c r="J273" s="1010"/>
      <c r="K273" s="1010"/>
      <c r="L273" s="1010"/>
      <c r="M273" s="1010"/>
      <c r="N273" s="1010"/>
      <c r="O273" s="1010"/>
      <c r="P273" s="1010"/>
      <c r="Q273" s="1010"/>
      <c r="R273" s="1010"/>
      <c r="S273" s="1010"/>
      <c r="T273" s="1010"/>
    </row>
    <row r="274" spans="1:20">
      <c r="A274" s="1010"/>
      <c r="B274" s="1010"/>
      <c r="C274" s="1010"/>
      <c r="D274" s="1010"/>
      <c r="E274" s="1010"/>
      <c r="F274" s="1010"/>
      <c r="G274" s="1010"/>
      <c r="H274" s="1010"/>
      <c r="I274" s="1010"/>
      <c r="J274" s="1010"/>
      <c r="K274" s="1010"/>
      <c r="L274" s="1010"/>
      <c r="M274" s="1010"/>
      <c r="N274" s="1010"/>
      <c r="O274" s="1010"/>
      <c r="P274" s="1010"/>
      <c r="Q274" s="1010"/>
      <c r="R274" s="1010"/>
      <c r="S274" s="1010"/>
      <c r="T274" s="1010"/>
    </row>
    <row r="275" spans="1:20">
      <c r="A275" s="1010"/>
      <c r="B275" s="1010"/>
      <c r="C275" s="1010"/>
      <c r="D275" s="1010"/>
      <c r="E275" s="1010"/>
      <c r="F275" s="1010"/>
      <c r="G275" s="1010"/>
      <c r="H275" s="1010"/>
      <c r="I275" s="1010"/>
      <c r="J275" s="1010"/>
      <c r="K275" s="1010"/>
      <c r="L275" s="1010"/>
      <c r="M275" s="1010"/>
      <c r="N275" s="1010"/>
      <c r="O275" s="1010"/>
      <c r="P275" s="1010"/>
      <c r="Q275" s="1010"/>
      <c r="R275" s="1010"/>
      <c r="S275" s="1010"/>
      <c r="T275" s="1010"/>
    </row>
    <row r="276" spans="1:20">
      <c r="A276" s="1010"/>
      <c r="B276" s="1010"/>
      <c r="C276" s="1010"/>
      <c r="D276" s="1010"/>
      <c r="E276" s="1010"/>
      <c r="F276" s="1010"/>
      <c r="G276" s="1010"/>
      <c r="H276" s="1010"/>
      <c r="I276" s="1010"/>
      <c r="J276" s="1010"/>
      <c r="K276" s="1010"/>
      <c r="L276" s="1010"/>
      <c r="M276" s="1010"/>
      <c r="N276" s="1010"/>
      <c r="O276" s="1010"/>
      <c r="P276" s="1010"/>
      <c r="Q276" s="1010"/>
      <c r="R276" s="1010"/>
      <c r="S276" s="1010"/>
      <c r="T276" s="1010"/>
    </row>
    <row r="277" spans="1:20">
      <c r="A277" s="1010"/>
      <c r="B277" s="1010"/>
      <c r="C277" s="1010"/>
      <c r="D277" s="1010"/>
      <c r="E277" s="1010"/>
      <c r="F277" s="1010"/>
      <c r="G277" s="1010"/>
      <c r="H277" s="1010"/>
      <c r="I277" s="1010"/>
      <c r="J277" s="1010"/>
      <c r="K277" s="1010"/>
      <c r="L277" s="1010"/>
      <c r="M277" s="1010"/>
      <c r="N277" s="1010"/>
      <c r="O277" s="1010"/>
      <c r="P277" s="1010"/>
      <c r="Q277" s="1010"/>
      <c r="R277" s="1010"/>
      <c r="S277" s="1010"/>
      <c r="T277" s="1010"/>
    </row>
    <row r="278" spans="1:20">
      <c r="A278" s="1010"/>
      <c r="B278" s="1010"/>
      <c r="C278" s="1010"/>
      <c r="D278" s="1010"/>
      <c r="E278" s="1010"/>
      <c r="F278" s="1010"/>
      <c r="G278" s="1010"/>
      <c r="H278" s="1010"/>
      <c r="I278" s="1010"/>
      <c r="J278" s="1010"/>
      <c r="K278" s="1010"/>
      <c r="L278" s="1010"/>
      <c r="M278" s="1010"/>
      <c r="N278" s="1010"/>
      <c r="O278" s="1010"/>
      <c r="P278" s="1010"/>
      <c r="Q278" s="1010"/>
      <c r="R278" s="1010"/>
      <c r="S278" s="1010"/>
      <c r="T278" s="1010"/>
    </row>
    <row r="279" spans="1:20">
      <c r="A279" s="1010"/>
      <c r="B279" s="1010"/>
      <c r="C279" s="1010"/>
      <c r="D279" s="1010"/>
      <c r="E279" s="1010"/>
      <c r="F279" s="1010"/>
      <c r="G279" s="1010"/>
      <c r="H279" s="1010"/>
      <c r="I279" s="1010"/>
      <c r="J279" s="1010"/>
      <c r="K279" s="1010"/>
      <c r="L279" s="1010"/>
      <c r="M279" s="1010"/>
      <c r="N279" s="1010"/>
      <c r="O279" s="1010"/>
      <c r="P279" s="1010"/>
      <c r="Q279" s="1010"/>
      <c r="R279" s="1010"/>
      <c r="S279" s="1010"/>
      <c r="T279" s="1010"/>
    </row>
    <row r="280" spans="1:20">
      <c r="A280" s="1010"/>
      <c r="B280" s="1010"/>
      <c r="C280" s="1010"/>
      <c r="D280" s="1010"/>
      <c r="E280" s="1010"/>
      <c r="F280" s="1010"/>
      <c r="G280" s="1010"/>
      <c r="H280" s="1010"/>
      <c r="I280" s="1010"/>
      <c r="J280" s="1010"/>
      <c r="K280" s="1010"/>
      <c r="L280" s="1010"/>
      <c r="M280" s="1010"/>
      <c r="N280" s="1010"/>
      <c r="O280" s="1010"/>
      <c r="P280" s="1010"/>
      <c r="Q280" s="1010"/>
      <c r="R280" s="1010"/>
      <c r="S280" s="1010"/>
      <c r="T280" s="1010"/>
    </row>
    <row r="281" spans="1:20">
      <c r="A281" s="1010"/>
      <c r="B281" s="1010"/>
      <c r="C281" s="1010"/>
      <c r="D281" s="1010"/>
      <c r="E281" s="1010"/>
      <c r="F281" s="1010"/>
      <c r="G281" s="1010"/>
      <c r="H281" s="1010"/>
      <c r="I281" s="1010"/>
      <c r="J281" s="1010"/>
      <c r="K281" s="1010"/>
      <c r="L281" s="1010"/>
      <c r="M281" s="1010"/>
      <c r="N281" s="1010"/>
      <c r="O281" s="1010"/>
      <c r="P281" s="1010"/>
      <c r="Q281" s="1010"/>
      <c r="R281" s="1010"/>
      <c r="S281" s="1010"/>
      <c r="T281" s="1010"/>
    </row>
    <row r="282" spans="1:20">
      <c r="A282" s="1010"/>
      <c r="B282" s="1010"/>
      <c r="C282" s="1010"/>
      <c r="D282" s="1010"/>
      <c r="E282" s="1010"/>
      <c r="F282" s="1010"/>
      <c r="G282" s="1010"/>
      <c r="H282" s="1010"/>
      <c r="I282" s="1010"/>
      <c r="J282" s="1010"/>
      <c r="K282" s="1010"/>
      <c r="L282" s="1010"/>
      <c r="M282" s="1010"/>
      <c r="N282" s="1010"/>
      <c r="O282" s="1010"/>
      <c r="P282" s="1010"/>
      <c r="Q282" s="1010"/>
      <c r="R282" s="1010"/>
      <c r="S282" s="1010"/>
      <c r="T282" s="1010"/>
    </row>
    <row r="283" spans="1:20">
      <c r="A283" s="1010"/>
      <c r="B283" s="1010"/>
      <c r="C283" s="1010"/>
      <c r="D283" s="1010"/>
      <c r="E283" s="1010"/>
      <c r="F283" s="1010"/>
      <c r="G283" s="1010"/>
      <c r="H283" s="1010"/>
      <c r="I283" s="1010"/>
      <c r="J283" s="1010"/>
      <c r="K283" s="1010"/>
      <c r="L283" s="1010"/>
      <c r="M283" s="1010"/>
      <c r="N283" s="1010"/>
      <c r="O283" s="1010"/>
      <c r="P283" s="1010"/>
      <c r="Q283" s="1010"/>
      <c r="R283" s="1010"/>
      <c r="S283" s="1010"/>
      <c r="T283" s="1010"/>
    </row>
    <row r="284" spans="1:20">
      <c r="A284" s="1010"/>
      <c r="B284" s="1010"/>
      <c r="C284" s="1010"/>
      <c r="D284" s="1010"/>
      <c r="E284" s="1010"/>
      <c r="F284" s="1010"/>
      <c r="G284" s="1010"/>
      <c r="H284" s="1010"/>
      <c r="I284" s="1010"/>
      <c r="J284" s="1010"/>
      <c r="K284" s="1010"/>
      <c r="L284" s="1010"/>
      <c r="M284" s="1010"/>
      <c r="N284" s="1010"/>
      <c r="O284" s="1010"/>
      <c r="P284" s="1010"/>
      <c r="Q284" s="1010"/>
      <c r="R284" s="1010"/>
      <c r="S284" s="1010"/>
      <c r="T284" s="1010"/>
    </row>
    <row r="285" spans="1:20">
      <c r="A285" s="1010"/>
      <c r="B285" s="1010"/>
      <c r="C285" s="1010"/>
      <c r="D285" s="1010"/>
      <c r="E285" s="1010"/>
      <c r="F285" s="1010"/>
      <c r="G285" s="1010"/>
      <c r="H285" s="1010"/>
      <c r="I285" s="1010"/>
      <c r="J285" s="1010"/>
      <c r="K285" s="1010"/>
      <c r="L285" s="1010"/>
      <c r="M285" s="1010"/>
      <c r="N285" s="1010"/>
      <c r="O285" s="1010"/>
      <c r="P285" s="1010"/>
      <c r="Q285" s="1010"/>
      <c r="R285" s="1010"/>
      <c r="S285" s="1010"/>
      <c r="T285" s="1010"/>
    </row>
    <row r="286" spans="1:20">
      <c r="A286" s="1010"/>
      <c r="B286" s="1010"/>
      <c r="C286" s="1010"/>
      <c r="D286" s="1010"/>
      <c r="E286" s="1010"/>
      <c r="F286" s="1010"/>
      <c r="G286" s="1010"/>
      <c r="H286" s="1010"/>
      <c r="I286" s="1010"/>
      <c r="J286" s="1010"/>
      <c r="K286" s="1010"/>
      <c r="L286" s="1010"/>
      <c r="M286" s="1010"/>
      <c r="N286" s="1010"/>
      <c r="O286" s="1010"/>
      <c r="P286" s="1010"/>
      <c r="Q286" s="1010"/>
      <c r="R286" s="1010"/>
      <c r="S286" s="1010"/>
      <c r="T286" s="1010"/>
    </row>
    <row r="287" spans="1:20">
      <c r="A287" s="1010"/>
      <c r="B287" s="1010"/>
      <c r="C287" s="1010"/>
      <c r="D287" s="1010"/>
      <c r="E287" s="1010"/>
      <c r="F287" s="1010"/>
      <c r="G287" s="1010"/>
      <c r="H287" s="1010"/>
      <c r="I287" s="1010"/>
      <c r="J287" s="1010"/>
      <c r="K287" s="1010"/>
      <c r="L287" s="1010"/>
      <c r="M287" s="1010"/>
      <c r="N287" s="1010"/>
      <c r="O287" s="1010"/>
      <c r="P287" s="1010"/>
      <c r="Q287" s="1010"/>
      <c r="R287" s="1010"/>
      <c r="S287" s="1010"/>
      <c r="T287" s="1010"/>
    </row>
    <row r="288" spans="1:20">
      <c r="A288" s="1010"/>
      <c r="B288" s="1010"/>
      <c r="C288" s="1010"/>
      <c r="D288" s="1010"/>
      <c r="E288" s="1010"/>
      <c r="F288" s="1010"/>
      <c r="G288" s="1010"/>
      <c r="H288" s="1010"/>
      <c r="I288" s="1010"/>
      <c r="J288" s="1010"/>
      <c r="K288" s="1010"/>
      <c r="L288" s="1010"/>
      <c r="M288" s="1010"/>
      <c r="N288" s="1010"/>
      <c r="O288" s="1010"/>
      <c r="P288" s="1010"/>
      <c r="Q288" s="1010"/>
      <c r="R288" s="1010"/>
      <c r="S288" s="1010"/>
      <c r="T288" s="1010"/>
    </row>
    <row r="289" spans="1:20">
      <c r="A289" s="1010"/>
      <c r="B289" s="1010"/>
      <c r="C289" s="1010"/>
      <c r="D289" s="1010"/>
      <c r="E289" s="1010"/>
      <c r="F289" s="1010"/>
      <c r="G289" s="1010"/>
      <c r="H289" s="1010"/>
      <c r="I289" s="1010"/>
      <c r="J289" s="1010"/>
      <c r="K289" s="1010"/>
      <c r="L289" s="1010"/>
      <c r="M289" s="1010"/>
      <c r="N289" s="1010"/>
      <c r="O289" s="1010"/>
      <c r="P289" s="1010"/>
      <c r="Q289" s="1010"/>
      <c r="R289" s="1010"/>
      <c r="S289" s="1010"/>
      <c r="T289" s="1010"/>
    </row>
    <row r="290" spans="1:20">
      <c r="A290" s="1010"/>
      <c r="B290" s="1010"/>
      <c r="C290" s="1010"/>
      <c r="D290" s="1010"/>
      <c r="E290" s="1010"/>
      <c r="F290" s="1010"/>
      <c r="G290" s="1010"/>
      <c r="H290" s="1010"/>
      <c r="I290" s="1010"/>
      <c r="J290" s="1010"/>
      <c r="K290" s="1010"/>
      <c r="L290" s="1010"/>
      <c r="M290" s="1010"/>
      <c r="N290" s="1010"/>
      <c r="O290" s="1010"/>
      <c r="P290" s="1010"/>
      <c r="Q290" s="1010"/>
      <c r="R290" s="1010"/>
      <c r="S290" s="1010"/>
      <c r="T290" s="1010"/>
    </row>
    <row r="291" spans="1:20">
      <c r="A291" s="1010"/>
      <c r="B291" s="1010"/>
      <c r="C291" s="1010"/>
      <c r="D291" s="1010"/>
      <c r="E291" s="1010"/>
      <c r="F291" s="1010"/>
      <c r="G291" s="1010"/>
      <c r="H291" s="1010"/>
      <c r="I291" s="1010"/>
      <c r="J291" s="1010"/>
      <c r="K291" s="1010"/>
      <c r="L291" s="1010"/>
      <c r="M291" s="1010"/>
      <c r="N291" s="1010"/>
      <c r="O291" s="1010"/>
      <c r="P291" s="1010"/>
      <c r="Q291" s="1010"/>
      <c r="R291" s="1010"/>
      <c r="S291" s="1010"/>
      <c r="T291" s="1010"/>
    </row>
    <row r="292" spans="1:20">
      <c r="A292" s="1010"/>
      <c r="B292" s="1010"/>
      <c r="C292" s="1010"/>
      <c r="D292" s="1010"/>
      <c r="E292" s="1010"/>
      <c r="F292" s="1010"/>
      <c r="G292" s="1010"/>
      <c r="H292" s="1010"/>
      <c r="I292" s="1010"/>
      <c r="J292" s="1010"/>
      <c r="K292" s="1010"/>
      <c r="L292" s="1010"/>
      <c r="M292" s="1010"/>
      <c r="N292" s="1010"/>
      <c r="O292" s="1010"/>
      <c r="P292" s="1010"/>
      <c r="Q292" s="1010"/>
      <c r="R292" s="1010"/>
      <c r="S292" s="1010"/>
      <c r="T292" s="1010"/>
    </row>
    <row r="293" spans="1:20">
      <c r="A293" s="1010"/>
      <c r="B293" s="1010"/>
      <c r="C293" s="1010"/>
      <c r="D293" s="1010"/>
      <c r="E293" s="1010"/>
      <c r="F293" s="1010"/>
      <c r="G293" s="1010"/>
      <c r="H293" s="1010"/>
      <c r="I293" s="1010"/>
      <c r="J293" s="1010"/>
      <c r="K293" s="1010"/>
      <c r="L293" s="1010"/>
      <c r="M293" s="1010"/>
      <c r="N293" s="1010"/>
      <c r="O293" s="1010"/>
      <c r="P293" s="1010"/>
      <c r="Q293" s="1010"/>
      <c r="R293" s="1010"/>
      <c r="S293" s="1010"/>
      <c r="T293" s="1010"/>
    </row>
    <row r="294" spans="1:20">
      <c r="A294" s="1010"/>
      <c r="B294" s="1010"/>
      <c r="C294" s="1010"/>
      <c r="D294" s="1010"/>
      <c r="E294" s="1010"/>
      <c r="F294" s="1010"/>
      <c r="G294" s="1010"/>
      <c r="H294" s="1010"/>
      <c r="I294" s="1010"/>
      <c r="J294" s="1010"/>
      <c r="K294" s="1010"/>
      <c r="L294" s="1010"/>
      <c r="M294" s="1010"/>
      <c r="N294" s="1010"/>
      <c r="O294" s="1010"/>
      <c r="P294" s="1010"/>
      <c r="Q294" s="1010"/>
      <c r="R294" s="1010"/>
      <c r="S294" s="1010"/>
      <c r="T294" s="1010"/>
    </row>
    <row r="295" spans="1:20">
      <c r="A295" s="1010"/>
      <c r="B295" s="1010"/>
      <c r="C295" s="1010"/>
      <c r="D295" s="1010"/>
      <c r="E295" s="1010"/>
      <c r="F295" s="1010"/>
      <c r="G295" s="1010"/>
      <c r="H295" s="1010"/>
      <c r="I295" s="1010"/>
      <c r="J295" s="1010"/>
      <c r="K295" s="1010"/>
      <c r="L295" s="1010"/>
      <c r="M295" s="1010"/>
      <c r="N295" s="1010"/>
      <c r="O295" s="1010"/>
      <c r="P295" s="1010"/>
      <c r="Q295" s="1010"/>
      <c r="R295" s="1010"/>
      <c r="S295" s="1010"/>
      <c r="T295" s="1010"/>
    </row>
    <row r="296" spans="1:20">
      <c r="A296" s="1010"/>
      <c r="B296" s="1010"/>
      <c r="C296" s="1010"/>
      <c r="D296" s="1010"/>
      <c r="E296" s="1010"/>
      <c r="F296" s="1010"/>
      <c r="G296" s="1010"/>
      <c r="H296" s="1010"/>
      <c r="I296" s="1010"/>
      <c r="J296" s="1010"/>
      <c r="K296" s="1010"/>
      <c r="L296" s="1010"/>
      <c r="M296" s="1010"/>
      <c r="N296" s="1010"/>
      <c r="O296" s="1010"/>
      <c r="P296" s="1010"/>
      <c r="Q296" s="1010"/>
      <c r="R296" s="1010"/>
      <c r="S296" s="1010"/>
      <c r="T296" s="1010"/>
    </row>
  </sheetData>
  <sheetProtection algorithmName="SHA-512" hashValue="vgJ1P3Z4j9OxpGjOddaSysE1NMdRZx7FsZKl11CFCWRglUgbu/gL4T49eSVa6f5ClXLjAdRFYK00h7ouDOd/Tw==" saltValue="Wh3QXf0N2M7dSw7iFV1HbQ==" spinCount="100000" sheet="1" objects="1" scenarios="1"/>
  <mergeCells count="6">
    <mergeCell ref="B55:C55"/>
    <mergeCell ref="F7:G7"/>
    <mergeCell ref="B13:C13"/>
    <mergeCell ref="E19:F19"/>
    <mergeCell ref="E32:F32"/>
    <mergeCell ref="F45:G45"/>
  </mergeCells>
  <phoneticPr fontId="87" type="noConversion"/>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600075</xdr:colOff>
                <xdr:row>1</xdr:row>
                <xdr:rowOff>9525</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FF00"/>
  </sheetPr>
  <dimension ref="A1:V99"/>
  <sheetViews>
    <sheetView showGridLines="0" showRowColHeaders="0" zoomScaleNormal="100" workbookViewId="0">
      <pane ySplit="1" topLeftCell="A52" activePane="bottomLeft" state="frozen"/>
      <selection activeCell="D50" sqref="D50"/>
      <selection pane="bottomLeft" activeCell="M63" sqref="M63"/>
    </sheetView>
  </sheetViews>
  <sheetFormatPr defaultColWidth="9.140625" defaultRowHeight="12.75"/>
  <cols>
    <col min="1" max="1" width="9.140625" style="1011"/>
    <col min="2" max="2" width="16" style="1011" customWidth="1"/>
    <col min="3" max="3" width="15.5703125" style="1011" customWidth="1"/>
    <col min="4" max="4" width="12.42578125" style="1011" bestFit="1" customWidth="1"/>
    <col min="5" max="5" width="9.5703125" style="1011" bestFit="1" customWidth="1"/>
    <col min="6" max="6" width="11.5703125" style="1011" customWidth="1"/>
    <col min="7" max="7" width="12.5703125" style="1011" bestFit="1" customWidth="1"/>
    <col min="8" max="8" width="10.5703125" style="1399" bestFit="1" customWidth="1"/>
    <col min="9" max="9" width="12.5703125" style="1011" bestFit="1" customWidth="1"/>
    <col min="10" max="10" width="10.5703125" style="1399" bestFit="1" customWidth="1"/>
    <col min="11" max="11" width="12.5703125" style="1011" bestFit="1" customWidth="1"/>
    <col min="12" max="12" width="10.5703125" style="1399" bestFit="1" customWidth="1"/>
    <col min="13" max="13" width="10.85546875" style="1011" bestFit="1" customWidth="1"/>
    <col min="14" max="14" width="9.140625" style="1011"/>
    <col min="15" max="15" width="13.42578125" style="1011" customWidth="1"/>
    <col min="16" max="18" width="5" style="1011" bestFit="1" customWidth="1"/>
    <col min="19" max="16384" width="9.140625" style="1011"/>
  </cols>
  <sheetData>
    <row r="1" spans="1:22" s="1010" customFormat="1" ht="32.1" customHeight="1">
      <c r="H1" s="1399"/>
      <c r="J1" s="1399"/>
      <c r="L1" s="1399"/>
    </row>
    <row r="2" spans="1:22" s="1010" customFormat="1" ht="41.25" customHeight="1">
      <c r="H2" s="1399"/>
      <c r="J2" s="1399"/>
      <c r="L2" s="1399"/>
    </row>
    <row r="3" spans="1:22" s="1010" customFormat="1" ht="12.75" customHeight="1">
      <c r="H3" s="1399"/>
      <c r="J3" s="1399"/>
      <c r="L3" s="1399"/>
    </row>
    <row r="4" spans="1:22">
      <c r="A4" s="1010"/>
      <c r="B4" s="1010"/>
      <c r="C4" s="1010"/>
      <c r="D4" s="1010"/>
      <c r="E4" s="1010"/>
      <c r="F4" s="1010"/>
      <c r="G4" s="1010"/>
      <c r="I4" s="1010"/>
      <c r="K4" s="1010"/>
      <c r="M4" s="1010"/>
      <c r="N4" s="1010"/>
      <c r="O4" s="1010"/>
      <c r="P4" s="1010"/>
      <c r="Q4" s="1010"/>
      <c r="R4" s="1010"/>
      <c r="S4" s="1010"/>
      <c r="T4" s="1010"/>
    </row>
    <row r="5" spans="1:22" ht="18">
      <c r="A5" s="1400" t="s">
        <v>455</v>
      </c>
      <c r="B5" s="1401"/>
      <c r="C5" s="1012"/>
      <c r="D5" s="1012"/>
      <c r="E5" s="1012"/>
      <c r="F5" s="1012"/>
      <c r="G5" s="1012"/>
      <c r="H5" s="1402"/>
      <c r="I5" s="1012"/>
      <c r="J5" s="1402"/>
      <c r="K5" s="1012"/>
      <c r="L5" s="1402"/>
      <c r="M5" s="1012"/>
      <c r="N5" s="1012"/>
      <c r="O5" s="1013"/>
      <c r="P5" s="1012"/>
      <c r="Q5" s="1012"/>
      <c r="R5" s="1012"/>
      <c r="S5" s="1012"/>
      <c r="T5" s="1012"/>
      <c r="U5" s="1014"/>
      <c r="V5" s="1014"/>
    </row>
    <row r="6" spans="1:22" ht="15.75">
      <c r="A6" s="1330">
        <v>1</v>
      </c>
      <c r="B6" s="1016" t="s">
        <v>359</v>
      </c>
      <c r="C6" s="1329"/>
      <c r="D6" s="1329"/>
      <c r="E6" s="1329"/>
      <c r="F6" s="1329"/>
      <c r="G6" s="1018"/>
      <c r="H6" s="1385"/>
      <c r="I6" s="1019"/>
      <c r="J6" s="1385"/>
      <c r="K6" s="1018"/>
      <c r="L6" s="1385"/>
      <c r="M6" s="1020"/>
      <c r="N6" s="1018"/>
      <c r="O6" s="1018"/>
      <c r="P6" s="1018"/>
      <c r="Q6" s="1018"/>
      <c r="R6" s="1013"/>
      <c r="S6" s="1012"/>
      <c r="T6" s="1012"/>
      <c r="U6" s="1014"/>
      <c r="V6" s="1014"/>
    </row>
    <row r="7" spans="1:22" s="1018" customFormat="1" ht="11.25">
      <c r="A7" s="1029"/>
      <c r="D7" s="1308"/>
      <c r="E7" s="1375"/>
      <c r="F7" s="1323" t="s">
        <v>330</v>
      </c>
      <c r="G7" s="1323"/>
      <c r="H7" s="1403"/>
      <c r="J7" s="1385"/>
      <c r="L7" s="1385"/>
    </row>
    <row r="8" spans="1:22" s="1018" customFormat="1" ht="11.25">
      <c r="A8" s="1029"/>
      <c r="B8" s="1317" t="s">
        <v>329</v>
      </c>
      <c r="C8" s="1376"/>
      <c r="D8" s="1377" t="s">
        <v>328</v>
      </c>
      <c r="E8" s="1378" t="s">
        <v>84</v>
      </c>
      <c r="F8" s="1024" t="s">
        <v>34</v>
      </c>
      <c r="G8" s="436" t="s">
        <v>33</v>
      </c>
      <c r="H8" s="1403"/>
      <c r="I8" s="1029"/>
      <c r="J8" s="1403"/>
      <c r="L8" s="1385"/>
    </row>
    <row r="9" spans="1:22" s="1018" customFormat="1" ht="11.25">
      <c r="B9" s="516" t="s">
        <v>640</v>
      </c>
      <c r="C9" s="1324"/>
      <c r="D9" s="1450">
        <v>15000</v>
      </c>
      <c r="E9" s="420">
        <v>1</v>
      </c>
      <c r="F9" s="518">
        <v>1.03</v>
      </c>
      <c r="G9" s="518">
        <v>1.06</v>
      </c>
      <c r="H9" s="1404"/>
      <c r="I9" s="264"/>
      <c r="J9" s="1405"/>
      <c r="K9" s="264"/>
      <c r="L9" s="1385"/>
    </row>
    <row r="10" spans="1:22" s="1018" customFormat="1" ht="11.25">
      <c r="B10" s="516" t="s">
        <v>75</v>
      </c>
      <c r="C10" s="1324"/>
      <c r="D10" s="1450">
        <v>36000</v>
      </c>
      <c r="E10" s="420">
        <v>1</v>
      </c>
      <c r="F10" s="1451">
        <v>1.1000000000000001</v>
      </c>
      <c r="G10" s="1451">
        <v>1.1100000000000001</v>
      </c>
      <c r="H10" s="1404"/>
      <c r="I10" s="264"/>
      <c r="J10" s="1405"/>
      <c r="K10" s="264"/>
      <c r="L10" s="1385"/>
    </row>
    <row r="11" spans="1:22" s="1018" customFormat="1" ht="11.25">
      <c r="B11" s="516" t="s">
        <v>74</v>
      </c>
      <c r="C11" s="1324"/>
      <c r="D11" s="1450">
        <v>10000</v>
      </c>
      <c r="E11" s="420">
        <v>0.5</v>
      </c>
      <c r="F11" s="518">
        <v>1.04</v>
      </c>
      <c r="G11" s="518">
        <v>1.06</v>
      </c>
      <c r="H11" s="1404"/>
      <c r="I11" s="264"/>
      <c r="J11" s="1405"/>
      <c r="K11" s="264"/>
      <c r="L11" s="1385"/>
    </row>
    <row r="12" spans="1:22" s="1018" customFormat="1" ht="11.25">
      <c r="B12" s="516" t="s">
        <v>73</v>
      </c>
      <c r="C12" s="1324"/>
      <c r="D12" s="1450">
        <v>1500</v>
      </c>
      <c r="E12" s="420"/>
      <c r="F12" s="518">
        <v>1</v>
      </c>
      <c r="G12" s="518">
        <v>1</v>
      </c>
      <c r="H12" s="1404"/>
      <c r="I12" s="264"/>
      <c r="J12" s="1405"/>
      <c r="K12" s="264"/>
      <c r="L12" s="1385"/>
    </row>
    <row r="13" spans="1:22" s="1018" customFormat="1" ht="11.25">
      <c r="B13" s="1380"/>
      <c r="C13" s="1380"/>
      <c r="H13" s="1385"/>
      <c r="J13" s="1385"/>
      <c r="K13" s="437"/>
      <c r="L13" s="1385"/>
    </row>
    <row r="14" spans="1:22" s="1018" customFormat="1" ht="11.25">
      <c r="B14" s="1029"/>
      <c r="C14" s="1029"/>
      <c r="D14" s="1106" t="s">
        <v>35</v>
      </c>
      <c r="E14" s="1106" t="s">
        <v>34</v>
      </c>
      <c r="F14" s="1106" t="s">
        <v>33</v>
      </c>
      <c r="H14" s="1385"/>
      <c r="J14" s="1385"/>
      <c r="K14" s="437"/>
      <c r="L14" s="1385"/>
    </row>
    <row r="15" spans="1:22" s="1018" customFormat="1">
      <c r="B15" s="1021" t="s">
        <v>101</v>
      </c>
      <c r="C15" s="1029"/>
      <c r="D15" s="1381">
        <f>SUM(D9:D13)</f>
        <v>62500</v>
      </c>
      <c r="E15" s="1381">
        <f>SUMPRODUCT(D9:D13,F9:F13)</f>
        <v>66950</v>
      </c>
      <c r="F15" s="1381">
        <f>SUMPRODUCT(D9:D13,G9:G13,F9:F13)</f>
        <v>72857</v>
      </c>
      <c r="H15" s="1385"/>
      <c r="J15" s="1385"/>
      <c r="K15" s="437"/>
      <c r="L15" s="1385"/>
    </row>
    <row r="16" spans="1:22" s="1018" customFormat="1" ht="11.25">
      <c r="B16" s="1029"/>
      <c r="C16" s="1029"/>
      <c r="H16" s="1385"/>
      <c r="J16" s="1385"/>
      <c r="K16" s="437"/>
      <c r="L16" s="1385"/>
    </row>
    <row r="17" spans="1:21" s="1018" customFormat="1" ht="11.25">
      <c r="H17" s="1385"/>
      <c r="J17" s="1385"/>
      <c r="K17" s="437"/>
      <c r="L17" s="1385"/>
    </row>
    <row r="18" spans="1:21" s="1018" customFormat="1" ht="11.25" hidden="1">
      <c r="H18" s="1385"/>
      <c r="J18" s="1385"/>
      <c r="K18" s="437"/>
      <c r="L18" s="1385"/>
    </row>
    <row r="19" spans="1:21" ht="18" hidden="1">
      <c r="A19" s="1406" t="s">
        <v>456</v>
      </c>
      <c r="B19" s="1407"/>
      <c r="C19" s="1407"/>
      <c r="D19" s="1407"/>
      <c r="E19" s="1407"/>
      <c r="F19" s="1407"/>
      <c r="G19" s="1407"/>
      <c r="I19" s="1010"/>
      <c r="K19" s="1010"/>
      <c r="M19" s="1010"/>
      <c r="N19" s="1010"/>
      <c r="S19" s="1010"/>
      <c r="T19" s="1010"/>
      <c r="U19" s="1010"/>
    </row>
    <row r="20" spans="1:21" ht="15.75" hidden="1">
      <c r="A20" s="1291">
        <v>2</v>
      </c>
      <c r="B20" s="1071" t="s">
        <v>452</v>
      </c>
      <c r="C20" s="1374"/>
      <c r="D20" s="1374"/>
      <c r="E20" s="1374"/>
      <c r="F20" s="1374"/>
      <c r="G20" s="1408"/>
      <c r="H20" s="1385"/>
      <c r="I20" s="1010"/>
      <c r="K20" s="1010"/>
      <c r="M20" s="1010"/>
      <c r="N20" s="1010"/>
      <c r="S20" s="1010"/>
      <c r="T20" s="1010"/>
    </row>
    <row r="21" spans="1:21" hidden="1">
      <c r="A21" s="1021"/>
      <c r="B21" s="1022"/>
      <c r="C21" s="1018"/>
      <c r="D21" s="1301" t="s">
        <v>333</v>
      </c>
      <c r="E21" s="1323" t="s">
        <v>334</v>
      </c>
      <c r="F21" s="1323"/>
      <c r="G21" s="1018"/>
      <c r="H21" s="1385"/>
    </row>
    <row r="22" spans="1:21" hidden="1">
      <c r="A22" s="1021"/>
      <c r="B22" s="1022"/>
      <c r="C22" s="1018"/>
      <c r="D22" s="1301" t="s">
        <v>35</v>
      </c>
      <c r="E22" s="1301" t="s">
        <v>34</v>
      </c>
      <c r="F22" s="1301" t="s">
        <v>33</v>
      </c>
      <c r="G22" s="1018"/>
      <c r="H22" s="1385"/>
    </row>
    <row r="23" spans="1:21" hidden="1">
      <c r="A23" s="1021"/>
      <c r="B23" s="1379" t="s">
        <v>82</v>
      </c>
      <c r="C23" s="1030"/>
      <c r="D23" s="517">
        <v>8000</v>
      </c>
      <c r="E23" s="518">
        <v>1.1100000000000001</v>
      </c>
      <c r="F23" s="518">
        <v>1.2</v>
      </c>
      <c r="G23" s="1029"/>
      <c r="H23" s="1403"/>
    </row>
    <row r="24" spans="1:21" hidden="1">
      <c r="A24" s="1021"/>
      <c r="B24" s="1379" t="s">
        <v>81</v>
      </c>
      <c r="C24" s="1030"/>
      <c r="D24" s="517">
        <v>4000</v>
      </c>
      <c r="E24" s="518">
        <v>1.1100000000000001</v>
      </c>
      <c r="F24" s="518">
        <v>1.2</v>
      </c>
      <c r="G24" s="1029"/>
      <c r="H24" s="1403"/>
    </row>
    <row r="25" spans="1:21" hidden="1">
      <c r="A25" s="1021"/>
      <c r="B25" s="1379" t="s">
        <v>80</v>
      </c>
      <c r="C25" s="1030"/>
      <c r="D25" s="517">
        <v>7000</v>
      </c>
      <c r="E25" s="518">
        <v>1.1100000000000001</v>
      </c>
      <c r="F25" s="518">
        <v>1.2</v>
      </c>
      <c r="G25" s="1029"/>
      <c r="H25" s="1403"/>
    </row>
    <row r="26" spans="1:21" hidden="1">
      <c r="A26" s="1021"/>
      <c r="B26" s="1379" t="s">
        <v>77</v>
      </c>
      <c r="C26" s="1030"/>
      <c r="D26" s="517">
        <v>7000</v>
      </c>
      <c r="E26" s="518">
        <v>1.1100000000000001</v>
      </c>
      <c r="F26" s="518">
        <v>1.2</v>
      </c>
      <c r="G26" s="1029"/>
      <c r="H26" s="1403"/>
    </row>
    <row r="27" spans="1:21" hidden="1">
      <c r="A27" s="1021"/>
      <c r="B27" s="1379" t="s">
        <v>76</v>
      </c>
      <c r="C27" s="1030"/>
      <c r="D27" s="517">
        <v>12000</v>
      </c>
      <c r="E27" s="518">
        <v>1.1100000000000001</v>
      </c>
      <c r="F27" s="518">
        <v>1.2</v>
      </c>
      <c r="G27" s="1029"/>
      <c r="H27" s="1403"/>
    </row>
    <row r="28" spans="1:21" hidden="1">
      <c r="A28" s="1021"/>
      <c r="B28" s="1018"/>
      <c r="C28" s="1018"/>
      <c r="D28" s="1018"/>
      <c r="E28" s="1018"/>
      <c r="F28" s="1018"/>
      <c r="G28" s="1029"/>
      <c r="H28" s="1403"/>
    </row>
    <row r="29" spans="1:21" hidden="1">
      <c r="A29" s="1021"/>
      <c r="B29" s="1018"/>
      <c r="C29" s="1018"/>
      <c r="D29" s="1106" t="s">
        <v>35</v>
      </c>
      <c r="E29" s="1106" t="s">
        <v>34</v>
      </c>
      <c r="F29" s="1106" t="s">
        <v>33</v>
      </c>
      <c r="G29" s="1029"/>
      <c r="H29" s="1403"/>
    </row>
    <row r="30" spans="1:21" hidden="1">
      <c r="A30" s="1021"/>
      <c r="B30" s="1022" t="s">
        <v>101</v>
      </c>
      <c r="C30" s="1069"/>
      <c r="D30" s="1326">
        <f>SUM(D23:D28)</f>
        <v>38000</v>
      </c>
      <c r="E30" s="1326">
        <f>SUMPRODUCT(D23:D28,E23:E28)</f>
        <v>42180</v>
      </c>
      <c r="F30" s="1326">
        <f>SUMPRODUCT(E23:E28,F23:F28,D23:D28)</f>
        <v>50616</v>
      </c>
      <c r="G30" s="1029"/>
      <c r="H30" s="1403"/>
    </row>
    <row r="31" spans="1:21" hidden="1"/>
    <row r="32" spans="1:21" hidden="1"/>
    <row r="33" spans="1:17" ht="15.75" hidden="1">
      <c r="A33" s="1291">
        <v>3</v>
      </c>
      <c r="B33" s="1071" t="s">
        <v>83</v>
      </c>
      <c r="C33" s="1384"/>
      <c r="D33" s="1384"/>
      <c r="E33" s="1384"/>
      <c r="F33" s="1384"/>
      <c r="G33" s="1018"/>
    </row>
    <row r="34" spans="1:17" hidden="1">
      <c r="A34" s="1021"/>
      <c r="B34" s="1018"/>
      <c r="C34" s="1018"/>
      <c r="D34" s="1018"/>
      <c r="E34" s="1018"/>
      <c r="F34" s="1323" t="s">
        <v>334</v>
      </c>
      <c r="G34" s="1323"/>
    </row>
    <row r="35" spans="1:17" hidden="1">
      <c r="A35" s="1021"/>
      <c r="B35" s="1018"/>
      <c r="C35" s="1018"/>
      <c r="D35" s="1024" t="s">
        <v>333</v>
      </c>
      <c r="E35" s="1317" t="s">
        <v>367</v>
      </c>
      <c r="F35" s="1024" t="s">
        <v>34</v>
      </c>
      <c r="G35" s="1024" t="s">
        <v>33</v>
      </c>
    </row>
    <row r="36" spans="1:17" hidden="1">
      <c r="A36" s="1018"/>
      <c r="B36" s="1379" t="s">
        <v>332</v>
      </c>
      <c r="C36" s="1030"/>
      <c r="D36" s="517">
        <v>5000</v>
      </c>
      <c r="E36" s="420">
        <v>200</v>
      </c>
      <c r="F36" s="518">
        <v>1.1100000000000001</v>
      </c>
      <c r="G36" s="518">
        <v>1.2</v>
      </c>
    </row>
    <row r="37" spans="1:17" hidden="1">
      <c r="A37" s="1018"/>
      <c r="B37" s="1018"/>
      <c r="C37" s="1018"/>
      <c r="D37" s="1018"/>
      <c r="E37" s="1018"/>
      <c r="F37" s="1018"/>
      <c r="G37" s="1018"/>
    </row>
    <row r="38" spans="1:17" hidden="1">
      <c r="A38" s="1021"/>
      <c r="B38" s="1018"/>
      <c r="C38" s="440"/>
      <c r="D38" s="1106" t="s">
        <v>35</v>
      </c>
      <c r="E38" s="1106" t="s">
        <v>34</v>
      </c>
      <c r="F38" s="1106" t="s">
        <v>33</v>
      </c>
      <c r="G38" s="1018"/>
    </row>
    <row r="39" spans="1:17" hidden="1">
      <c r="A39" s="1018"/>
      <c r="B39" s="1022" t="s">
        <v>101</v>
      </c>
      <c r="C39" s="1069"/>
      <c r="D39" s="1381">
        <f>SUM(D36:D37)</f>
        <v>5000</v>
      </c>
      <c r="E39" s="1381">
        <f>SUMPRODUCT(D36:D37,F36:F37)</f>
        <v>5550.0000000000009</v>
      </c>
      <c r="F39" s="1381">
        <f>SUMPRODUCT(D36:D37,G36:G37,F36:F37)</f>
        <v>6660.0000000000009</v>
      </c>
      <c r="G39" s="1018"/>
    </row>
    <row r="40" spans="1:17" hidden="1"/>
    <row r="41" spans="1:17" hidden="1"/>
    <row r="42" spans="1:17" hidden="1"/>
    <row r="45" spans="1:17">
      <c r="A45" s="1010"/>
      <c r="B45" s="1010"/>
      <c r="C45" s="1010"/>
      <c r="D45" s="1010"/>
      <c r="E45" s="1010"/>
      <c r="F45" s="1010"/>
      <c r="G45" s="1010"/>
      <c r="I45" s="1010"/>
      <c r="K45" s="1010"/>
      <c r="M45" s="1010"/>
      <c r="N45" s="1010"/>
      <c r="O45" s="1010"/>
      <c r="P45" s="1010"/>
      <c r="Q45" s="1010"/>
    </row>
    <row r="46" spans="1:17" ht="15.75">
      <c r="A46" s="1330">
        <v>2</v>
      </c>
      <c r="B46" s="1016" t="s">
        <v>710</v>
      </c>
      <c r="C46" s="1329"/>
      <c r="D46" s="1329"/>
      <c r="E46" s="1409"/>
      <c r="F46" s="1409"/>
      <c r="G46" s="1010"/>
      <c r="I46" s="1010"/>
      <c r="K46" s="1010"/>
      <c r="M46" s="1010"/>
      <c r="N46" s="1010"/>
      <c r="O46" s="1010"/>
      <c r="P46" s="1010"/>
      <c r="Q46" s="1010"/>
    </row>
    <row r="47" spans="1:17" ht="13.5" thickBot="1">
      <c r="A47" s="1010"/>
      <c r="B47" s="1010"/>
      <c r="C47" s="1010"/>
      <c r="D47" s="1010"/>
      <c r="E47" s="1410"/>
      <c r="F47" s="1410"/>
      <c r="G47" s="1010"/>
      <c r="I47" s="1010"/>
      <c r="K47" s="1010"/>
      <c r="M47" s="1010"/>
      <c r="N47" s="1010"/>
      <c r="O47" s="1010"/>
      <c r="P47" s="1010"/>
      <c r="Q47" s="1010"/>
    </row>
    <row r="48" spans="1:17">
      <c r="A48" s="1010"/>
      <c r="B48" s="1010"/>
      <c r="C48" s="1010"/>
      <c r="D48" s="1029" t="s">
        <v>523</v>
      </c>
      <c r="E48" s="1411" t="s">
        <v>659</v>
      </c>
      <c r="F48" s="1412"/>
      <c r="G48" s="1413" t="s">
        <v>35</v>
      </c>
      <c r="H48" s="1414"/>
      <c r="I48" s="1413" t="s">
        <v>34</v>
      </c>
      <c r="J48" s="1414"/>
      <c r="K48" s="1413" t="s">
        <v>33</v>
      </c>
      <c r="L48" s="1414"/>
      <c r="M48" s="1010"/>
      <c r="N48" s="1010"/>
      <c r="O48" s="1010"/>
      <c r="P48" s="1010"/>
      <c r="Q48" s="1010"/>
    </row>
    <row r="49" spans="1:17">
      <c r="A49" s="1010"/>
      <c r="B49" s="1018"/>
      <c r="C49" s="1010"/>
      <c r="D49" s="1093" t="s">
        <v>35</v>
      </c>
      <c r="E49" s="1415" t="s">
        <v>34</v>
      </c>
      <c r="F49" s="1416" t="s">
        <v>33</v>
      </c>
      <c r="G49" s="1417" t="s">
        <v>526</v>
      </c>
      <c r="H49" s="1418" t="s">
        <v>524</v>
      </c>
      <c r="I49" s="1417" t="s">
        <v>526</v>
      </c>
      <c r="J49" s="1418" t="s">
        <v>524</v>
      </c>
      <c r="K49" s="1417" t="s">
        <v>526</v>
      </c>
      <c r="L49" s="1418" t="s">
        <v>524</v>
      </c>
      <c r="M49" s="1010"/>
      <c r="N49" s="1010"/>
      <c r="O49" s="1010"/>
      <c r="P49" s="1010"/>
      <c r="Q49" s="1010"/>
    </row>
    <row r="50" spans="1:17" ht="15">
      <c r="A50" s="1010"/>
      <c r="B50" s="1419" t="s">
        <v>561</v>
      </c>
      <c r="C50" s="1010" t="s">
        <v>192</v>
      </c>
      <c r="D50" s="1452">
        <v>26000</v>
      </c>
      <c r="E50" s="440"/>
      <c r="F50" s="440"/>
      <c r="G50" s="1420"/>
      <c r="H50" s="1418"/>
      <c r="I50" s="1420"/>
      <c r="J50" s="1418"/>
      <c r="K50" s="1420"/>
      <c r="L50" s="1418"/>
      <c r="M50" s="1010"/>
      <c r="N50" s="1010"/>
      <c r="O50" s="1010"/>
      <c r="P50" s="1010"/>
      <c r="Q50" s="1010"/>
    </row>
    <row r="51" spans="1:17" ht="15">
      <c r="A51" s="1010"/>
      <c r="B51" s="1419"/>
      <c r="C51" s="1078" t="s">
        <v>527</v>
      </c>
      <c r="D51" s="1453">
        <v>30000</v>
      </c>
      <c r="E51" s="261">
        <v>0.1</v>
      </c>
      <c r="F51" s="1454">
        <v>0.1</v>
      </c>
      <c r="G51" s="1455">
        <v>1</v>
      </c>
      <c r="H51" s="1421">
        <f>employcompcsalesfy1*D51</f>
        <v>30000</v>
      </c>
      <c r="I51" s="1455">
        <v>1</v>
      </c>
      <c r="J51" s="1421">
        <f>employcompcsalesfy2*(1+E51)*D51</f>
        <v>33000</v>
      </c>
      <c r="K51" s="1455">
        <v>1</v>
      </c>
      <c r="L51" s="1421">
        <f>employcompcsalesfy3*(1+E51)*(1+F51)*D51</f>
        <v>36300.000000000007</v>
      </c>
      <c r="M51" s="1010"/>
      <c r="N51" s="1010"/>
      <c r="O51" s="1010"/>
      <c r="P51" s="1010"/>
      <c r="Q51" s="1010"/>
    </row>
    <row r="52" spans="1:17" ht="15">
      <c r="A52" s="1010"/>
      <c r="B52" s="1419"/>
      <c r="C52" s="1010" t="s">
        <v>523</v>
      </c>
      <c r="D52" s="1452">
        <v>28000</v>
      </c>
      <c r="E52" s="440"/>
      <c r="F52" s="440"/>
      <c r="G52" s="1422"/>
      <c r="H52" s="1421"/>
      <c r="I52" s="1422"/>
      <c r="J52" s="1421"/>
      <c r="K52" s="1422"/>
      <c r="L52" s="1421"/>
      <c r="M52" s="1010"/>
      <c r="N52" s="1010"/>
      <c r="O52" s="1010"/>
      <c r="P52" s="1010"/>
      <c r="Q52" s="1010"/>
    </row>
    <row r="53" spans="1:17" ht="15">
      <c r="A53" s="1010"/>
      <c r="B53" s="1419"/>
      <c r="C53" s="1010" t="s">
        <v>191</v>
      </c>
      <c r="D53" s="1452">
        <v>32000</v>
      </c>
      <c r="E53" s="440"/>
      <c r="F53" s="440"/>
      <c r="G53" s="1422"/>
      <c r="H53" s="1421"/>
      <c r="I53" s="1422"/>
      <c r="J53" s="1421"/>
      <c r="K53" s="1422"/>
      <c r="L53" s="1421"/>
      <c r="M53" s="1010"/>
      <c r="N53" s="1010"/>
      <c r="O53" s="1010"/>
      <c r="P53" s="1010"/>
      <c r="Q53" s="1010"/>
    </row>
    <row r="54" spans="1:17" ht="15">
      <c r="A54" s="1010"/>
      <c r="B54" s="1419"/>
      <c r="C54" s="1010"/>
      <c r="D54" s="1403"/>
      <c r="E54" s="440"/>
      <c r="F54" s="440"/>
      <c r="G54" s="1422"/>
      <c r="H54" s="1421"/>
      <c r="I54" s="1422"/>
      <c r="J54" s="1421"/>
      <c r="K54" s="1422"/>
      <c r="L54" s="1421"/>
      <c r="M54" s="1010"/>
      <c r="N54" s="1010"/>
      <c r="O54" s="1010"/>
      <c r="P54" s="1010"/>
      <c r="Q54" s="1010"/>
    </row>
    <row r="55" spans="1:17" ht="15">
      <c r="A55" s="1010"/>
      <c r="B55" s="1423" t="s">
        <v>562</v>
      </c>
      <c r="C55" s="1010" t="s">
        <v>192</v>
      </c>
      <c r="D55" s="1452">
        <v>23000</v>
      </c>
      <c r="E55" s="440"/>
      <c r="F55" s="440"/>
      <c r="G55" s="1417"/>
      <c r="H55" s="1421"/>
      <c r="I55" s="1417"/>
      <c r="J55" s="1421"/>
      <c r="K55" s="1417"/>
      <c r="L55" s="1421"/>
      <c r="M55" s="1010"/>
      <c r="N55" s="1010"/>
      <c r="O55" s="1010"/>
      <c r="P55" s="1010"/>
      <c r="Q55" s="1010"/>
    </row>
    <row r="56" spans="1:17" ht="15">
      <c r="A56" s="1010"/>
      <c r="B56" s="1423"/>
      <c r="C56" s="1078" t="s">
        <v>527</v>
      </c>
      <c r="D56" s="1453">
        <v>24000</v>
      </c>
      <c r="E56" s="261">
        <v>0.05</v>
      </c>
      <c r="F56" s="1454">
        <v>0.05</v>
      </c>
      <c r="G56" s="1455">
        <v>0.25</v>
      </c>
      <c r="H56" s="1421">
        <f>G56*D56</f>
        <v>6000</v>
      </c>
      <c r="I56" s="1455">
        <v>0.25</v>
      </c>
      <c r="J56" s="1421">
        <f>I56*D56*(1+E56)</f>
        <v>6300</v>
      </c>
      <c r="K56" s="1455">
        <v>0.25</v>
      </c>
      <c r="L56" s="1421">
        <f>K56*D56*(1+E56)*(F56+1)</f>
        <v>6615</v>
      </c>
      <c r="M56" s="1010"/>
      <c r="N56" s="1010"/>
      <c r="O56" s="1010"/>
      <c r="P56" s="1010"/>
      <c r="Q56" s="1010"/>
    </row>
    <row r="57" spans="1:17" ht="15">
      <c r="A57" s="1010"/>
      <c r="B57" s="1423"/>
      <c r="C57" s="1010" t="s">
        <v>523</v>
      </c>
      <c r="D57" s="1452">
        <v>25000</v>
      </c>
      <c r="E57" s="440"/>
      <c r="F57" s="440"/>
      <c r="G57" s="1422"/>
      <c r="H57" s="1418"/>
      <c r="I57" s="1422"/>
      <c r="J57" s="1418"/>
      <c r="K57" s="1422"/>
      <c r="L57" s="1418"/>
      <c r="M57" s="1010"/>
      <c r="N57" s="1010"/>
      <c r="O57" s="1010"/>
      <c r="P57" s="1010"/>
      <c r="Q57" s="1010"/>
    </row>
    <row r="58" spans="1:17" ht="15.75" thickBot="1">
      <c r="A58" s="1010"/>
      <c r="B58" s="1423"/>
      <c r="C58" s="1010" t="s">
        <v>191</v>
      </c>
      <c r="D58" s="1452">
        <v>27000</v>
      </c>
      <c r="E58" s="440"/>
      <c r="F58" s="440"/>
      <c r="G58" s="1424"/>
      <c r="H58" s="1425"/>
      <c r="I58" s="1426"/>
      <c r="J58" s="1427"/>
      <c r="K58" s="1426"/>
      <c r="L58" s="1427"/>
      <c r="M58" s="1010"/>
      <c r="N58" s="1010"/>
      <c r="O58" s="1010"/>
      <c r="P58" s="1010"/>
      <c r="Q58" s="1010"/>
    </row>
    <row r="59" spans="1:17" ht="15" customHeight="1">
      <c r="A59" s="1010"/>
      <c r="B59" s="1010"/>
      <c r="C59" s="1010"/>
      <c r="D59" s="1093"/>
      <c r="E59" s="1428" t="s">
        <v>528</v>
      </c>
      <c r="F59" s="1429"/>
      <c r="G59" s="1430">
        <f t="shared" ref="G59:L59" si="0">SUM(G50:G58)</f>
        <v>1.25</v>
      </c>
      <c r="H59" s="1431">
        <f t="shared" si="0"/>
        <v>36000</v>
      </c>
      <c r="I59" s="1432">
        <f t="shared" si="0"/>
        <v>1.25</v>
      </c>
      <c r="J59" s="1431">
        <f t="shared" si="0"/>
        <v>39300</v>
      </c>
      <c r="K59" s="1433">
        <f t="shared" si="0"/>
        <v>1.25</v>
      </c>
      <c r="L59" s="1431">
        <f t="shared" si="0"/>
        <v>42915.000000000007</v>
      </c>
      <c r="M59" s="1010"/>
      <c r="N59" s="1010"/>
      <c r="O59" s="1010"/>
      <c r="P59" s="1010"/>
      <c r="Q59" s="1010"/>
    </row>
    <row r="60" spans="1:17">
      <c r="A60" s="1010"/>
      <c r="B60" s="1010"/>
      <c r="C60" s="1010"/>
      <c r="D60" s="1093"/>
      <c r="E60" s="1434"/>
      <c r="F60" s="1435"/>
      <c r="G60" s="1436">
        <f>SalesmensNumber("EmployeesRangeOrg")</f>
        <v>1</v>
      </c>
      <c r="H60" s="1437">
        <f>SalesmenBudget("EmployeesRangeOrg",1)</f>
        <v>36000</v>
      </c>
      <c r="I60" s="1417"/>
      <c r="J60" s="1438">
        <f>SalesmenBudget("EmployeesRangeOrg",2)</f>
        <v>39600</v>
      </c>
      <c r="K60" s="1439"/>
      <c r="L60" s="1438">
        <f>SalesmenBudget("EmployeesRangeOrg",3)</f>
        <v>43956.000000000007</v>
      </c>
      <c r="M60" s="1010"/>
      <c r="N60" s="1010"/>
      <c r="O60" s="1010"/>
      <c r="P60" s="1010"/>
      <c r="Q60" s="1010"/>
    </row>
    <row r="61" spans="1:17" ht="15.75" customHeight="1" thickBot="1">
      <c r="A61" s="1010"/>
      <c r="B61" s="1010"/>
      <c r="C61" s="1010"/>
      <c r="D61" s="1093"/>
      <c r="E61" s="1440" t="s">
        <v>530</v>
      </c>
      <c r="F61" s="1441"/>
      <c r="G61" s="1442">
        <f>G60-G59</f>
        <v>-0.25</v>
      </c>
      <c r="H61" s="1425">
        <f>H60-H59</f>
        <v>0</v>
      </c>
      <c r="I61" s="1424"/>
      <c r="J61" s="1425">
        <f>J60-J59</f>
        <v>300</v>
      </c>
      <c r="K61" s="1443"/>
      <c r="L61" s="1425">
        <f>L60-L59</f>
        <v>1041</v>
      </c>
      <c r="M61" s="1010"/>
      <c r="N61" s="1010"/>
      <c r="O61" s="1010"/>
      <c r="P61" s="1010"/>
      <c r="Q61" s="1010"/>
    </row>
    <row r="62" spans="1:17" ht="16.5" thickBot="1">
      <c r="A62" s="1330">
        <v>3</v>
      </c>
      <c r="B62" s="1016" t="s">
        <v>711</v>
      </c>
      <c r="C62" s="1329"/>
      <c r="D62" s="1329"/>
      <c r="E62" s="1409"/>
      <c r="F62" s="1409"/>
      <c r="G62" s="1010"/>
      <c r="I62" s="1010"/>
      <c r="K62" s="1010"/>
      <c r="M62" s="1010"/>
      <c r="N62" s="1010"/>
      <c r="O62" s="1010"/>
      <c r="P62" s="1010"/>
      <c r="Q62" s="1010"/>
    </row>
    <row r="63" spans="1:17" ht="15">
      <c r="A63" s="1010"/>
      <c r="B63" s="1444"/>
      <c r="C63" s="1010"/>
      <c r="D63" s="1029" t="s">
        <v>523</v>
      </c>
      <c r="E63" s="1411" t="s">
        <v>659</v>
      </c>
      <c r="F63" s="1412"/>
      <c r="G63" s="1413" t="s">
        <v>35</v>
      </c>
      <c r="H63" s="1414"/>
      <c r="I63" s="1413" t="s">
        <v>34</v>
      </c>
      <c r="J63" s="1414"/>
      <c r="K63" s="1413" t="s">
        <v>33</v>
      </c>
      <c r="L63" s="1414"/>
      <c r="M63" s="1010"/>
      <c r="N63" s="1010"/>
      <c r="O63" s="1010"/>
      <c r="P63" s="1010"/>
      <c r="Q63" s="1010"/>
    </row>
    <row r="64" spans="1:17" ht="15">
      <c r="A64" s="1010"/>
      <c r="B64" s="1423"/>
      <c r="C64" s="1010"/>
      <c r="D64" s="1093" t="s">
        <v>35</v>
      </c>
      <c r="E64" s="1415" t="s">
        <v>34</v>
      </c>
      <c r="F64" s="1416" t="s">
        <v>33</v>
      </c>
      <c r="G64" s="1417" t="s">
        <v>526</v>
      </c>
      <c r="H64" s="1418" t="s">
        <v>524</v>
      </c>
      <c r="I64" s="1417" t="s">
        <v>526</v>
      </c>
      <c r="J64" s="1418" t="s">
        <v>524</v>
      </c>
      <c r="K64" s="1417" t="s">
        <v>526</v>
      </c>
      <c r="L64" s="1418" t="s">
        <v>524</v>
      </c>
      <c r="M64" s="1010"/>
      <c r="N64" s="1010"/>
      <c r="O64" s="1010"/>
      <c r="P64" s="1010"/>
      <c r="Q64" s="1010"/>
    </row>
    <row r="65" spans="1:17" ht="15">
      <c r="A65" s="1010"/>
      <c r="B65" s="1419" t="s">
        <v>713</v>
      </c>
      <c r="C65" s="1010" t="s">
        <v>192</v>
      </c>
      <c r="D65" s="1452">
        <v>25000</v>
      </c>
      <c r="E65" s="440"/>
      <c r="F65" s="440"/>
      <c r="G65" s="1420"/>
      <c r="H65" s="1418"/>
      <c r="I65" s="1420"/>
      <c r="J65" s="1418"/>
      <c r="K65" s="1420"/>
      <c r="L65" s="1418"/>
      <c r="M65" s="1010"/>
      <c r="N65" s="1010"/>
      <c r="O65" s="1010"/>
      <c r="P65" s="1010"/>
      <c r="Q65" s="1010"/>
    </row>
    <row r="66" spans="1:17" ht="15">
      <c r="A66" s="1010"/>
      <c r="B66" s="1419"/>
      <c r="C66" s="1078" t="s">
        <v>527</v>
      </c>
      <c r="D66" s="1453">
        <v>40000</v>
      </c>
      <c r="E66" s="261">
        <v>0.06</v>
      </c>
      <c r="F66" s="1454">
        <v>0.06</v>
      </c>
      <c r="G66" s="1455">
        <v>1</v>
      </c>
      <c r="H66" s="1421">
        <f>employcompcworkfy1*D66</f>
        <v>40000</v>
      </c>
      <c r="I66" s="1455">
        <v>1</v>
      </c>
      <c r="J66" s="1421">
        <f>employcompcworkfy2*(1+E66)*D66</f>
        <v>42400</v>
      </c>
      <c r="K66" s="1455">
        <v>1</v>
      </c>
      <c r="L66" s="1421">
        <f>employcompcworkfy3*(1+E66)*D66*(1+F66)</f>
        <v>44944</v>
      </c>
      <c r="M66" s="1010"/>
      <c r="N66" s="1010"/>
      <c r="O66" s="1010"/>
      <c r="P66" s="1010"/>
      <c r="Q66" s="1010"/>
    </row>
    <row r="67" spans="1:17" ht="15">
      <c r="A67" s="1010"/>
      <c r="B67" s="1419"/>
      <c r="C67" s="1010" t="s">
        <v>523</v>
      </c>
      <c r="D67" s="1452">
        <v>29000</v>
      </c>
      <c r="E67" s="440"/>
      <c r="F67" s="440"/>
      <c r="G67" s="1422"/>
      <c r="H67" s="1421"/>
      <c r="I67" s="1422"/>
      <c r="J67" s="1421"/>
      <c r="K67" s="1422"/>
      <c r="L67" s="1421"/>
      <c r="M67" s="1010"/>
      <c r="N67" s="1010"/>
      <c r="O67" s="1010"/>
      <c r="P67" s="1010"/>
      <c r="Q67" s="1010"/>
    </row>
    <row r="68" spans="1:17" ht="15">
      <c r="A68" s="1010"/>
      <c r="B68" s="1419"/>
      <c r="C68" s="1010" t="s">
        <v>191</v>
      </c>
      <c r="D68" s="1452">
        <v>32000</v>
      </c>
      <c r="E68" s="440"/>
      <c r="F68" s="440"/>
      <c r="G68" s="1422"/>
      <c r="H68" s="1421"/>
      <c r="I68" s="1422"/>
      <c r="J68" s="1421"/>
      <c r="K68" s="1422"/>
      <c r="L68" s="1421"/>
      <c r="M68" s="1010"/>
      <c r="N68" s="1010"/>
      <c r="O68" s="1010"/>
      <c r="P68" s="1010"/>
      <c r="Q68" s="1010"/>
    </row>
    <row r="69" spans="1:17" ht="15">
      <c r="A69" s="1010"/>
      <c r="B69" s="1419"/>
      <c r="C69" s="1010"/>
      <c r="D69" s="1403"/>
      <c r="E69" s="440"/>
      <c r="F69" s="440"/>
      <c r="G69" s="1422"/>
      <c r="H69" s="1421"/>
      <c r="I69" s="1422"/>
      <c r="J69" s="1421"/>
      <c r="K69" s="1422"/>
      <c r="L69" s="1421"/>
      <c r="M69" s="1010"/>
      <c r="N69" s="1010"/>
      <c r="O69" s="1010"/>
      <c r="P69" s="1010"/>
      <c r="Q69" s="1010"/>
    </row>
    <row r="70" spans="1:17" ht="15">
      <c r="A70" s="1010"/>
      <c r="B70" s="1423" t="s">
        <v>712</v>
      </c>
      <c r="C70" s="1010" t="s">
        <v>192</v>
      </c>
      <c r="D70" s="1452">
        <v>15000</v>
      </c>
      <c r="E70" s="440"/>
      <c r="F70" s="440"/>
      <c r="G70" s="1417"/>
      <c r="H70" s="1421"/>
      <c r="I70" s="1417"/>
      <c r="J70" s="1421"/>
      <c r="K70" s="1417"/>
      <c r="L70" s="1421"/>
      <c r="M70" s="1010"/>
      <c r="N70" s="1010"/>
      <c r="O70" s="1010"/>
      <c r="P70" s="1010"/>
      <c r="Q70" s="1010"/>
    </row>
    <row r="71" spans="1:17">
      <c r="A71" s="1010"/>
      <c r="B71" s="1018"/>
      <c r="C71" s="1078" t="s">
        <v>527</v>
      </c>
      <c r="D71" s="1453">
        <v>24000</v>
      </c>
      <c r="E71" s="261">
        <v>0.02</v>
      </c>
      <c r="F71" s="1454">
        <v>0.02</v>
      </c>
      <c r="G71" s="1455">
        <v>0.25</v>
      </c>
      <c r="H71" s="1421">
        <f>G71*D71</f>
        <v>6000</v>
      </c>
      <c r="I71" s="1455">
        <v>0.25</v>
      </c>
      <c r="J71" s="1421">
        <f>I71*D71*(1+E71)</f>
        <v>6120</v>
      </c>
      <c r="K71" s="1455">
        <v>0.25</v>
      </c>
      <c r="L71" s="1421">
        <f>D71*(E71+1)*(F71+1)*K71</f>
        <v>6242.4000000000005</v>
      </c>
      <c r="M71" s="1010"/>
      <c r="N71" s="1010"/>
      <c r="O71" s="1010"/>
      <c r="P71" s="1010"/>
      <c r="Q71" s="1010"/>
    </row>
    <row r="72" spans="1:17">
      <c r="A72" s="1010"/>
      <c r="B72" s="1010"/>
      <c r="C72" s="1010" t="s">
        <v>523</v>
      </c>
      <c r="D72" s="1452">
        <v>20000</v>
      </c>
      <c r="E72" s="440"/>
      <c r="F72" s="440"/>
      <c r="G72" s="1422"/>
      <c r="H72" s="1418"/>
      <c r="I72" s="1422"/>
      <c r="J72" s="1418"/>
      <c r="K72" s="1422"/>
      <c r="L72" s="1418"/>
      <c r="M72" s="1010"/>
      <c r="N72" s="1010"/>
      <c r="O72" s="1010"/>
      <c r="P72" s="1010"/>
      <c r="Q72" s="1010"/>
    </row>
    <row r="73" spans="1:17" ht="13.5" thickBot="1">
      <c r="A73" s="1010"/>
      <c r="B73" s="1010"/>
      <c r="C73" s="1010" t="s">
        <v>191</v>
      </c>
      <c r="D73" s="1452">
        <v>22000</v>
      </c>
      <c r="E73" s="440"/>
      <c r="F73" s="440"/>
      <c r="G73" s="1424"/>
      <c r="H73" s="1425"/>
      <c r="I73" s="1426"/>
      <c r="J73" s="1427"/>
      <c r="K73" s="1426"/>
      <c r="L73" s="1427"/>
      <c r="M73" s="1010"/>
      <c r="N73" s="1348"/>
      <c r="O73" s="1010"/>
      <c r="P73" s="1010"/>
      <c r="Q73" s="1010"/>
    </row>
    <row r="74" spans="1:17" ht="15" customHeight="1">
      <c r="A74" s="1010"/>
      <c r="B74" s="1010"/>
      <c r="C74" s="1010"/>
      <c r="D74" s="1093"/>
      <c r="E74" s="1428" t="s">
        <v>528</v>
      </c>
      <c r="F74" s="1429"/>
      <c r="G74" s="1445">
        <f t="shared" ref="G74:L74" si="1">SUM(G65:G73)</f>
        <v>1.25</v>
      </c>
      <c r="H74" s="1446">
        <f t="shared" si="1"/>
        <v>46000</v>
      </c>
      <c r="I74" s="1445">
        <f t="shared" si="1"/>
        <v>1.25</v>
      </c>
      <c r="J74" s="1446">
        <f t="shared" si="1"/>
        <v>48520</v>
      </c>
      <c r="K74" s="1447">
        <f t="shared" si="1"/>
        <v>1.25</v>
      </c>
      <c r="L74" s="1446">
        <f t="shared" si="1"/>
        <v>51186.400000000001</v>
      </c>
      <c r="M74" s="1010"/>
      <c r="N74" s="1348"/>
      <c r="O74" s="1010"/>
      <c r="P74" s="1010"/>
      <c r="Q74" s="1010"/>
    </row>
    <row r="75" spans="1:17" ht="15" customHeight="1">
      <c r="A75" s="1010"/>
      <c r="B75" s="1010"/>
      <c r="C75" s="1010"/>
      <c r="D75" s="1093"/>
      <c r="E75" s="1434" t="s">
        <v>529</v>
      </c>
      <c r="F75" s="1435"/>
      <c r="G75" s="1417"/>
      <c r="H75" s="1438">
        <f>SumsLabor("Labor","FY-1")</f>
        <v>46737.298373762402</v>
      </c>
      <c r="I75" s="1417"/>
      <c r="J75" s="1438">
        <f>SumsLabor("Labor","FY-2")</f>
        <v>49265.200000000004</v>
      </c>
      <c r="K75" s="1439"/>
      <c r="L75" s="1438">
        <f>SumsLabor("Labor","FY-3")</f>
        <v>54659.199999999997</v>
      </c>
      <c r="M75" s="1010"/>
      <c r="N75" s="1348"/>
      <c r="O75" s="1010"/>
      <c r="P75" s="1010"/>
      <c r="Q75" s="1010"/>
    </row>
    <row r="76" spans="1:17" ht="15.75" customHeight="1" thickBot="1">
      <c r="A76" s="1010"/>
      <c r="B76" s="1010"/>
      <c r="C76" s="1010"/>
      <c r="D76" s="1093"/>
      <c r="E76" s="1440" t="s">
        <v>530</v>
      </c>
      <c r="F76" s="1441"/>
      <c r="G76" s="1424"/>
      <c r="H76" s="1425">
        <f>H75-H74</f>
        <v>737.29837376240175</v>
      </c>
      <c r="I76" s="1424"/>
      <c r="J76" s="1425">
        <f>J75-J74</f>
        <v>745.20000000000437</v>
      </c>
      <c r="K76" s="1443"/>
      <c r="L76" s="1425">
        <f>L75-L74</f>
        <v>3472.7999999999956</v>
      </c>
      <c r="M76" s="1010"/>
      <c r="N76" s="1010"/>
      <c r="O76" s="1010"/>
      <c r="P76" s="1010"/>
      <c r="Q76" s="1010"/>
    </row>
    <row r="77" spans="1:17">
      <c r="A77" s="1010"/>
      <c r="B77" s="1010"/>
      <c r="C77" s="1010"/>
      <c r="D77" s="1010"/>
      <c r="E77" s="1410"/>
      <c r="F77" s="1410"/>
      <c r="G77" s="1010"/>
      <c r="I77" s="1010"/>
      <c r="K77" s="1010"/>
      <c r="M77" s="1010"/>
      <c r="N77" s="1010"/>
      <c r="O77" s="1010"/>
      <c r="P77" s="1010"/>
      <c r="Q77" s="1010"/>
    </row>
    <row r="78" spans="1:17">
      <c r="A78" s="1010"/>
      <c r="B78" s="1010"/>
      <c r="C78" s="1010"/>
      <c r="D78" s="1010"/>
      <c r="E78" s="1448"/>
      <c r="F78" s="1448"/>
      <c r="G78" s="1010"/>
      <c r="I78" s="1010"/>
      <c r="K78" s="1010"/>
      <c r="M78" s="1010"/>
      <c r="N78" s="1010"/>
      <c r="O78" s="1010"/>
      <c r="P78" s="1010"/>
      <c r="Q78" s="1010"/>
    </row>
    <row r="79" spans="1:17">
      <c r="A79" s="1010"/>
      <c r="B79" s="1010"/>
      <c r="C79" s="1010"/>
      <c r="D79" s="1010"/>
      <c r="E79" s="1410"/>
      <c r="F79" s="1410"/>
      <c r="G79" s="1010"/>
      <c r="I79" s="1010"/>
      <c r="K79" s="1010"/>
      <c r="M79" s="1010"/>
      <c r="N79" s="1010"/>
      <c r="O79" s="1010"/>
      <c r="P79" s="1010"/>
      <c r="Q79" s="1010"/>
    </row>
    <row r="80" spans="1:17">
      <c r="A80" s="1010"/>
      <c r="B80" s="1010"/>
      <c r="C80" s="1010"/>
      <c r="D80" s="1010"/>
      <c r="E80" s="1410"/>
      <c r="F80" s="1410"/>
      <c r="G80" s="1010"/>
      <c r="I80" s="1010"/>
      <c r="K80" s="1010"/>
      <c r="M80" s="1010"/>
      <c r="N80" s="1010"/>
      <c r="O80" s="1010"/>
      <c r="P80" s="1010"/>
      <c r="Q80" s="1010"/>
    </row>
    <row r="81" spans="1:17">
      <c r="A81" s="1010"/>
      <c r="B81" s="1010"/>
      <c r="C81" s="1010"/>
      <c r="D81" s="1010"/>
      <c r="E81" s="1410"/>
      <c r="F81" s="1410"/>
      <c r="G81" s="1010"/>
      <c r="I81" s="1010"/>
      <c r="K81" s="1010"/>
      <c r="M81" s="1010"/>
      <c r="N81" s="1010"/>
      <c r="O81" s="1010"/>
      <c r="P81" s="1010"/>
      <c r="Q81" s="1010"/>
    </row>
    <row r="82" spans="1:17">
      <c r="A82" s="1010"/>
      <c r="B82" s="1010"/>
      <c r="C82" s="1010"/>
      <c r="D82" s="1010"/>
      <c r="E82" s="1410"/>
      <c r="F82" s="1410"/>
      <c r="G82" s="1010"/>
      <c r="I82" s="1010"/>
      <c r="K82" s="1010"/>
      <c r="M82" s="1010"/>
      <c r="N82" s="1010"/>
      <c r="O82" s="1010"/>
      <c r="P82" s="1010"/>
      <c r="Q82" s="1010"/>
    </row>
    <row r="83" spans="1:17">
      <c r="A83" s="1010"/>
      <c r="B83" s="1010"/>
      <c r="C83" s="1010"/>
      <c r="D83" s="1010"/>
      <c r="E83" s="1410"/>
      <c r="F83" s="1410"/>
      <c r="G83" s="1010"/>
      <c r="I83" s="1010"/>
      <c r="K83" s="1010"/>
      <c r="M83" s="1010"/>
      <c r="N83" s="1010"/>
      <c r="O83" s="1010"/>
      <c r="P83" s="1010"/>
      <c r="Q83" s="1010"/>
    </row>
    <row r="84" spans="1:17">
      <c r="A84" s="1010"/>
      <c r="B84" s="1010"/>
      <c r="C84" s="1449"/>
      <c r="D84" s="1449"/>
      <c r="E84" s="1410"/>
      <c r="F84" s="1410"/>
      <c r="G84" s="1010"/>
      <c r="I84" s="1010"/>
      <c r="K84" s="1010"/>
      <c r="M84" s="1010"/>
      <c r="N84" s="1010"/>
      <c r="O84" s="1010"/>
      <c r="P84" s="1010"/>
      <c r="Q84" s="1010"/>
    </row>
    <row r="85" spans="1:17">
      <c r="A85" s="1010"/>
      <c r="B85" s="1010"/>
      <c r="C85" s="1449"/>
      <c r="D85" s="1449"/>
      <c r="E85" s="1410"/>
      <c r="F85" s="1410"/>
      <c r="G85" s="1010"/>
      <c r="I85" s="1010"/>
      <c r="K85" s="1010"/>
      <c r="M85" s="1010"/>
      <c r="N85" s="1010"/>
      <c r="O85" s="1010"/>
      <c r="P85" s="1010"/>
      <c r="Q85" s="1010"/>
    </row>
    <row r="86" spans="1:17">
      <c r="A86" s="1010"/>
      <c r="B86" s="1010"/>
      <c r="C86" s="1010"/>
      <c r="D86" s="1010"/>
      <c r="E86" s="1410"/>
      <c r="F86" s="1410"/>
      <c r="G86" s="1010"/>
      <c r="I86" s="1010"/>
      <c r="K86" s="1010"/>
      <c r="M86" s="1010"/>
      <c r="N86" s="1010"/>
      <c r="O86" s="1010"/>
      <c r="P86" s="1010"/>
      <c r="Q86" s="1010"/>
    </row>
    <row r="87" spans="1:17">
      <c r="A87" s="1010"/>
      <c r="B87" s="1010"/>
      <c r="C87" s="1010"/>
      <c r="D87" s="1010"/>
      <c r="E87" s="1410"/>
      <c r="F87" s="1410"/>
      <c r="G87" s="1010"/>
      <c r="I87" s="1010"/>
      <c r="K87" s="1010"/>
      <c r="M87" s="1010"/>
      <c r="N87" s="1010"/>
      <c r="O87" s="1010"/>
      <c r="P87" s="1010"/>
      <c r="Q87" s="1010"/>
    </row>
    <row r="88" spans="1:17">
      <c r="A88" s="1010"/>
      <c r="B88" s="1010"/>
      <c r="C88" s="1010"/>
      <c r="D88" s="1010"/>
      <c r="E88" s="1410"/>
      <c r="F88" s="1410"/>
      <c r="G88" s="1010"/>
      <c r="I88" s="1010"/>
      <c r="K88" s="1010"/>
      <c r="M88" s="1010"/>
      <c r="N88" s="1010"/>
      <c r="O88" s="1010"/>
      <c r="P88" s="1010"/>
      <c r="Q88" s="1010"/>
    </row>
    <row r="89" spans="1:17">
      <c r="A89" s="1010"/>
      <c r="B89" s="1010"/>
      <c r="C89" s="1010"/>
      <c r="D89" s="1010"/>
      <c r="E89" s="1410"/>
      <c r="F89" s="1410"/>
      <c r="G89" s="1010"/>
      <c r="I89" s="1010"/>
      <c r="K89" s="1010"/>
      <c r="M89" s="1010"/>
      <c r="N89" s="1010"/>
      <c r="O89" s="1010"/>
      <c r="P89" s="1010"/>
      <c r="Q89" s="1010"/>
    </row>
    <row r="90" spans="1:17">
      <c r="A90" s="1010"/>
      <c r="B90" s="1010"/>
      <c r="C90" s="1010"/>
      <c r="D90" s="1010"/>
      <c r="E90" s="1410"/>
      <c r="F90" s="1410"/>
      <c r="G90" s="1010"/>
      <c r="I90" s="1010"/>
      <c r="K90" s="1010"/>
      <c r="M90" s="1010"/>
      <c r="N90" s="1010"/>
      <c r="O90" s="1010"/>
      <c r="P90" s="1010"/>
      <c r="Q90" s="1010"/>
    </row>
    <row r="91" spans="1:17">
      <c r="A91" s="1010"/>
      <c r="B91" s="1010"/>
      <c r="C91" s="1010"/>
      <c r="D91" s="1010"/>
      <c r="E91" s="1410"/>
      <c r="F91" s="1410"/>
      <c r="G91" s="1010"/>
      <c r="I91" s="1010"/>
      <c r="K91" s="1010"/>
      <c r="M91" s="1010"/>
      <c r="N91" s="1010"/>
      <c r="O91" s="1010"/>
      <c r="P91" s="1010"/>
      <c r="Q91" s="1010"/>
    </row>
    <row r="92" spans="1:17">
      <c r="A92" s="1010"/>
      <c r="B92" s="1010"/>
      <c r="C92" s="1010"/>
      <c r="D92" s="1010"/>
      <c r="E92" s="1410"/>
      <c r="F92" s="1410"/>
      <c r="G92" s="1010"/>
      <c r="I92" s="1010"/>
      <c r="K92" s="1010"/>
      <c r="M92" s="1010"/>
      <c r="N92" s="1010"/>
      <c r="O92" s="1010"/>
      <c r="P92" s="1010"/>
      <c r="Q92" s="1010"/>
    </row>
    <row r="93" spans="1:17">
      <c r="A93" s="1010"/>
      <c r="B93" s="1010"/>
      <c r="C93" s="1010"/>
      <c r="D93" s="1010"/>
      <c r="E93" s="1010"/>
      <c r="F93" s="1010"/>
      <c r="G93" s="1010"/>
      <c r="I93" s="1010"/>
      <c r="K93" s="1010"/>
      <c r="M93" s="1010"/>
      <c r="N93" s="1010"/>
      <c r="O93" s="1010"/>
      <c r="P93" s="1010"/>
      <c r="Q93" s="1010"/>
    </row>
    <row r="94" spans="1:17">
      <c r="A94" s="1010"/>
      <c r="B94" s="1010"/>
      <c r="C94" s="1010"/>
      <c r="D94" s="1010"/>
      <c r="E94" s="1010"/>
      <c r="F94" s="1010"/>
      <c r="G94" s="1010"/>
      <c r="I94" s="1010"/>
      <c r="K94" s="1010"/>
      <c r="M94" s="1010"/>
      <c r="N94" s="1010"/>
      <c r="O94" s="1010"/>
      <c r="P94" s="1010"/>
      <c r="Q94" s="1010"/>
    </row>
    <row r="95" spans="1:17">
      <c r="A95" s="1010"/>
      <c r="B95" s="1010"/>
      <c r="C95" s="1010"/>
      <c r="D95" s="1010"/>
      <c r="E95" s="1010"/>
      <c r="F95" s="1010"/>
      <c r="G95" s="1010"/>
      <c r="I95" s="1010"/>
      <c r="K95" s="1010"/>
      <c r="M95" s="1010"/>
      <c r="N95" s="1010"/>
      <c r="O95" s="1010"/>
      <c r="P95" s="1010"/>
      <c r="Q95" s="1010"/>
    </row>
    <row r="96" spans="1:17">
      <c r="A96" s="1010"/>
      <c r="B96" s="1010"/>
      <c r="C96" s="1010"/>
      <c r="D96" s="1010"/>
      <c r="E96" s="1010"/>
      <c r="F96" s="1010"/>
      <c r="G96" s="1010"/>
      <c r="I96" s="1010"/>
      <c r="K96" s="1010"/>
      <c r="M96" s="1010"/>
      <c r="N96" s="1010"/>
      <c r="O96" s="1010"/>
      <c r="P96" s="1010"/>
      <c r="Q96" s="1010"/>
    </row>
    <row r="97" spans="1:17">
      <c r="A97" s="1010"/>
      <c r="B97" s="1010"/>
      <c r="C97" s="1010"/>
      <c r="D97" s="1010"/>
      <c r="E97" s="1010"/>
      <c r="F97" s="1010"/>
      <c r="G97" s="1010"/>
      <c r="I97" s="1010"/>
      <c r="K97" s="1010"/>
      <c r="M97" s="1010"/>
      <c r="N97" s="1010"/>
      <c r="O97" s="1010"/>
      <c r="P97" s="1010"/>
      <c r="Q97" s="1010"/>
    </row>
    <row r="98" spans="1:17">
      <c r="A98" s="1010"/>
      <c r="B98" s="1010"/>
      <c r="C98" s="1010"/>
      <c r="D98" s="1010"/>
      <c r="E98" s="1010"/>
      <c r="F98" s="1010"/>
      <c r="G98" s="1010"/>
      <c r="I98" s="1010"/>
      <c r="K98" s="1010"/>
      <c r="M98" s="1010"/>
      <c r="N98" s="1010"/>
      <c r="O98" s="1010"/>
      <c r="P98" s="1010"/>
      <c r="Q98" s="1010"/>
    </row>
    <row r="99" spans="1:17">
      <c r="A99" s="1010"/>
      <c r="B99" s="1010"/>
      <c r="C99" s="1010"/>
      <c r="D99" s="1010"/>
      <c r="E99" s="1010"/>
      <c r="F99" s="1010"/>
      <c r="G99" s="1010"/>
      <c r="I99" s="1010"/>
      <c r="K99" s="1010"/>
      <c r="M99" s="1010"/>
      <c r="N99" s="1010"/>
      <c r="O99" s="1010"/>
      <c r="P99" s="1010"/>
      <c r="Q99" s="1010"/>
    </row>
  </sheetData>
  <sheetProtection algorithmName="SHA-512" hashValue="kaN6LPTO9UwhiEljBHRsmaPLwiWkCed39iR4YikH8bzvXGLm+pj8JD2mPGaVRqqYlEIZAw+Wk+aUVBREflG5Eg==" saltValue="ed7/TeEaHbptDCRc+34O5A=="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phoneticPr fontId="87" type="noConversion"/>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9600"/>
  </sheetPr>
  <dimension ref="A1:O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96" bestFit="1" customWidth="1"/>
    <col min="2" max="2" width="6.5703125" style="7" customWidth="1"/>
    <col min="3" max="3" width="48.140625" style="7" bestFit="1" customWidth="1"/>
    <col min="4" max="5" width="15.85546875" style="7" bestFit="1" customWidth="1"/>
    <col min="6" max="6" width="13.42578125" style="7" bestFit="1" customWidth="1"/>
    <col min="7" max="7" width="14.5703125" style="7" bestFit="1" customWidth="1"/>
    <col min="8" max="13" width="7.42578125" style="7" bestFit="1" customWidth="1"/>
    <col min="14" max="16384" width="9.140625" style="7"/>
  </cols>
  <sheetData>
    <row r="1" spans="1:15" s="1" customFormat="1" ht="41.25" customHeight="1">
      <c r="N1" s="7"/>
      <c r="O1" s="7"/>
    </row>
    <row r="3" spans="1:15">
      <c r="A3" s="39"/>
      <c r="B3" s="40" t="s">
        <v>327</v>
      </c>
      <c r="C3" s="16"/>
      <c r="D3" s="12"/>
      <c r="E3" s="12"/>
      <c r="F3" s="12"/>
      <c r="G3" s="12"/>
      <c r="H3" s="12"/>
      <c r="I3" s="12"/>
      <c r="J3" s="12"/>
      <c r="K3" s="12"/>
      <c r="L3" s="12"/>
    </row>
    <row r="4" spans="1:15">
      <c r="A4" s="39"/>
      <c r="B4" s="12"/>
      <c r="C4" s="12"/>
      <c r="D4" s="12"/>
      <c r="E4" s="12"/>
      <c r="F4" s="12"/>
      <c r="G4" s="12"/>
      <c r="H4" s="12"/>
      <c r="I4" s="12"/>
      <c r="J4" s="12"/>
      <c r="K4" s="12"/>
      <c r="L4" s="12"/>
    </row>
    <row r="5" spans="1:15">
      <c r="A5" s="7"/>
      <c r="B5" s="104"/>
      <c r="C5" s="14" t="s">
        <v>326</v>
      </c>
      <c r="D5" s="14" t="s">
        <v>325</v>
      </c>
      <c r="E5" s="939" t="s">
        <v>23</v>
      </c>
      <c r="F5" s="940" t="s">
        <v>324</v>
      </c>
      <c r="G5" s="14" t="s">
        <v>323</v>
      </c>
      <c r="H5" s="35"/>
      <c r="I5" s="12"/>
      <c r="J5" s="12"/>
      <c r="K5" s="12"/>
      <c r="L5" s="12"/>
      <c r="M5" s="12"/>
    </row>
    <row r="6" spans="1:15">
      <c r="A6" s="7"/>
      <c r="B6" s="15">
        <v>1</v>
      </c>
      <c r="C6" s="13" t="s">
        <v>322</v>
      </c>
      <c r="D6" s="101" t="s">
        <v>194</v>
      </c>
      <c r="E6" s="941">
        <v>42009.333333333336</v>
      </c>
      <c r="F6" s="942">
        <v>42013.708333333336</v>
      </c>
      <c r="G6" s="42"/>
      <c r="H6" s="12"/>
      <c r="I6" s="12"/>
      <c r="J6" s="12"/>
      <c r="K6" s="12"/>
      <c r="L6" s="12"/>
      <c r="M6" s="12"/>
    </row>
    <row r="7" spans="1:15">
      <c r="A7" s="7"/>
      <c r="B7" s="15">
        <v>1.1000000000000001</v>
      </c>
      <c r="C7" s="13" t="s">
        <v>321</v>
      </c>
      <c r="D7" s="101" t="s">
        <v>194</v>
      </c>
      <c r="E7" s="941">
        <v>42009.333333333336</v>
      </c>
      <c r="F7" s="942">
        <v>42013.708333333336</v>
      </c>
      <c r="G7" s="42"/>
      <c r="H7" s="12"/>
      <c r="I7" s="12"/>
      <c r="J7" s="12"/>
      <c r="K7" s="12"/>
      <c r="L7" s="12"/>
      <c r="M7" s="12"/>
    </row>
    <row r="8" spans="1:15">
      <c r="A8" s="7"/>
      <c r="B8" s="15">
        <v>1.2</v>
      </c>
      <c r="C8" s="13" t="s">
        <v>320</v>
      </c>
      <c r="D8" s="101" t="s">
        <v>194</v>
      </c>
      <c r="E8" s="941">
        <v>42009.333333333336</v>
      </c>
      <c r="F8" s="942">
        <v>42013.708333333336</v>
      </c>
      <c r="G8" s="42"/>
      <c r="H8" s="12"/>
      <c r="I8" s="12"/>
      <c r="J8" s="12"/>
      <c r="K8" s="12"/>
      <c r="L8" s="12"/>
      <c r="M8" s="12"/>
    </row>
    <row r="9" spans="1:15">
      <c r="A9" s="7"/>
      <c r="B9" s="15">
        <v>1.3</v>
      </c>
      <c r="C9" s="13" t="s">
        <v>319</v>
      </c>
      <c r="D9" s="101" t="s">
        <v>194</v>
      </c>
      <c r="E9" s="941">
        <v>42009.333333333336</v>
      </c>
      <c r="F9" s="942">
        <v>42013.708333333336</v>
      </c>
      <c r="G9" s="42"/>
      <c r="H9" s="12"/>
      <c r="I9" s="12"/>
      <c r="J9" s="12"/>
      <c r="K9" s="12"/>
      <c r="L9" s="12"/>
      <c r="M9" s="12"/>
    </row>
    <row r="10" spans="1:15">
      <c r="A10" s="7"/>
      <c r="B10" s="15">
        <v>2</v>
      </c>
      <c r="C10" s="13" t="s">
        <v>318</v>
      </c>
      <c r="D10" s="101" t="s">
        <v>198</v>
      </c>
      <c r="E10" s="941">
        <v>42016.333333333336</v>
      </c>
      <c r="F10" s="942">
        <v>42017.708333333336</v>
      </c>
      <c r="G10" s="100" t="s">
        <v>317</v>
      </c>
      <c r="H10" s="12"/>
      <c r="I10" s="12"/>
      <c r="J10" s="12"/>
      <c r="K10" s="12"/>
      <c r="L10" s="12"/>
      <c r="M10" s="12"/>
    </row>
    <row r="11" spans="1:15">
      <c r="A11" s="7"/>
      <c r="B11" s="15">
        <v>2.1</v>
      </c>
      <c r="C11" s="13" t="s">
        <v>316</v>
      </c>
      <c r="D11" s="101" t="s">
        <v>198</v>
      </c>
      <c r="E11" s="941">
        <v>42016.333333333336</v>
      </c>
      <c r="F11" s="942">
        <v>42017.708333333336</v>
      </c>
      <c r="G11" s="42"/>
      <c r="H11" s="12"/>
      <c r="I11" s="12"/>
      <c r="J11" s="12"/>
      <c r="K11" s="12"/>
      <c r="L11" s="12"/>
      <c r="M11" s="12"/>
    </row>
    <row r="12" spans="1:15">
      <c r="A12" s="7"/>
      <c r="B12" s="15">
        <v>2.2000000000000002</v>
      </c>
      <c r="C12" s="13" t="s">
        <v>315</v>
      </c>
      <c r="D12" s="101" t="s">
        <v>198</v>
      </c>
      <c r="E12" s="941">
        <v>42016.333333333336</v>
      </c>
      <c r="F12" s="942">
        <v>42017.708333333336</v>
      </c>
      <c r="G12" s="42"/>
      <c r="H12" s="12"/>
      <c r="I12" s="12"/>
      <c r="J12" s="12"/>
      <c r="K12" s="12"/>
      <c r="L12" s="12"/>
      <c r="M12" s="12"/>
    </row>
    <row r="13" spans="1:15">
      <c r="A13" s="7"/>
      <c r="B13" s="15">
        <v>3</v>
      </c>
      <c r="C13" s="13" t="s">
        <v>314</v>
      </c>
      <c r="D13" s="101" t="s">
        <v>194</v>
      </c>
      <c r="E13" s="941">
        <v>42018.333333333336</v>
      </c>
      <c r="F13" s="942">
        <v>42024.708333333336</v>
      </c>
      <c r="G13" s="100" t="s">
        <v>313</v>
      </c>
      <c r="H13" s="12"/>
      <c r="I13" s="12"/>
      <c r="J13" s="12"/>
      <c r="K13" s="12"/>
      <c r="L13" s="12"/>
      <c r="M13" s="12"/>
    </row>
    <row r="14" spans="1:15">
      <c r="A14" s="7"/>
      <c r="B14" s="15">
        <v>4</v>
      </c>
      <c r="C14" s="13" t="s">
        <v>312</v>
      </c>
      <c r="D14" s="101" t="s">
        <v>194</v>
      </c>
      <c r="E14" s="941">
        <v>42025.333333333336</v>
      </c>
      <c r="F14" s="942">
        <v>42031.708333333336</v>
      </c>
      <c r="G14" s="100" t="s">
        <v>311</v>
      </c>
      <c r="H14" s="12"/>
      <c r="I14" s="12"/>
      <c r="J14" s="12"/>
      <c r="K14" s="12"/>
      <c r="L14" s="12"/>
      <c r="M14" s="12"/>
    </row>
    <row r="15" spans="1:15">
      <c r="A15" s="7"/>
      <c r="B15" s="15">
        <v>5</v>
      </c>
      <c r="C15" s="13" t="s">
        <v>296</v>
      </c>
      <c r="D15" s="101" t="s">
        <v>194</v>
      </c>
      <c r="E15" s="941">
        <v>42031.708333333336</v>
      </c>
      <c r="F15" s="942">
        <v>42038.708333333336</v>
      </c>
      <c r="G15" s="100" t="s">
        <v>310</v>
      </c>
      <c r="H15" s="12"/>
      <c r="I15" s="12"/>
      <c r="J15" s="12"/>
      <c r="K15" s="12"/>
      <c r="L15" s="12"/>
      <c r="M15" s="12"/>
    </row>
    <row r="16" spans="1:15">
      <c r="A16" s="7"/>
      <c r="B16" s="39"/>
      <c r="C16" s="13" t="s">
        <v>309</v>
      </c>
      <c r="D16" s="101" t="s">
        <v>215</v>
      </c>
      <c r="E16" s="941">
        <v>42031.708333333336</v>
      </c>
      <c r="F16" s="942">
        <v>42031.708333333336</v>
      </c>
      <c r="G16" s="42"/>
      <c r="H16" s="12"/>
      <c r="I16" s="12"/>
      <c r="J16" s="12"/>
      <c r="K16" s="12"/>
      <c r="L16" s="12"/>
      <c r="M16" s="12"/>
    </row>
    <row r="17" spans="1:13">
      <c r="A17" s="7"/>
      <c r="B17" s="15">
        <v>5.0999999999999996</v>
      </c>
      <c r="C17" s="13" t="s">
        <v>308</v>
      </c>
      <c r="D17" s="101" t="s">
        <v>238</v>
      </c>
      <c r="E17" s="941">
        <v>42032.333333333336</v>
      </c>
      <c r="F17" s="942">
        <v>42032.708333333336</v>
      </c>
      <c r="G17" s="42"/>
      <c r="H17" s="12"/>
      <c r="I17" s="12"/>
      <c r="J17" s="12"/>
      <c r="K17" s="12"/>
      <c r="L17" s="12"/>
      <c r="M17" s="12"/>
    </row>
    <row r="18" spans="1:13">
      <c r="A18" s="7"/>
      <c r="B18" s="15">
        <v>5.2</v>
      </c>
      <c r="C18" s="13" t="s">
        <v>307</v>
      </c>
      <c r="D18" s="101" t="s">
        <v>198</v>
      </c>
      <c r="E18" s="941">
        <v>42033.333333333336</v>
      </c>
      <c r="F18" s="942">
        <v>42034.708333333336</v>
      </c>
      <c r="G18" s="100" t="s">
        <v>306</v>
      </c>
      <c r="H18" s="12"/>
      <c r="I18" s="12"/>
      <c r="J18" s="12"/>
      <c r="K18" s="12"/>
      <c r="L18" s="12"/>
      <c r="M18" s="12"/>
    </row>
    <row r="19" spans="1:13">
      <c r="A19" s="7"/>
      <c r="B19" s="15" t="s">
        <v>305</v>
      </c>
      <c r="C19" s="13" t="s">
        <v>304</v>
      </c>
      <c r="D19" s="101" t="s">
        <v>215</v>
      </c>
      <c r="E19" s="941">
        <v>42034.708333333336</v>
      </c>
      <c r="F19" s="942">
        <v>42034.708333333336</v>
      </c>
      <c r="G19" s="100" t="s">
        <v>299</v>
      </c>
      <c r="H19" s="12"/>
      <c r="I19" s="12"/>
      <c r="J19" s="12"/>
      <c r="K19" s="12"/>
      <c r="L19" s="12"/>
      <c r="M19" s="12"/>
    </row>
    <row r="20" spans="1:13">
      <c r="A20" s="7"/>
      <c r="B20" s="15" t="s">
        <v>303</v>
      </c>
      <c r="C20" s="13" t="s">
        <v>302</v>
      </c>
      <c r="D20" s="101" t="s">
        <v>215</v>
      </c>
      <c r="E20" s="941">
        <v>42034.708333333336</v>
      </c>
      <c r="F20" s="942">
        <v>42034.708333333336</v>
      </c>
      <c r="G20" s="100" t="s">
        <v>299</v>
      </c>
      <c r="H20" s="12"/>
      <c r="I20" s="12"/>
      <c r="J20" s="12"/>
      <c r="K20" s="12"/>
      <c r="L20" s="12"/>
      <c r="M20" s="12"/>
    </row>
    <row r="21" spans="1:13">
      <c r="A21" s="7"/>
      <c r="B21" s="15" t="s">
        <v>301</v>
      </c>
      <c r="C21" s="13" t="s">
        <v>300</v>
      </c>
      <c r="D21" s="101" t="s">
        <v>215</v>
      </c>
      <c r="E21" s="941">
        <v>42034.708333333336</v>
      </c>
      <c r="F21" s="942">
        <v>42034.708333333336</v>
      </c>
      <c r="G21" s="100" t="s">
        <v>299</v>
      </c>
      <c r="H21" s="12"/>
      <c r="I21" s="12"/>
      <c r="J21" s="12"/>
      <c r="K21" s="12"/>
      <c r="L21" s="12"/>
      <c r="M21" s="12"/>
    </row>
    <row r="22" spans="1:13">
      <c r="A22" s="7"/>
      <c r="B22" s="15">
        <v>5.3</v>
      </c>
      <c r="C22" s="13" t="s">
        <v>298</v>
      </c>
      <c r="D22" s="101" t="s">
        <v>238</v>
      </c>
      <c r="E22" s="941">
        <v>42037.333333333336</v>
      </c>
      <c r="F22" s="942">
        <v>42037.708333333336</v>
      </c>
      <c r="G22" s="100" t="s">
        <v>297</v>
      </c>
      <c r="H22" s="12"/>
      <c r="I22" s="12"/>
      <c r="J22" s="12"/>
      <c r="K22" s="12"/>
      <c r="L22" s="12"/>
      <c r="M22" s="12"/>
    </row>
    <row r="23" spans="1:13">
      <c r="A23" s="7"/>
      <c r="B23" s="15">
        <v>5.4</v>
      </c>
      <c r="C23" s="13" t="s">
        <v>296</v>
      </c>
      <c r="D23" s="101" t="s">
        <v>238</v>
      </c>
      <c r="E23" s="941">
        <v>42038.333333333336</v>
      </c>
      <c r="F23" s="942">
        <v>42038.708333333336</v>
      </c>
      <c r="G23" s="100" t="s">
        <v>295</v>
      </c>
      <c r="H23" s="12"/>
      <c r="I23" s="12"/>
      <c r="J23" s="12"/>
      <c r="K23" s="12"/>
      <c r="L23" s="12"/>
      <c r="M23" s="12"/>
    </row>
    <row r="24" spans="1:13">
      <c r="A24" s="7"/>
      <c r="B24" s="15">
        <v>6</v>
      </c>
      <c r="C24" s="13" t="s">
        <v>294</v>
      </c>
      <c r="D24" s="101" t="s">
        <v>194</v>
      </c>
      <c r="E24" s="941">
        <v>42039.333333333336</v>
      </c>
      <c r="F24" s="942">
        <v>42045.708333333336</v>
      </c>
      <c r="G24" s="100" t="s">
        <v>276</v>
      </c>
      <c r="H24" s="12"/>
      <c r="I24" s="12"/>
      <c r="J24" s="12"/>
      <c r="K24" s="12"/>
      <c r="L24" s="12"/>
      <c r="M24" s="12"/>
    </row>
    <row r="25" spans="1:13">
      <c r="A25" s="7"/>
      <c r="B25" s="15">
        <v>6.1</v>
      </c>
      <c r="C25" s="13" t="s">
        <v>293</v>
      </c>
      <c r="D25" s="101" t="s">
        <v>198</v>
      </c>
      <c r="E25" s="941">
        <v>42039.333333333336</v>
      </c>
      <c r="F25" s="942">
        <v>42040.708333333336</v>
      </c>
      <c r="G25" s="42"/>
      <c r="H25" s="12"/>
      <c r="I25" s="12"/>
      <c r="J25" s="12"/>
      <c r="K25" s="12"/>
      <c r="L25" s="12"/>
      <c r="M25" s="12"/>
    </row>
    <row r="26" spans="1:13">
      <c r="A26" s="7"/>
      <c r="B26" s="15">
        <v>6.2</v>
      </c>
      <c r="C26" s="13" t="s">
        <v>274</v>
      </c>
      <c r="D26" s="101" t="s">
        <v>198</v>
      </c>
      <c r="E26" s="941">
        <v>42041.333333333336</v>
      </c>
      <c r="F26" s="942">
        <v>42044.708333333336</v>
      </c>
      <c r="G26" s="100" t="s">
        <v>292</v>
      </c>
      <c r="H26" s="12"/>
      <c r="I26" s="12"/>
      <c r="J26" s="12"/>
      <c r="K26" s="12"/>
      <c r="L26" s="12"/>
      <c r="M26" s="12"/>
    </row>
    <row r="27" spans="1:13">
      <c r="A27" s="7"/>
      <c r="B27" s="15">
        <v>6.3</v>
      </c>
      <c r="C27" s="13" t="s">
        <v>272</v>
      </c>
      <c r="D27" s="101" t="s">
        <v>215</v>
      </c>
      <c r="E27" s="941">
        <v>42044.708333333336</v>
      </c>
      <c r="F27" s="942">
        <v>42044.708333333336</v>
      </c>
      <c r="G27" s="100" t="s">
        <v>291</v>
      </c>
      <c r="H27" s="12"/>
      <c r="I27" s="12"/>
      <c r="J27" s="12"/>
      <c r="K27" s="12"/>
      <c r="L27" s="12"/>
      <c r="M27" s="12"/>
    </row>
    <row r="28" spans="1:13">
      <c r="A28" s="7"/>
      <c r="B28" s="15">
        <v>6.4</v>
      </c>
      <c r="C28" s="13" t="s">
        <v>271</v>
      </c>
      <c r="D28" s="101" t="s">
        <v>238</v>
      </c>
      <c r="E28" s="941">
        <v>42045.333333333336</v>
      </c>
      <c r="F28" s="942">
        <v>42045.708333333336</v>
      </c>
      <c r="G28" s="100" t="s">
        <v>291</v>
      </c>
      <c r="H28" s="12"/>
      <c r="I28" s="12"/>
      <c r="J28" s="12"/>
      <c r="K28" s="12"/>
      <c r="L28" s="12"/>
      <c r="M28" s="12"/>
    </row>
    <row r="29" spans="1:13">
      <c r="A29" s="7"/>
      <c r="B29" s="15">
        <v>6.5</v>
      </c>
      <c r="C29" s="13" t="s">
        <v>707</v>
      </c>
      <c r="D29" s="101" t="s">
        <v>215</v>
      </c>
      <c r="E29" s="941">
        <v>42045.708333333336</v>
      </c>
      <c r="F29" s="942">
        <v>42045.708333333336</v>
      </c>
      <c r="G29" s="100" t="s">
        <v>290</v>
      </c>
      <c r="H29" s="12"/>
      <c r="I29" s="12"/>
      <c r="J29" s="12"/>
      <c r="K29" s="12"/>
      <c r="L29" s="12"/>
      <c r="M29" s="12"/>
    </row>
    <row r="30" spans="1:13">
      <c r="A30" s="7"/>
      <c r="B30" s="15">
        <v>7</v>
      </c>
      <c r="C30" s="13" t="s">
        <v>289</v>
      </c>
      <c r="D30" s="101" t="s">
        <v>194</v>
      </c>
      <c r="E30" s="941">
        <v>42038.708333333336</v>
      </c>
      <c r="F30" s="942">
        <v>42045.708333333336</v>
      </c>
      <c r="G30" s="100" t="s">
        <v>276</v>
      </c>
      <c r="H30" s="12"/>
      <c r="I30" s="12"/>
      <c r="J30" s="12"/>
      <c r="K30" s="12"/>
      <c r="L30" s="12"/>
      <c r="M30" s="12"/>
    </row>
    <row r="31" spans="1:13">
      <c r="A31" s="7"/>
      <c r="B31" s="15">
        <v>7.1</v>
      </c>
      <c r="C31" s="13" t="s">
        <v>288</v>
      </c>
      <c r="D31" s="101" t="s">
        <v>198</v>
      </c>
      <c r="E31" s="941">
        <v>42040.333333333336</v>
      </c>
      <c r="F31" s="942">
        <v>42041.708333333336</v>
      </c>
      <c r="G31" s="42"/>
      <c r="H31" s="12"/>
      <c r="I31" s="12"/>
      <c r="J31" s="12"/>
      <c r="K31" s="12"/>
      <c r="L31" s="12"/>
      <c r="M31" s="12"/>
    </row>
    <row r="32" spans="1:13">
      <c r="A32" s="7"/>
      <c r="B32" s="15">
        <v>7.2</v>
      </c>
      <c r="C32" s="13" t="s">
        <v>274</v>
      </c>
      <c r="D32" s="101" t="s">
        <v>198</v>
      </c>
      <c r="E32" s="941">
        <v>42044.333333333336</v>
      </c>
      <c r="F32" s="942">
        <v>42045.708333333336</v>
      </c>
      <c r="G32" s="100" t="s">
        <v>287</v>
      </c>
      <c r="H32" s="12"/>
      <c r="I32" s="12"/>
      <c r="J32" s="12"/>
      <c r="K32" s="12"/>
      <c r="L32" s="12"/>
      <c r="M32" s="12"/>
    </row>
    <row r="33" spans="1:13">
      <c r="A33" s="7"/>
      <c r="B33" s="15">
        <v>7.3</v>
      </c>
      <c r="C33" s="13" t="s">
        <v>272</v>
      </c>
      <c r="D33" s="101" t="s">
        <v>215</v>
      </c>
      <c r="E33" s="941">
        <v>42039.708333333336</v>
      </c>
      <c r="F33" s="942">
        <v>42039.708333333336</v>
      </c>
      <c r="G33" s="42"/>
      <c r="H33" s="12"/>
      <c r="I33" s="12"/>
      <c r="J33" s="12"/>
      <c r="K33" s="12"/>
      <c r="L33" s="12"/>
      <c r="M33" s="12"/>
    </row>
    <row r="34" spans="1:13">
      <c r="A34" s="7"/>
      <c r="B34" s="15">
        <v>7.4</v>
      </c>
      <c r="C34" s="13" t="s">
        <v>271</v>
      </c>
      <c r="D34" s="101" t="s">
        <v>238</v>
      </c>
      <c r="E34" s="941">
        <v>42046.333333333336</v>
      </c>
      <c r="F34" s="942">
        <v>42046.708333333336</v>
      </c>
      <c r="G34" s="100" t="s">
        <v>286</v>
      </c>
      <c r="H34" s="12"/>
      <c r="I34" s="12"/>
      <c r="J34" s="12"/>
      <c r="K34" s="12"/>
      <c r="L34" s="12"/>
      <c r="M34" s="12"/>
    </row>
    <row r="35" spans="1:13">
      <c r="A35" s="7"/>
      <c r="B35" s="15">
        <v>7.5</v>
      </c>
      <c r="C35" s="13" t="s">
        <v>707</v>
      </c>
      <c r="D35" s="101" t="s">
        <v>215</v>
      </c>
      <c r="E35" s="941">
        <v>42039.708333333336</v>
      </c>
      <c r="F35" s="942">
        <v>42039.708333333336</v>
      </c>
      <c r="G35" s="42"/>
      <c r="H35" s="12"/>
      <c r="I35" s="12"/>
      <c r="J35" s="12"/>
      <c r="K35" s="12"/>
      <c r="L35" s="12"/>
      <c r="M35" s="12"/>
    </row>
    <row r="36" spans="1:13">
      <c r="A36" s="7"/>
      <c r="B36" s="15">
        <v>8</v>
      </c>
      <c r="C36" s="13" t="s">
        <v>285</v>
      </c>
      <c r="D36" s="101" t="s">
        <v>194</v>
      </c>
      <c r="E36" s="941">
        <v>42039.708333333336</v>
      </c>
      <c r="F36" s="942">
        <v>42046.708333333336</v>
      </c>
      <c r="G36" s="100" t="s">
        <v>276</v>
      </c>
      <c r="H36" s="12"/>
      <c r="I36" s="12"/>
      <c r="J36" s="12"/>
      <c r="K36" s="12"/>
      <c r="L36" s="12"/>
      <c r="M36" s="12"/>
    </row>
    <row r="37" spans="1:13">
      <c r="A37" s="7"/>
      <c r="B37" s="15">
        <v>8.1</v>
      </c>
      <c r="C37" s="13" t="s">
        <v>284</v>
      </c>
      <c r="D37" s="101" t="s">
        <v>198</v>
      </c>
      <c r="E37" s="941">
        <v>42040.333333333336</v>
      </c>
      <c r="F37" s="942">
        <v>42041.708333333336</v>
      </c>
      <c r="G37" s="42"/>
      <c r="H37" s="12"/>
      <c r="I37" s="12"/>
      <c r="J37" s="12"/>
      <c r="K37" s="12"/>
      <c r="L37" s="12"/>
      <c r="M37" s="12"/>
    </row>
    <row r="38" spans="1:13">
      <c r="A38" s="7"/>
      <c r="B38" s="15">
        <v>8.1999999999999993</v>
      </c>
      <c r="C38" s="13" t="s">
        <v>274</v>
      </c>
      <c r="D38" s="101" t="s">
        <v>198</v>
      </c>
      <c r="E38" s="941">
        <v>42044.333333333336</v>
      </c>
      <c r="F38" s="942">
        <v>42045.708333333336</v>
      </c>
      <c r="G38" s="100" t="s">
        <v>283</v>
      </c>
      <c r="H38" s="12"/>
      <c r="I38" s="12"/>
      <c r="J38" s="12"/>
      <c r="K38" s="12"/>
      <c r="L38" s="12"/>
      <c r="M38" s="12"/>
    </row>
    <row r="39" spans="1:13">
      <c r="A39" s="7"/>
      <c r="B39" s="15">
        <v>8.3000000000000007</v>
      </c>
      <c r="C39" s="13" t="s">
        <v>272</v>
      </c>
      <c r="D39" s="101" t="s">
        <v>215</v>
      </c>
      <c r="E39" s="941">
        <v>42039.708333333336</v>
      </c>
      <c r="F39" s="942">
        <v>42039.708333333336</v>
      </c>
      <c r="G39" s="42"/>
      <c r="H39" s="12"/>
      <c r="I39" s="12"/>
      <c r="J39" s="12"/>
      <c r="K39" s="12"/>
      <c r="L39" s="12"/>
      <c r="M39" s="12"/>
    </row>
    <row r="40" spans="1:13">
      <c r="A40" s="7"/>
      <c r="B40" s="15">
        <v>8.4</v>
      </c>
      <c r="C40" s="13" t="s">
        <v>271</v>
      </c>
      <c r="D40" s="101" t="s">
        <v>238</v>
      </c>
      <c r="E40" s="941">
        <v>42046.333333333336</v>
      </c>
      <c r="F40" s="942">
        <v>42046.708333333336</v>
      </c>
      <c r="G40" s="100" t="s">
        <v>282</v>
      </c>
      <c r="H40" s="12"/>
      <c r="I40" s="12"/>
      <c r="J40" s="12"/>
      <c r="K40" s="12"/>
      <c r="L40" s="12"/>
      <c r="M40" s="12"/>
    </row>
    <row r="41" spans="1:13">
      <c r="A41" s="7"/>
      <c r="B41" s="15">
        <v>8.5</v>
      </c>
      <c r="C41" s="13" t="s">
        <v>708</v>
      </c>
      <c r="D41" s="101" t="s">
        <v>215</v>
      </c>
      <c r="E41" s="941">
        <v>42039.708333333336</v>
      </c>
      <c r="F41" s="942">
        <v>42039.708333333336</v>
      </c>
      <c r="G41" s="42"/>
      <c r="H41" s="12"/>
      <c r="I41" s="12"/>
      <c r="J41" s="12"/>
      <c r="K41" s="12"/>
      <c r="L41" s="12"/>
      <c r="M41" s="12"/>
    </row>
    <row r="42" spans="1:13">
      <c r="A42" s="7"/>
      <c r="B42" s="15">
        <v>9</v>
      </c>
      <c r="C42" s="13" t="s">
        <v>281</v>
      </c>
      <c r="D42" s="101" t="s">
        <v>194</v>
      </c>
      <c r="E42" s="941">
        <v>42039.708333333336</v>
      </c>
      <c r="F42" s="942">
        <v>42046.708333333336</v>
      </c>
      <c r="G42" s="100" t="s">
        <v>276</v>
      </c>
      <c r="H42" s="12"/>
      <c r="I42" s="12"/>
      <c r="J42" s="12"/>
      <c r="K42" s="12"/>
      <c r="L42" s="12"/>
      <c r="M42" s="12"/>
    </row>
    <row r="43" spans="1:13">
      <c r="A43" s="7"/>
      <c r="B43" s="15">
        <v>9.1</v>
      </c>
      <c r="C43" s="13" t="s">
        <v>280</v>
      </c>
      <c r="D43" s="101" t="s">
        <v>198</v>
      </c>
      <c r="E43" s="941">
        <v>42040.333333333336</v>
      </c>
      <c r="F43" s="942">
        <v>42041.708333333336</v>
      </c>
      <c r="G43" s="42"/>
      <c r="H43" s="12"/>
      <c r="I43" s="12"/>
      <c r="J43" s="12"/>
      <c r="K43" s="12"/>
      <c r="L43" s="12"/>
      <c r="M43" s="12"/>
    </row>
    <row r="44" spans="1:13">
      <c r="A44" s="7"/>
      <c r="B44" s="15">
        <v>9.1999999999999993</v>
      </c>
      <c r="C44" s="13" t="s">
        <v>274</v>
      </c>
      <c r="D44" s="101" t="s">
        <v>198</v>
      </c>
      <c r="E44" s="941">
        <v>42044.333333333336</v>
      </c>
      <c r="F44" s="942">
        <v>42045.708333333336</v>
      </c>
      <c r="G44" s="100" t="s">
        <v>279</v>
      </c>
      <c r="H44" s="12"/>
      <c r="I44" s="12"/>
      <c r="J44" s="12"/>
      <c r="K44" s="12"/>
      <c r="L44" s="12"/>
      <c r="M44" s="12"/>
    </row>
    <row r="45" spans="1:13">
      <c r="A45" s="7"/>
      <c r="B45" s="15">
        <v>9.3000000000000007</v>
      </c>
      <c r="C45" s="13" t="s">
        <v>272</v>
      </c>
      <c r="D45" s="101" t="s">
        <v>215</v>
      </c>
      <c r="E45" s="941">
        <v>42039.708333333336</v>
      </c>
      <c r="F45" s="942">
        <v>42039.708333333336</v>
      </c>
      <c r="G45" s="42"/>
      <c r="H45" s="12"/>
      <c r="I45" s="12"/>
      <c r="J45" s="12"/>
      <c r="K45" s="12"/>
      <c r="L45" s="12"/>
      <c r="M45" s="12"/>
    </row>
    <row r="46" spans="1:13">
      <c r="A46" s="7"/>
      <c r="B46" s="15">
        <v>9.4</v>
      </c>
      <c r="C46" s="13" t="s">
        <v>271</v>
      </c>
      <c r="D46" s="101" t="s">
        <v>238</v>
      </c>
      <c r="E46" s="941">
        <v>42046.333333333336</v>
      </c>
      <c r="F46" s="942">
        <v>42046.708333333336</v>
      </c>
      <c r="G46" s="100" t="s">
        <v>278</v>
      </c>
      <c r="H46" s="12"/>
      <c r="I46" s="12"/>
      <c r="J46" s="12"/>
      <c r="K46" s="12"/>
      <c r="L46" s="12"/>
      <c r="M46" s="12"/>
    </row>
    <row r="47" spans="1:13">
      <c r="A47" s="7"/>
      <c r="B47" s="15">
        <v>9.5</v>
      </c>
      <c r="C47" s="13" t="s">
        <v>708</v>
      </c>
      <c r="D47" s="101" t="s">
        <v>215</v>
      </c>
      <c r="E47" s="941">
        <v>42039.708333333336</v>
      </c>
      <c r="F47" s="942">
        <v>42039.708333333336</v>
      </c>
      <c r="G47" s="42"/>
      <c r="H47" s="12"/>
      <c r="I47" s="12"/>
      <c r="J47" s="12"/>
      <c r="K47" s="12"/>
      <c r="L47" s="12"/>
      <c r="M47" s="12"/>
    </row>
    <row r="48" spans="1:13">
      <c r="A48" s="7"/>
      <c r="B48" s="15">
        <v>10</v>
      </c>
      <c r="C48" s="13" t="s">
        <v>277</v>
      </c>
      <c r="D48" s="101" t="s">
        <v>194</v>
      </c>
      <c r="E48" s="941">
        <v>42039.708333333336</v>
      </c>
      <c r="F48" s="942">
        <v>42046.708333333336</v>
      </c>
      <c r="G48" s="100" t="s">
        <v>276</v>
      </c>
      <c r="H48" s="12"/>
      <c r="I48" s="12"/>
      <c r="J48" s="12"/>
      <c r="K48" s="12"/>
      <c r="L48" s="12"/>
      <c r="M48" s="12"/>
    </row>
    <row r="49" spans="1:13">
      <c r="A49" s="7"/>
      <c r="B49" s="15">
        <v>10.1</v>
      </c>
      <c r="C49" s="13" t="s">
        <v>275</v>
      </c>
      <c r="D49" s="101" t="s">
        <v>198</v>
      </c>
      <c r="E49" s="941">
        <v>42040.333333333336</v>
      </c>
      <c r="F49" s="942">
        <v>42041.708333333336</v>
      </c>
      <c r="G49" s="42"/>
      <c r="H49" s="12"/>
      <c r="I49" s="12"/>
      <c r="J49" s="12"/>
      <c r="K49" s="12"/>
      <c r="L49" s="12"/>
      <c r="M49" s="12"/>
    </row>
    <row r="50" spans="1:13">
      <c r="A50" s="7"/>
      <c r="B50" s="15">
        <v>10.199999999999999</v>
      </c>
      <c r="C50" s="13" t="s">
        <v>274</v>
      </c>
      <c r="D50" s="101" t="s">
        <v>198</v>
      </c>
      <c r="E50" s="941">
        <v>42044.333333333336</v>
      </c>
      <c r="F50" s="942">
        <v>42045.708333333336</v>
      </c>
      <c r="G50" s="100" t="s">
        <v>273</v>
      </c>
      <c r="H50" s="12"/>
      <c r="I50" s="12"/>
      <c r="J50" s="12"/>
      <c r="K50" s="12"/>
      <c r="L50" s="12"/>
      <c r="M50" s="12"/>
    </row>
    <row r="51" spans="1:13">
      <c r="A51" s="7"/>
      <c r="B51" s="15">
        <v>10.3</v>
      </c>
      <c r="C51" s="13" t="s">
        <v>272</v>
      </c>
      <c r="D51" s="101" t="s">
        <v>215</v>
      </c>
      <c r="E51" s="941">
        <v>42039.708333333336</v>
      </c>
      <c r="F51" s="942">
        <v>42039.708333333336</v>
      </c>
      <c r="G51" s="42"/>
      <c r="H51" s="12"/>
      <c r="I51" s="12"/>
      <c r="J51" s="12"/>
      <c r="K51" s="12"/>
      <c r="L51" s="12"/>
      <c r="M51" s="12"/>
    </row>
    <row r="52" spans="1:13">
      <c r="A52" s="7"/>
      <c r="B52" s="15">
        <v>10.4</v>
      </c>
      <c r="C52" s="13" t="s">
        <v>271</v>
      </c>
      <c r="D52" s="101" t="s">
        <v>238</v>
      </c>
      <c r="E52" s="941">
        <v>42046.333333333336</v>
      </c>
      <c r="F52" s="942">
        <v>42046.708333333336</v>
      </c>
      <c r="G52" s="100" t="s">
        <v>270</v>
      </c>
      <c r="H52" s="12"/>
      <c r="I52" s="12"/>
      <c r="J52" s="12"/>
      <c r="K52" s="12"/>
      <c r="L52" s="12"/>
      <c r="M52" s="12"/>
    </row>
    <row r="53" spans="1:13">
      <c r="A53" s="7"/>
      <c r="B53" s="15">
        <v>10.5</v>
      </c>
      <c r="C53" s="13" t="s">
        <v>708</v>
      </c>
      <c r="D53" s="101" t="s">
        <v>215</v>
      </c>
      <c r="E53" s="941">
        <v>42039.708333333336</v>
      </c>
      <c r="F53" s="942">
        <v>42039.708333333336</v>
      </c>
      <c r="G53" s="42"/>
      <c r="H53" s="12"/>
      <c r="I53" s="12"/>
      <c r="J53" s="12"/>
      <c r="K53" s="12"/>
      <c r="L53" s="12"/>
      <c r="M53" s="12"/>
    </row>
    <row r="54" spans="1:13">
      <c r="A54" s="7"/>
      <c r="B54" s="15">
        <v>11</v>
      </c>
      <c r="C54" s="13" t="s">
        <v>269</v>
      </c>
      <c r="D54" s="101" t="s">
        <v>268</v>
      </c>
      <c r="E54" s="941">
        <v>42047.333333333336</v>
      </c>
      <c r="F54" s="942">
        <v>42263.708333333336</v>
      </c>
      <c r="G54" s="100" t="s">
        <v>267</v>
      </c>
      <c r="H54" s="12"/>
      <c r="I54" s="12"/>
      <c r="J54" s="12"/>
      <c r="K54" s="12"/>
      <c r="L54" s="12"/>
      <c r="M54" s="12"/>
    </row>
    <row r="55" spans="1:13">
      <c r="A55" s="7"/>
      <c r="B55" s="15">
        <v>11.1</v>
      </c>
      <c r="C55" s="13" t="s">
        <v>266</v>
      </c>
      <c r="D55" s="101" t="s">
        <v>222</v>
      </c>
      <c r="E55" s="941">
        <v>42047.333333333336</v>
      </c>
      <c r="F55" s="942">
        <v>42060.708333333336</v>
      </c>
      <c r="G55" s="42"/>
      <c r="H55" s="12"/>
      <c r="I55" s="12"/>
      <c r="J55" s="12"/>
      <c r="K55" s="12"/>
      <c r="L55" s="12"/>
      <c r="M55" s="12"/>
    </row>
    <row r="56" spans="1:13">
      <c r="A56" s="7"/>
      <c r="B56" s="15" t="s">
        <v>265</v>
      </c>
      <c r="C56" s="13" t="s">
        <v>264</v>
      </c>
      <c r="D56" s="101" t="s">
        <v>198</v>
      </c>
      <c r="E56" s="941">
        <v>42047.333333333336</v>
      </c>
      <c r="F56" s="942">
        <v>42048.708333333336</v>
      </c>
      <c r="G56" s="42"/>
      <c r="H56" s="12"/>
      <c r="I56" s="12"/>
      <c r="J56" s="12"/>
      <c r="K56" s="12"/>
      <c r="L56" s="12"/>
      <c r="M56" s="12"/>
    </row>
    <row r="57" spans="1:13">
      <c r="A57" s="7"/>
      <c r="B57" s="15" t="s">
        <v>263</v>
      </c>
      <c r="C57" s="13" t="s">
        <v>262</v>
      </c>
      <c r="D57" s="101" t="s">
        <v>198</v>
      </c>
      <c r="E57" s="941">
        <v>42051.333333333336</v>
      </c>
      <c r="F57" s="942">
        <v>42052.708333333336</v>
      </c>
      <c r="G57" s="100" t="s">
        <v>261</v>
      </c>
      <c r="H57" s="12"/>
      <c r="I57" s="12"/>
      <c r="J57" s="12"/>
      <c r="K57" s="12"/>
      <c r="L57" s="12"/>
      <c r="M57" s="12"/>
    </row>
    <row r="58" spans="1:13">
      <c r="A58" s="7"/>
      <c r="B58" s="15" t="s">
        <v>260</v>
      </c>
      <c r="C58" s="13" t="s">
        <v>259</v>
      </c>
      <c r="D58" s="101" t="s">
        <v>198</v>
      </c>
      <c r="E58" s="941">
        <v>42053.333333333336</v>
      </c>
      <c r="F58" s="942">
        <v>42054.708333333336</v>
      </c>
      <c r="G58" s="100" t="s">
        <v>258</v>
      </c>
      <c r="H58" s="12"/>
      <c r="I58" s="12"/>
      <c r="J58" s="12"/>
      <c r="K58" s="12"/>
      <c r="L58" s="12"/>
      <c r="M58" s="12"/>
    </row>
    <row r="59" spans="1:13">
      <c r="A59" s="7"/>
      <c r="B59" s="15">
        <v>11.2</v>
      </c>
      <c r="C59" s="13" t="s">
        <v>257</v>
      </c>
      <c r="D59" s="101" t="s">
        <v>238</v>
      </c>
      <c r="E59" s="941">
        <v>42055.333333333336</v>
      </c>
      <c r="F59" s="942">
        <v>42055.708333333336</v>
      </c>
      <c r="G59" s="100" t="s">
        <v>256</v>
      </c>
      <c r="H59" s="12"/>
      <c r="I59" s="12"/>
      <c r="J59" s="12"/>
      <c r="K59" s="12"/>
      <c r="L59" s="12"/>
      <c r="M59" s="12"/>
    </row>
    <row r="60" spans="1:13">
      <c r="A60" s="7"/>
      <c r="B60" s="15" t="s">
        <v>255</v>
      </c>
      <c r="C60" s="13" t="s">
        <v>254</v>
      </c>
      <c r="D60" s="101" t="s">
        <v>198</v>
      </c>
      <c r="E60" s="941">
        <v>42058.333333333336</v>
      </c>
      <c r="F60" s="942">
        <v>42059.708333333336</v>
      </c>
      <c r="G60" s="100" t="s">
        <v>253</v>
      </c>
      <c r="H60" s="12"/>
      <c r="I60" s="12"/>
      <c r="J60" s="12"/>
      <c r="K60" s="12"/>
      <c r="L60" s="12"/>
      <c r="M60" s="12"/>
    </row>
    <row r="61" spans="1:13">
      <c r="A61" s="7"/>
      <c r="B61" s="15">
        <v>11.3</v>
      </c>
      <c r="C61" s="13" t="s">
        <v>252</v>
      </c>
      <c r="D61" s="101" t="s">
        <v>251</v>
      </c>
      <c r="E61" s="941">
        <v>42047.333333333336</v>
      </c>
      <c r="F61" s="942">
        <v>42055.708333333336</v>
      </c>
      <c r="G61" s="42"/>
      <c r="H61" s="12"/>
      <c r="I61" s="12"/>
      <c r="J61" s="12"/>
      <c r="K61" s="12"/>
      <c r="L61" s="12"/>
      <c r="M61" s="12"/>
    </row>
    <row r="62" spans="1:13">
      <c r="A62" s="7"/>
      <c r="B62" s="15" t="s">
        <v>250</v>
      </c>
      <c r="C62" s="13" t="s">
        <v>249</v>
      </c>
      <c r="D62" s="101" t="s">
        <v>198</v>
      </c>
      <c r="E62" s="941">
        <v>42058.333333333336</v>
      </c>
      <c r="F62" s="942">
        <v>42059.708333333336</v>
      </c>
      <c r="G62" s="100" t="s">
        <v>246</v>
      </c>
      <c r="H62" s="12"/>
      <c r="I62" s="12"/>
      <c r="J62" s="12"/>
      <c r="K62" s="12"/>
      <c r="L62" s="12"/>
      <c r="M62" s="12"/>
    </row>
    <row r="63" spans="1:13">
      <c r="A63" s="7"/>
      <c r="B63" s="15" t="s">
        <v>248</v>
      </c>
      <c r="C63" s="13" t="s">
        <v>247</v>
      </c>
      <c r="D63" s="101" t="s">
        <v>198</v>
      </c>
      <c r="E63" s="941">
        <v>42058.333333333336</v>
      </c>
      <c r="F63" s="942">
        <v>42059.708333333336</v>
      </c>
      <c r="G63" s="100" t="s">
        <v>246</v>
      </c>
      <c r="H63" s="12"/>
      <c r="I63" s="12"/>
      <c r="J63" s="12"/>
      <c r="K63" s="12"/>
      <c r="L63" s="12"/>
      <c r="M63" s="12"/>
    </row>
    <row r="64" spans="1:13">
      <c r="A64" s="7"/>
      <c r="B64" s="15">
        <v>11.4</v>
      </c>
      <c r="C64" s="13" t="s">
        <v>245</v>
      </c>
      <c r="D64" s="101" t="s">
        <v>238</v>
      </c>
      <c r="E64" s="941">
        <v>42060.333333333336</v>
      </c>
      <c r="F64" s="942">
        <v>42060.708333333336</v>
      </c>
      <c r="G64" s="100" t="s">
        <v>244</v>
      </c>
      <c r="H64" s="12"/>
      <c r="I64" s="12"/>
      <c r="J64" s="12"/>
      <c r="K64" s="12"/>
      <c r="L64" s="12"/>
      <c r="M64" s="12"/>
    </row>
    <row r="65" spans="1:13">
      <c r="A65" s="7"/>
      <c r="B65" s="15" t="s">
        <v>243</v>
      </c>
      <c r="C65" s="13" t="s">
        <v>242</v>
      </c>
      <c r="D65" s="101" t="s">
        <v>194</v>
      </c>
      <c r="E65" s="941">
        <v>42061.333333333336</v>
      </c>
      <c r="F65" s="942">
        <v>42067.708333333336</v>
      </c>
      <c r="G65" s="100" t="s">
        <v>241</v>
      </c>
      <c r="H65" s="12"/>
      <c r="I65" s="12"/>
      <c r="J65" s="12"/>
      <c r="K65" s="12"/>
      <c r="L65" s="12"/>
      <c r="M65" s="12"/>
    </row>
    <row r="66" spans="1:13">
      <c r="A66" s="7"/>
      <c r="B66" s="15">
        <v>11.5</v>
      </c>
      <c r="C66" s="13" t="s">
        <v>240</v>
      </c>
      <c r="D66" s="101" t="s">
        <v>238</v>
      </c>
      <c r="E66" s="941">
        <v>42068.333333333336</v>
      </c>
      <c r="F66" s="942">
        <v>42068.708333333336</v>
      </c>
      <c r="G66" s="100" t="s">
        <v>237</v>
      </c>
      <c r="H66" s="12"/>
      <c r="I66" s="12"/>
      <c r="J66" s="12"/>
      <c r="K66" s="12"/>
      <c r="L66" s="12"/>
      <c r="M66" s="12"/>
    </row>
    <row r="67" spans="1:13">
      <c r="A67" s="7"/>
      <c r="B67" s="15">
        <v>11.6</v>
      </c>
      <c r="C67" s="13" t="s">
        <v>239</v>
      </c>
      <c r="D67" s="101" t="s">
        <v>238</v>
      </c>
      <c r="E67" s="941">
        <v>42068.333333333336</v>
      </c>
      <c r="F67" s="942">
        <v>42068.708333333336</v>
      </c>
      <c r="G67" s="100" t="s">
        <v>237</v>
      </c>
      <c r="H67" s="12"/>
      <c r="I67" s="12"/>
      <c r="J67" s="12"/>
      <c r="K67" s="12"/>
      <c r="L67" s="12"/>
      <c r="M67" s="12"/>
    </row>
    <row r="68" spans="1:13">
      <c r="A68" s="7"/>
      <c r="B68" s="15">
        <v>11.7</v>
      </c>
      <c r="C68" s="13" t="s">
        <v>236</v>
      </c>
      <c r="D68" s="101" t="s">
        <v>205</v>
      </c>
      <c r="E68" s="941">
        <v>42069.333333333336</v>
      </c>
      <c r="F68" s="942">
        <v>42110.708333333336</v>
      </c>
      <c r="G68" s="100" t="s">
        <v>221</v>
      </c>
      <c r="H68" s="12"/>
      <c r="I68" s="12"/>
      <c r="J68" s="12"/>
      <c r="K68" s="12"/>
      <c r="L68" s="12"/>
      <c r="M68" s="12"/>
    </row>
    <row r="69" spans="1:13">
      <c r="A69" s="7"/>
      <c r="B69" s="15">
        <v>11.8</v>
      </c>
      <c r="C69" s="13" t="s">
        <v>235</v>
      </c>
      <c r="D69" s="101" t="s">
        <v>222</v>
      </c>
      <c r="E69" s="941">
        <v>42111.333333333336</v>
      </c>
      <c r="F69" s="942">
        <v>42124.708333333336</v>
      </c>
      <c r="G69" s="100" t="s">
        <v>234</v>
      </c>
      <c r="H69" s="12"/>
      <c r="I69" s="12"/>
      <c r="J69" s="12"/>
      <c r="K69" s="12"/>
      <c r="L69" s="12"/>
      <c r="M69" s="12"/>
    </row>
    <row r="70" spans="1:13">
      <c r="A70" s="7"/>
      <c r="B70" s="103">
        <v>11.9</v>
      </c>
      <c r="C70" s="13" t="s">
        <v>233</v>
      </c>
      <c r="D70" s="101" t="s">
        <v>205</v>
      </c>
      <c r="E70" s="941">
        <v>42069.333333333336</v>
      </c>
      <c r="F70" s="942">
        <v>42110.708333333336</v>
      </c>
      <c r="G70" s="100" t="s">
        <v>221</v>
      </c>
      <c r="H70" s="12"/>
      <c r="I70" s="12"/>
      <c r="J70" s="12"/>
      <c r="K70" s="12"/>
      <c r="L70" s="12"/>
      <c r="M70" s="12"/>
    </row>
    <row r="71" spans="1:13">
      <c r="A71" s="7"/>
      <c r="B71" s="15" t="s">
        <v>232</v>
      </c>
      <c r="C71" s="13" t="s">
        <v>231</v>
      </c>
      <c r="D71" s="101" t="s">
        <v>222</v>
      </c>
      <c r="E71" s="941">
        <v>42111.333333333336</v>
      </c>
      <c r="F71" s="942">
        <v>42124.708333333336</v>
      </c>
      <c r="G71" s="100" t="s">
        <v>230</v>
      </c>
      <c r="H71" s="12"/>
      <c r="I71" s="12"/>
      <c r="J71" s="12"/>
      <c r="K71" s="12"/>
      <c r="L71" s="12"/>
      <c r="M71" s="12"/>
    </row>
    <row r="72" spans="1:13">
      <c r="A72" s="7"/>
      <c r="B72" s="102">
        <v>11.1</v>
      </c>
      <c r="C72" s="13" t="s">
        <v>229</v>
      </c>
      <c r="D72" s="101" t="s">
        <v>228</v>
      </c>
      <c r="E72" s="941">
        <v>42069.333333333336</v>
      </c>
      <c r="F72" s="942">
        <v>42124.708333333336</v>
      </c>
      <c r="G72" s="100" t="s">
        <v>221</v>
      </c>
      <c r="H72" s="12"/>
      <c r="I72" s="12"/>
      <c r="J72" s="12"/>
      <c r="K72" s="12"/>
      <c r="L72" s="12"/>
      <c r="M72" s="12"/>
    </row>
    <row r="73" spans="1:13">
      <c r="A73" s="7"/>
      <c r="B73" s="15">
        <v>11.11</v>
      </c>
      <c r="C73" s="13" t="s">
        <v>227</v>
      </c>
      <c r="D73" s="101" t="s">
        <v>226</v>
      </c>
      <c r="E73" s="941">
        <v>42069.333333333336</v>
      </c>
      <c r="F73" s="942">
        <v>42194.708333333336</v>
      </c>
      <c r="G73" s="100" t="s">
        <v>225</v>
      </c>
      <c r="H73" s="12"/>
      <c r="I73" s="12"/>
      <c r="J73" s="12"/>
      <c r="K73" s="12"/>
      <c r="L73" s="12"/>
      <c r="M73" s="12"/>
    </row>
    <row r="74" spans="1:13">
      <c r="A74" s="7"/>
      <c r="B74" s="15" t="s">
        <v>224</v>
      </c>
      <c r="C74" s="13" t="s">
        <v>223</v>
      </c>
      <c r="D74" s="101" t="s">
        <v>222</v>
      </c>
      <c r="E74" s="941">
        <v>42069.333333333336</v>
      </c>
      <c r="F74" s="942">
        <v>42082.708333333336</v>
      </c>
      <c r="G74" s="100" t="s">
        <v>221</v>
      </c>
      <c r="H74" s="12"/>
      <c r="I74" s="12"/>
      <c r="J74" s="12"/>
      <c r="K74" s="12"/>
      <c r="L74" s="12"/>
      <c r="M74" s="12"/>
    </row>
    <row r="75" spans="1:13">
      <c r="A75" s="7"/>
      <c r="B75" s="15" t="s">
        <v>220</v>
      </c>
      <c r="C75" s="13" t="s">
        <v>219</v>
      </c>
      <c r="D75" s="101" t="s">
        <v>218</v>
      </c>
      <c r="E75" s="941">
        <v>42083.333333333336</v>
      </c>
      <c r="F75" s="942">
        <v>42194.708333333336</v>
      </c>
      <c r="G75" s="100" t="s">
        <v>217</v>
      </c>
      <c r="H75" s="12"/>
      <c r="I75" s="12"/>
      <c r="J75" s="12"/>
      <c r="K75" s="12"/>
      <c r="L75" s="12"/>
      <c r="M75" s="12"/>
    </row>
    <row r="76" spans="1:13">
      <c r="A76" s="7"/>
      <c r="B76" s="15">
        <v>11.12</v>
      </c>
      <c r="C76" s="13" t="s">
        <v>216</v>
      </c>
      <c r="D76" s="101" t="s">
        <v>215</v>
      </c>
      <c r="E76" s="941">
        <v>42125.333333333336</v>
      </c>
      <c r="F76" s="942">
        <v>42125.333333333336</v>
      </c>
      <c r="G76" s="100" t="s">
        <v>214</v>
      </c>
      <c r="H76" s="12"/>
      <c r="I76" s="12"/>
      <c r="J76" s="12"/>
      <c r="K76" s="12"/>
      <c r="L76" s="12"/>
      <c r="M76" s="12"/>
    </row>
    <row r="77" spans="1:13">
      <c r="A77" s="7"/>
      <c r="B77" s="15" t="s">
        <v>213</v>
      </c>
      <c r="C77" s="13" t="s">
        <v>212</v>
      </c>
      <c r="D77" s="101" t="s">
        <v>205</v>
      </c>
      <c r="E77" s="941">
        <v>42125.333333333336</v>
      </c>
      <c r="F77" s="942">
        <v>42166.708333333336</v>
      </c>
      <c r="G77" s="100" t="s">
        <v>211</v>
      </c>
      <c r="H77" s="12"/>
      <c r="I77" s="12"/>
      <c r="J77" s="12"/>
      <c r="K77" s="12"/>
      <c r="L77" s="12"/>
      <c r="M77" s="12"/>
    </row>
    <row r="78" spans="1:13">
      <c r="A78" s="7"/>
      <c r="B78" s="15" t="s">
        <v>210</v>
      </c>
      <c r="C78" s="13" t="s">
        <v>209</v>
      </c>
      <c r="D78" s="101" t="s">
        <v>205</v>
      </c>
      <c r="E78" s="941">
        <v>42167.333333333336</v>
      </c>
      <c r="F78" s="942">
        <v>42208.708333333336</v>
      </c>
      <c r="G78" s="100" t="s">
        <v>208</v>
      </c>
      <c r="H78" s="12"/>
      <c r="I78" s="12"/>
      <c r="J78" s="12"/>
      <c r="K78" s="12"/>
      <c r="L78" s="12"/>
      <c r="M78" s="12"/>
    </row>
    <row r="79" spans="1:13">
      <c r="A79" s="7"/>
      <c r="B79" s="15" t="s">
        <v>207</v>
      </c>
      <c r="C79" s="13" t="s">
        <v>206</v>
      </c>
      <c r="D79" s="101" t="s">
        <v>205</v>
      </c>
      <c r="E79" s="941">
        <v>42209.333333333336</v>
      </c>
      <c r="F79" s="942">
        <v>42250.708333333336</v>
      </c>
      <c r="G79" s="100" t="s">
        <v>204</v>
      </c>
      <c r="H79" s="12"/>
      <c r="I79" s="12"/>
      <c r="J79" s="12"/>
      <c r="K79" s="12"/>
      <c r="L79" s="12"/>
      <c r="M79" s="12"/>
    </row>
    <row r="80" spans="1:13">
      <c r="A80" s="7"/>
      <c r="B80" s="15" t="s">
        <v>203</v>
      </c>
      <c r="C80" s="13" t="s">
        <v>202</v>
      </c>
      <c r="D80" s="101" t="s">
        <v>198</v>
      </c>
      <c r="E80" s="941">
        <v>42251.333333333336</v>
      </c>
      <c r="F80" s="942">
        <v>42254.708333333336</v>
      </c>
      <c r="G80" s="100" t="s">
        <v>201</v>
      </c>
      <c r="H80" s="12"/>
      <c r="I80" s="12"/>
      <c r="J80" s="12"/>
      <c r="K80" s="12"/>
      <c r="L80" s="12"/>
      <c r="M80" s="12"/>
    </row>
    <row r="81" spans="1:13">
      <c r="A81" s="7"/>
      <c r="B81" s="15" t="s">
        <v>200</v>
      </c>
      <c r="C81" s="13" t="s">
        <v>199</v>
      </c>
      <c r="D81" s="101" t="s">
        <v>198</v>
      </c>
      <c r="E81" s="941">
        <v>42255.333333333336</v>
      </c>
      <c r="F81" s="942">
        <v>42256.708333333336</v>
      </c>
      <c r="G81" s="100" t="s">
        <v>197</v>
      </c>
      <c r="H81" s="12"/>
      <c r="I81" s="12"/>
      <c r="J81" s="12"/>
      <c r="K81" s="12"/>
      <c r="L81" s="12"/>
      <c r="M81" s="12"/>
    </row>
    <row r="82" spans="1:13">
      <c r="A82" s="7"/>
      <c r="B82" s="15" t="s">
        <v>196</v>
      </c>
      <c r="C82" s="13" t="s">
        <v>195</v>
      </c>
      <c r="D82" s="101" t="s">
        <v>194</v>
      </c>
      <c r="E82" s="941">
        <v>42257.333333333336</v>
      </c>
      <c r="F82" s="942">
        <v>42263.708333333336</v>
      </c>
      <c r="G82" s="100" t="s">
        <v>193</v>
      </c>
      <c r="H82" s="12"/>
      <c r="I82" s="12"/>
      <c r="J82" s="12"/>
      <c r="K82" s="12"/>
      <c r="L82" s="12"/>
      <c r="M82" s="12"/>
    </row>
    <row r="83" spans="1:13">
      <c r="A83" s="39"/>
      <c r="B83" s="12"/>
      <c r="C83" s="12"/>
      <c r="D83" s="12"/>
      <c r="E83" s="12"/>
      <c r="F83" s="12"/>
      <c r="G83" s="12"/>
      <c r="H83" s="12"/>
      <c r="I83" s="12"/>
      <c r="J83" s="12"/>
      <c r="K83" s="12"/>
      <c r="L83" s="12"/>
    </row>
    <row r="84" spans="1:13">
      <c r="A84" s="39"/>
      <c r="B84" s="12"/>
      <c r="C84" s="12"/>
      <c r="D84" s="12"/>
      <c r="E84" s="12"/>
      <c r="F84" s="12"/>
      <c r="G84" s="12"/>
      <c r="H84" s="12"/>
      <c r="I84" s="12"/>
      <c r="J84" s="12"/>
      <c r="K84" s="12"/>
      <c r="L84" s="12"/>
    </row>
    <row r="85" spans="1:13">
      <c r="A85" s="39"/>
      <c r="B85" s="12"/>
      <c r="C85" s="12"/>
      <c r="D85" s="12"/>
      <c r="E85" s="12"/>
      <c r="F85" s="12"/>
      <c r="G85" s="12"/>
      <c r="H85" s="12"/>
      <c r="I85" s="12"/>
      <c r="J85" s="12"/>
      <c r="K85" s="12"/>
      <c r="L85" s="12"/>
    </row>
    <row r="86" spans="1:13">
      <c r="A86" s="39"/>
      <c r="B86" s="12"/>
      <c r="C86" s="12"/>
      <c r="D86" s="12"/>
      <c r="E86" s="12"/>
      <c r="F86" s="12"/>
      <c r="G86" s="12"/>
      <c r="H86" s="12"/>
      <c r="I86" s="12"/>
      <c r="J86" s="12"/>
      <c r="K86" s="12"/>
      <c r="L86" s="12"/>
    </row>
    <row r="87" spans="1:13">
      <c r="A87" s="39"/>
      <c r="B87" s="35"/>
      <c r="C87" s="12"/>
      <c r="D87" s="12"/>
      <c r="E87" s="12"/>
      <c r="F87" s="12"/>
      <c r="G87" s="12"/>
      <c r="H87" s="12"/>
      <c r="I87" s="12"/>
      <c r="J87" s="12"/>
      <c r="K87" s="12"/>
      <c r="L87" s="12"/>
    </row>
    <row r="88" spans="1:13">
      <c r="A88" s="39"/>
      <c r="B88" s="12"/>
      <c r="C88" s="12"/>
      <c r="D88" s="12"/>
      <c r="E88" s="12"/>
      <c r="F88" s="12"/>
      <c r="G88" s="12"/>
      <c r="H88" s="12"/>
      <c r="I88" s="12"/>
      <c r="J88" s="12"/>
      <c r="K88" s="12"/>
      <c r="L88" s="12"/>
    </row>
    <row r="89" spans="1:13">
      <c r="A89" s="39"/>
      <c r="B89" s="12"/>
      <c r="C89" s="12"/>
      <c r="D89" s="12"/>
      <c r="E89" s="12"/>
      <c r="F89" s="12"/>
      <c r="G89" s="12"/>
      <c r="H89" s="12"/>
      <c r="I89" s="12"/>
      <c r="J89" s="12"/>
      <c r="K89" s="12"/>
      <c r="L89" s="12"/>
    </row>
    <row r="90" spans="1:13">
      <c r="A90" s="39"/>
      <c r="B90" s="12"/>
      <c r="C90" s="12"/>
      <c r="D90" s="12"/>
      <c r="E90" s="12"/>
      <c r="F90" s="12"/>
      <c r="G90" s="12"/>
      <c r="H90" s="12"/>
      <c r="I90" s="12"/>
      <c r="J90" s="12"/>
      <c r="K90" s="12"/>
      <c r="L90" s="12"/>
    </row>
    <row r="91" spans="1:13">
      <c r="A91" s="39"/>
      <c r="B91" s="12"/>
      <c r="C91" s="12"/>
      <c r="D91" s="12"/>
      <c r="E91" s="12"/>
      <c r="F91" s="12"/>
      <c r="G91" s="12"/>
      <c r="H91" s="12"/>
      <c r="I91" s="12"/>
      <c r="J91" s="12"/>
      <c r="K91" s="12"/>
      <c r="L91" s="12"/>
    </row>
    <row r="93" spans="1:13">
      <c r="B93" s="19"/>
    </row>
  </sheetData>
  <sheetProtection algorithmName="SHA-512" hashValue="geiZZxi0vrp4CXMtJIuK19YG5xEG6Ft7/OtUZCy/Zb3V77oOKXL3HBu7UUUIjdSxgHbfU8mZZYYS/mZWi9+7aw==" saltValue="vf6KhpIRrizNn9J4/Z7SnQ==" spinCount="100000" sheet="1" objects="1" scenarios="1"/>
  <phoneticPr fontId="87" type="noConversion"/>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697</vt:i4>
      </vt:variant>
    </vt:vector>
  </HeadingPairs>
  <TitlesOfParts>
    <vt:vector size="719" baseType="lpstr">
      <vt:lpstr>Project-ID</vt:lpstr>
      <vt:lpstr>Title-Page</vt:lpstr>
      <vt:lpstr>Help</vt:lpstr>
      <vt:lpstr>Sim-Navigator</vt:lpstr>
      <vt:lpstr>Project-Start</vt:lpstr>
      <vt:lpstr>36-Mo-Fin-Pr</vt:lpstr>
      <vt:lpstr>D-Analysis</vt:lpstr>
      <vt:lpstr>SensIt Tornado 2</vt:lpstr>
      <vt:lpstr>SensIt Spider 2</vt:lpstr>
      <vt:lpstr>SensIt Two-Factor Tornado 2</vt:lpstr>
      <vt:lpstr>SensIt Tornado 1</vt:lpstr>
      <vt:lpstr>SensIt Spider 1</vt:lpstr>
      <vt:lpstr>SensIt Two-Factor Tornado 1</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Dist_BR01_01</vt:lpstr>
      <vt:lpstr>Dist_BR01_02</vt:lpstr>
      <vt:lpstr>Dist_BR01_03</vt:lpstr>
      <vt:lpstr>Dist_BR01_04</vt:lpstr>
      <vt:lpstr>Dist_BR01_05</vt:lpstr>
      <vt:lpstr>Dist_BR01_06</vt:lpstr>
      <vt:lpstr>Dist_BR01_07</vt:lpstr>
      <vt:lpstr>Dist_BR01_08</vt:lpstr>
      <vt:lpstr>Dist_BR01_09</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KPI_Retail_FY_1</vt:lpstr>
      <vt:lpstr>KPI_Retail_FY_2</vt:lpstr>
      <vt:lpstr>KPI_Retail_FY_3</vt:lpstr>
      <vt:lpstr>KPI_Retail_FY1_FY2_FY3</vt:lpstr>
      <vt:lpstr>KPI_Wholesale_FY_1</vt:lpstr>
      <vt:lpstr>KPI_Wholesale_FY_2</vt:lpstr>
      <vt:lpstr>KPI_Wholesale_FY_3</vt:lpstr>
      <vt:lpstr>KPI_Wholesale_FY1_FY2_FY3</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Material_BR01_01_FY_1</vt:lpstr>
      <vt:lpstr>Material_BR01_01_FY_2</vt:lpstr>
      <vt:lpstr>Material_BR01_01_FY_3</vt:lpstr>
      <vt:lpstr>Material_BR01_02_FY_1</vt:lpstr>
      <vt:lpstr>Material_BR01_02_FY_2</vt:lpstr>
      <vt:lpstr>Material_BR01_02_FY_3</vt:lpstr>
      <vt:lpstr>Material_BR01_03_FY_1</vt:lpstr>
      <vt:lpstr>Material_BR01_03_FY_2</vt:lpstr>
      <vt:lpstr>Material_BR01_03_FY_3</vt:lpstr>
      <vt:lpstr>Material_BR01_04_FY_1</vt:lpstr>
      <vt:lpstr>Material_BR01_04_FY_2</vt:lpstr>
      <vt:lpstr>Material_BR01_04_FY_3</vt:lpstr>
      <vt:lpstr>Material_BR01_05_FY_1</vt:lpstr>
      <vt:lpstr>Material_BR01_05_FY_2</vt:lpstr>
      <vt:lpstr>Material_BR01_05_FY_3</vt:lpstr>
      <vt:lpstr>Material_BR01_06_FY_1</vt:lpstr>
      <vt:lpstr>Material_BR01_06_FY_2</vt:lpstr>
      <vt:lpstr>Material_BR01_06_FY_3</vt:lpstr>
      <vt:lpstr>Material_BR01_07_FY_1</vt:lpstr>
      <vt:lpstr>Material_BR01_07_FY_2</vt:lpstr>
      <vt:lpstr>Material_BR01_07_FY_3</vt:lpstr>
      <vt:lpstr>Material_BR01_08_FY_1</vt:lpstr>
      <vt:lpstr>Material_BR01_08_FY_2</vt:lpstr>
      <vt:lpstr>Material_BR01_08_FY_3</vt:lpstr>
      <vt:lpstr>Material_BR01_09_FY_1</vt:lpstr>
      <vt:lpstr>Material_BR01_09_FY_2</vt:lpstr>
      <vt:lpstr>Material_BR01_09_FY_3</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Name_BR01_01</vt:lpstr>
      <vt:lpstr>Name_BR01_02</vt:lpstr>
      <vt:lpstr>Name_BR01_03</vt:lpstr>
      <vt:lpstr>Name_BR01_04</vt:lpstr>
      <vt:lpstr>Name_BR01_05</vt:lpstr>
      <vt:lpstr>Name_BR01_06</vt:lpstr>
      <vt:lpstr>Name_BR01_07</vt:lpstr>
      <vt:lpstr>Name_BR01_08</vt:lpstr>
      <vt:lpstr>Name_BR01_09</vt:lpstr>
      <vt:lpstr>optimazation</vt:lpstr>
      <vt:lpstr>ParametersPresetMCS</vt:lpstr>
      <vt:lpstr>Password</vt:lpstr>
      <vt:lpstr>Permission2Printouts</vt:lpstr>
      <vt:lpstr>PermissionNCycle</vt:lpstr>
      <vt:lpstr>PIFin</vt:lpstr>
      <vt:lpstr>PISim</vt:lpstr>
      <vt:lpstr>PMD_FY_1_BR01_01_Apr</vt:lpstr>
      <vt:lpstr>PMD_FY_1_BR01_01_Aug</vt:lpstr>
      <vt:lpstr>PMD_FY_1_BR01_01_Dec</vt:lpstr>
      <vt:lpstr>PMD_FY_1_BR01_01_Feb</vt:lpstr>
      <vt:lpstr>PMD_FY_1_BR01_01_Jan</vt:lpstr>
      <vt:lpstr>PMD_FY_1_BR01_01_Jul</vt:lpstr>
      <vt:lpstr>PMD_FY_1_BR01_01_Jun</vt:lpstr>
      <vt:lpstr>PMD_FY_1_BR01_01_Mar</vt:lpstr>
      <vt:lpstr>PMD_FY_1_BR01_01_May</vt:lpstr>
      <vt:lpstr>PMD_FY_1_BR01_01_Nov</vt:lpstr>
      <vt:lpstr>PMD_FY_1_BR01_01_Oct</vt:lpstr>
      <vt:lpstr>PMD_FY_1_BR01_01_Sep</vt:lpstr>
      <vt:lpstr>PMD_FY_1_BR01_02_Apr</vt:lpstr>
      <vt:lpstr>PMD_FY_1_BR01_02_Aug</vt:lpstr>
      <vt:lpstr>PMD_FY_1_BR01_02_Dec</vt:lpstr>
      <vt:lpstr>PMD_FY_1_BR01_02_Feb</vt:lpstr>
      <vt:lpstr>PMD_FY_1_BR01_02_Jan</vt:lpstr>
      <vt:lpstr>PMD_FY_1_BR01_02_Jul</vt:lpstr>
      <vt:lpstr>PMD_FY_1_BR01_02_Jun</vt:lpstr>
      <vt:lpstr>PMD_FY_1_BR01_02_Mar</vt:lpstr>
      <vt:lpstr>PMD_FY_1_BR01_02_May</vt:lpstr>
      <vt:lpstr>PMD_FY_1_BR01_02_Nov</vt:lpstr>
      <vt:lpstr>PMD_FY_1_BR01_02_Oct</vt:lpstr>
      <vt:lpstr>PMD_FY_1_BR01_02_Sep</vt:lpstr>
      <vt:lpstr>PMD_FY_1_BR01_03_Apr</vt:lpstr>
      <vt:lpstr>PMD_FY_1_BR01_03_Aug</vt:lpstr>
      <vt:lpstr>PMD_FY_1_BR01_03_Dec</vt:lpstr>
      <vt:lpstr>PMD_FY_1_BR01_03_Feb</vt:lpstr>
      <vt:lpstr>PMD_FY_1_BR01_03_Jan</vt:lpstr>
      <vt:lpstr>PMD_FY_1_BR01_03_Jul</vt:lpstr>
      <vt:lpstr>PMD_FY_1_BR01_03_Jun</vt:lpstr>
      <vt:lpstr>PMD_FY_1_BR01_03_Mar</vt:lpstr>
      <vt:lpstr>PMD_FY_1_BR01_03_May</vt:lpstr>
      <vt:lpstr>PMD_FY_1_BR01_03_Nov</vt:lpstr>
      <vt:lpstr>PMD_FY_1_BR01_03_Oct</vt:lpstr>
      <vt:lpstr>PMD_FY_1_BR01_03_Sep</vt:lpstr>
      <vt:lpstr>PMD_FY_1_BR01_04_Apr</vt:lpstr>
      <vt:lpstr>PMD_FY_1_BR01_04_Aug</vt:lpstr>
      <vt:lpstr>PMD_FY_1_BR01_04_Dec</vt:lpstr>
      <vt:lpstr>PMD_FY_1_BR01_04_Feb</vt:lpstr>
      <vt:lpstr>PMD_FY_1_BR01_04_Jan</vt:lpstr>
      <vt:lpstr>PMD_FY_1_BR01_04_Jul</vt:lpstr>
      <vt:lpstr>PMD_FY_1_BR01_04_Jun</vt:lpstr>
      <vt:lpstr>PMD_FY_1_BR01_04_Mar</vt:lpstr>
      <vt:lpstr>PMD_FY_1_BR01_04_May</vt:lpstr>
      <vt:lpstr>PMD_FY_1_BR01_04_Nov</vt:lpstr>
      <vt:lpstr>PMD_FY_1_BR01_04_Oct</vt:lpstr>
      <vt:lpstr>PMD_FY_1_BR01_04_Sep</vt:lpstr>
      <vt:lpstr>PMD_FY_1_BR01_05_Apr</vt:lpstr>
      <vt:lpstr>PMD_FY_1_BR01_05_Aug</vt:lpstr>
      <vt:lpstr>PMD_FY_1_BR01_05_Dec</vt:lpstr>
      <vt:lpstr>PMD_FY_1_BR01_05_Feb</vt:lpstr>
      <vt:lpstr>PMD_FY_1_BR01_05_Jan</vt:lpstr>
      <vt:lpstr>PMD_FY_1_BR01_05_Jul</vt:lpstr>
      <vt:lpstr>PMD_FY_1_BR01_05_Jun</vt:lpstr>
      <vt:lpstr>PMD_FY_1_BR01_05_Mar</vt:lpstr>
      <vt:lpstr>PMD_FY_1_BR01_05_May</vt:lpstr>
      <vt:lpstr>PMD_FY_1_BR01_05_Nov</vt:lpstr>
      <vt:lpstr>PMD_FY_1_BR01_05_Oct</vt:lpstr>
      <vt:lpstr>PMD_FY_1_BR01_05_Sep</vt:lpstr>
      <vt:lpstr>PMD_FY_1_BR01_06_Apr</vt:lpstr>
      <vt:lpstr>PMD_FY_1_BR01_06_Aug</vt:lpstr>
      <vt:lpstr>PMD_FY_1_BR01_06_Dec</vt:lpstr>
      <vt:lpstr>PMD_FY_1_BR01_06_Feb</vt:lpstr>
      <vt:lpstr>PMD_FY_1_BR01_06_Jan</vt:lpstr>
      <vt:lpstr>PMD_FY_1_BR01_06_Jul</vt:lpstr>
      <vt:lpstr>PMD_FY_1_BR01_06_Jun</vt:lpstr>
      <vt:lpstr>PMD_FY_1_BR01_06_Mar</vt:lpstr>
      <vt:lpstr>PMD_FY_1_BR01_06_May</vt:lpstr>
      <vt:lpstr>PMD_FY_1_BR01_06_Nov</vt:lpstr>
      <vt:lpstr>PMD_FY_1_BR01_06_Oct</vt:lpstr>
      <vt:lpstr>PMD_FY_1_BR01_06_Sep</vt:lpstr>
      <vt:lpstr>PMD_FY_1_BR01_07_Apr</vt:lpstr>
      <vt:lpstr>PMD_FY_1_BR01_07_Aug</vt:lpstr>
      <vt:lpstr>PMD_FY_1_BR01_07_Dec</vt:lpstr>
      <vt:lpstr>PMD_FY_1_BR01_07_Feb</vt:lpstr>
      <vt:lpstr>PMD_FY_1_BR01_07_Jan</vt:lpstr>
      <vt:lpstr>PMD_FY_1_BR01_07_Jul</vt:lpstr>
      <vt:lpstr>PMD_FY_1_BR01_07_Jun</vt:lpstr>
      <vt:lpstr>PMD_FY_1_BR01_07_Mar</vt:lpstr>
      <vt:lpstr>PMD_FY_1_BR01_07_May</vt:lpstr>
      <vt:lpstr>PMD_FY_1_BR01_07_Nov</vt:lpstr>
      <vt:lpstr>PMD_FY_1_BR01_07_Oct</vt:lpstr>
      <vt:lpstr>PMD_FY_1_BR01_07_Sep</vt:lpstr>
      <vt:lpstr>PMD_FY_1_BR01_08_Apr</vt:lpstr>
      <vt:lpstr>PMD_FY_1_BR01_08_Aug</vt:lpstr>
      <vt:lpstr>PMD_FY_1_BR01_08_Dec</vt:lpstr>
      <vt:lpstr>PMD_FY_1_BR01_08_Feb</vt:lpstr>
      <vt:lpstr>PMD_FY_1_BR01_08_Jan</vt:lpstr>
      <vt:lpstr>PMD_FY_1_BR01_08_Jul</vt:lpstr>
      <vt:lpstr>PMD_FY_1_BR01_08_Jun</vt:lpstr>
      <vt:lpstr>PMD_FY_1_BR01_08_Mar</vt:lpstr>
      <vt:lpstr>PMD_FY_1_BR01_08_May</vt:lpstr>
      <vt:lpstr>PMD_FY_1_BR01_08_Nov</vt:lpstr>
      <vt:lpstr>PMD_FY_1_BR01_08_Oct</vt:lpstr>
      <vt:lpstr>PMD_FY_1_BR01_08_Sep</vt:lpstr>
      <vt:lpstr>PMD_FY_2_BR01_01_Apr</vt:lpstr>
      <vt:lpstr>PMD_FY_2_BR01_01_Aug</vt:lpstr>
      <vt:lpstr>PMD_FY_2_BR01_01_Dec</vt:lpstr>
      <vt:lpstr>PMD_FY_2_BR01_01_Feb</vt:lpstr>
      <vt:lpstr>PMD_FY_2_BR01_01_Jan</vt:lpstr>
      <vt:lpstr>PMD_FY_2_BR01_01_Jul</vt:lpstr>
      <vt:lpstr>PMD_FY_2_BR01_01_Jun</vt:lpstr>
      <vt:lpstr>PMD_FY_2_BR01_01_Mar</vt:lpstr>
      <vt:lpstr>PMD_FY_2_BR01_01_May</vt:lpstr>
      <vt:lpstr>PMD_FY_2_BR01_01_Nov</vt:lpstr>
      <vt:lpstr>PMD_FY_2_BR01_01_Oct</vt:lpstr>
      <vt:lpstr>PMD_FY_2_BR01_01_Sep</vt:lpstr>
      <vt:lpstr>PMD_FY_2_BR01_02_Apr</vt:lpstr>
      <vt:lpstr>PMD_FY_2_BR01_02_Aug</vt:lpstr>
      <vt:lpstr>PMD_FY_2_BR01_02_Dec</vt:lpstr>
      <vt:lpstr>PMD_FY_2_BR01_02_Feb</vt:lpstr>
      <vt:lpstr>PMD_FY_2_BR01_02_Jan</vt:lpstr>
      <vt:lpstr>PMD_FY_2_BR01_02_Jul</vt:lpstr>
      <vt:lpstr>PMD_FY_2_BR01_02_Jun</vt:lpstr>
      <vt:lpstr>PMD_FY_2_BR01_02_Mar</vt:lpstr>
      <vt:lpstr>PMD_FY_2_BR01_02_May</vt:lpstr>
      <vt:lpstr>PMD_FY_2_BR01_02_Nov</vt:lpstr>
      <vt:lpstr>PMD_FY_2_BR01_02_Oct</vt:lpstr>
      <vt:lpstr>PMD_FY_2_BR01_02_Sep</vt:lpstr>
      <vt:lpstr>PMD_FY_2_BR01_03_Apr</vt:lpstr>
      <vt:lpstr>PMD_FY_2_BR01_03_Aug</vt:lpstr>
      <vt:lpstr>PMD_FY_2_BR01_03_Dec</vt:lpstr>
      <vt:lpstr>PMD_FY_2_BR01_03_Feb</vt:lpstr>
      <vt:lpstr>PMD_FY_2_BR01_03_Jan</vt:lpstr>
      <vt:lpstr>PMD_FY_2_BR01_03_Jul</vt:lpstr>
      <vt:lpstr>PMD_FY_2_BR01_03_Jun</vt:lpstr>
      <vt:lpstr>PMD_FY_2_BR01_03_Mar</vt:lpstr>
      <vt:lpstr>PMD_FY_2_BR01_03_May</vt:lpstr>
      <vt:lpstr>PMD_FY_2_BR01_03_Nov</vt:lpstr>
      <vt:lpstr>PMD_FY_2_BR01_03_Oct</vt:lpstr>
      <vt:lpstr>PMD_FY_2_BR01_03_Sep</vt:lpstr>
      <vt:lpstr>PMD_FY_2_BR01_04_Apr</vt:lpstr>
      <vt:lpstr>PMD_FY_2_BR01_04_Aug</vt:lpstr>
      <vt:lpstr>PMD_FY_2_BR01_04_Dec</vt:lpstr>
      <vt:lpstr>PMD_FY_2_BR01_04_Feb</vt:lpstr>
      <vt:lpstr>PMD_FY_2_BR01_04_Jan</vt:lpstr>
      <vt:lpstr>PMD_FY_2_BR01_04_Jul</vt:lpstr>
      <vt:lpstr>PMD_FY_2_BR01_04_Jun</vt:lpstr>
      <vt:lpstr>PMD_FY_2_BR01_04_Mar</vt:lpstr>
      <vt:lpstr>PMD_FY_2_BR01_04_May</vt:lpstr>
      <vt:lpstr>PMD_FY_2_BR01_04_Nov</vt:lpstr>
      <vt:lpstr>PMD_FY_2_BR01_04_Oct</vt:lpstr>
      <vt:lpstr>PMD_FY_2_BR01_04_Sep</vt:lpstr>
      <vt:lpstr>PMD_FY_2_BR01_05_Apr</vt:lpstr>
      <vt:lpstr>PMD_FY_2_BR01_05_Aug</vt:lpstr>
      <vt:lpstr>PMD_FY_2_BR01_05_Dec</vt:lpstr>
      <vt:lpstr>PMD_FY_2_BR01_05_Feb</vt:lpstr>
      <vt:lpstr>PMD_FY_2_BR01_05_Jan</vt:lpstr>
      <vt:lpstr>PMD_FY_2_BR01_05_Jul</vt:lpstr>
      <vt:lpstr>PMD_FY_2_BR01_05_Jun</vt:lpstr>
      <vt:lpstr>PMD_FY_2_BR01_05_Mar</vt:lpstr>
      <vt:lpstr>PMD_FY_2_BR01_05_May</vt:lpstr>
      <vt:lpstr>PMD_FY_2_BR01_05_Nov</vt:lpstr>
      <vt:lpstr>PMD_FY_2_BR01_05_Oct</vt:lpstr>
      <vt:lpstr>PMD_FY_2_BR01_05_Sep</vt:lpstr>
      <vt:lpstr>PMD_FY_2_BR01_06_Apr</vt:lpstr>
      <vt:lpstr>PMD_FY_2_BR01_06_Aug</vt:lpstr>
      <vt:lpstr>PMD_FY_2_BR01_06_Dec</vt:lpstr>
      <vt:lpstr>PMD_FY_2_BR01_06_Feb</vt:lpstr>
      <vt:lpstr>PMD_FY_2_BR01_06_Jan</vt:lpstr>
      <vt:lpstr>PMD_FY_2_BR01_06_Jul</vt:lpstr>
      <vt:lpstr>PMD_FY_2_BR01_06_Jun</vt:lpstr>
      <vt:lpstr>PMD_FY_2_BR01_06_Mar</vt:lpstr>
      <vt:lpstr>PMD_FY_2_BR01_06_May</vt:lpstr>
      <vt:lpstr>PMD_FY_2_BR01_06_Nov</vt:lpstr>
      <vt:lpstr>PMD_FY_2_BR01_06_Oct</vt:lpstr>
      <vt:lpstr>PMD_FY_2_BR01_06_Sep</vt:lpstr>
      <vt:lpstr>PMD_FY_2_BR01_07_Apr</vt:lpstr>
      <vt:lpstr>PMD_FY_2_BR01_07_Aug</vt:lpstr>
      <vt:lpstr>PMD_FY_2_BR01_07_Dec</vt:lpstr>
      <vt:lpstr>PMD_FY_2_BR01_07_Feb</vt:lpstr>
      <vt:lpstr>PMD_FY_2_BR01_07_Jan</vt:lpstr>
      <vt:lpstr>PMD_FY_2_BR01_07_Jul</vt:lpstr>
      <vt:lpstr>PMD_FY_2_BR01_07_Jun</vt:lpstr>
      <vt:lpstr>PMD_FY_2_BR01_07_Mar</vt:lpstr>
      <vt:lpstr>PMD_FY_2_BR01_07_May</vt:lpstr>
      <vt:lpstr>PMD_FY_2_BR01_07_Nov</vt:lpstr>
      <vt:lpstr>PMD_FY_2_BR01_07_Oct</vt:lpstr>
      <vt:lpstr>PMD_FY_2_BR01_07_Sep</vt:lpstr>
      <vt:lpstr>PMD_FY_2_BR01_08_Apr</vt:lpstr>
      <vt:lpstr>PMD_FY_2_BR01_08_Aug</vt:lpstr>
      <vt:lpstr>PMD_FY_2_BR01_08_Dec</vt:lpstr>
      <vt:lpstr>PMD_FY_2_BR01_08_Feb</vt:lpstr>
      <vt:lpstr>PMD_FY_2_BR01_08_Jan</vt:lpstr>
      <vt:lpstr>PMD_FY_2_BR01_08_Jul</vt:lpstr>
      <vt:lpstr>PMD_FY_2_BR01_08_Jun</vt:lpstr>
      <vt:lpstr>PMD_FY_2_BR01_08_Mar</vt:lpstr>
      <vt:lpstr>PMD_FY_2_BR01_08_May</vt:lpstr>
      <vt:lpstr>PMD_FY_2_BR01_08_Nov</vt:lpstr>
      <vt:lpstr>PMD_FY_2_BR01_08_Oct</vt:lpstr>
      <vt:lpstr>PMD_FY_2_BR01_08_Sep</vt:lpstr>
      <vt:lpstr>PMD_FY_3_BR01_01_Apr</vt:lpstr>
      <vt:lpstr>PMD_FY_3_BR01_01_Aug</vt:lpstr>
      <vt:lpstr>PMD_FY_3_BR01_01_Dec</vt:lpstr>
      <vt:lpstr>PMD_FY_3_BR01_01_Feb</vt:lpstr>
      <vt:lpstr>PMD_FY_3_BR01_01_Jan</vt:lpstr>
      <vt:lpstr>PMD_FY_3_BR01_01_Jul</vt:lpstr>
      <vt:lpstr>PMD_FY_3_BR01_01_Jun</vt:lpstr>
      <vt:lpstr>PMD_FY_3_BR01_01_Mar</vt:lpstr>
      <vt:lpstr>PMD_FY_3_BR01_01_May</vt:lpstr>
      <vt:lpstr>PMD_FY_3_BR01_01_Nov</vt:lpstr>
      <vt:lpstr>PMD_FY_3_BR01_01_Oct</vt:lpstr>
      <vt:lpstr>PMD_FY_3_BR01_01_Sep</vt:lpstr>
      <vt:lpstr>PMD_FY_3_BR01_02_Apr</vt:lpstr>
      <vt:lpstr>PMD_FY_3_BR01_02_Aug</vt:lpstr>
      <vt:lpstr>PMD_FY_3_BR01_02_Dec</vt:lpstr>
      <vt:lpstr>PMD_FY_3_BR01_02_Feb</vt:lpstr>
      <vt:lpstr>PMD_FY_3_BR01_02_Jan</vt:lpstr>
      <vt:lpstr>PMD_FY_3_BR01_02_Jul</vt:lpstr>
      <vt:lpstr>PMD_FY_3_BR01_02_Jun</vt:lpstr>
      <vt:lpstr>PMD_FY_3_BR01_02_Mar</vt:lpstr>
      <vt:lpstr>PMD_FY_3_BR01_02_May</vt:lpstr>
      <vt:lpstr>PMD_FY_3_BR01_02_Nov</vt:lpstr>
      <vt:lpstr>PMD_FY_3_BR01_02_Oct</vt:lpstr>
      <vt:lpstr>PMD_FY_3_BR01_02_Sep</vt:lpstr>
      <vt:lpstr>PMD_FY_3_BR01_03_Apr</vt:lpstr>
      <vt:lpstr>PMD_FY_3_BR01_03_Aug</vt:lpstr>
      <vt:lpstr>PMD_FY_3_BR01_03_Dec</vt:lpstr>
      <vt:lpstr>PMD_FY_3_BR01_03_Feb</vt:lpstr>
      <vt:lpstr>PMD_FY_3_BR01_03_Jan</vt:lpstr>
      <vt:lpstr>PMD_FY_3_BR01_03_Jul</vt:lpstr>
      <vt:lpstr>PMD_FY_3_BR01_03_Jun</vt:lpstr>
      <vt:lpstr>PMD_FY_3_BR01_03_Mar</vt:lpstr>
      <vt:lpstr>PMD_FY_3_BR01_03_May</vt:lpstr>
      <vt:lpstr>PMD_FY_3_BR01_03_Nov</vt:lpstr>
      <vt:lpstr>PMD_FY_3_BR01_03_Oct</vt:lpstr>
      <vt:lpstr>PMD_FY_3_BR01_03_Sep</vt:lpstr>
      <vt:lpstr>PMD_FY_3_BR01_04_Apr</vt:lpstr>
      <vt:lpstr>PMD_FY_3_BR01_04_Aug</vt:lpstr>
      <vt:lpstr>PMD_FY_3_BR01_04_Dec</vt:lpstr>
      <vt:lpstr>PMD_FY_3_BR01_04_Feb</vt:lpstr>
      <vt:lpstr>PMD_FY_3_BR01_04_Jan</vt:lpstr>
      <vt:lpstr>PMD_FY_3_BR01_04_Jul</vt:lpstr>
      <vt:lpstr>PMD_FY_3_BR01_04_Jun</vt:lpstr>
      <vt:lpstr>PMD_FY_3_BR01_04_Mar</vt:lpstr>
      <vt:lpstr>PMD_FY_3_BR01_04_May</vt:lpstr>
      <vt:lpstr>PMD_FY_3_BR01_04_Nov</vt:lpstr>
      <vt:lpstr>PMD_FY_3_BR01_04_Oct</vt:lpstr>
      <vt:lpstr>PMD_FY_3_BR01_04_Sep</vt:lpstr>
      <vt:lpstr>PMD_FY_3_BR01_05_Apr</vt:lpstr>
      <vt:lpstr>PMD_FY_3_BR01_05_Aug</vt:lpstr>
      <vt:lpstr>PMD_FY_3_BR01_05_Dec</vt:lpstr>
      <vt:lpstr>PMD_FY_3_BR01_05_Feb</vt:lpstr>
      <vt:lpstr>PMD_FY_3_BR01_05_Jan</vt:lpstr>
      <vt:lpstr>PMD_FY_3_BR01_05_Jul</vt:lpstr>
      <vt:lpstr>PMD_FY_3_BR01_05_Jun</vt:lpstr>
      <vt:lpstr>PMD_FY_3_BR01_05_Mar</vt:lpstr>
      <vt:lpstr>PMD_FY_3_BR01_05_May</vt:lpstr>
      <vt:lpstr>PMD_FY_3_BR01_05_Nov</vt:lpstr>
      <vt:lpstr>PMD_FY_3_BR01_05_Oct</vt:lpstr>
      <vt:lpstr>PMD_FY_3_BR01_05_Sep</vt:lpstr>
      <vt:lpstr>PMD_FY_3_BR01_06_Apr</vt:lpstr>
      <vt:lpstr>PMD_FY_3_BR01_06_Aug</vt:lpstr>
      <vt:lpstr>PMD_FY_3_BR01_06_Dec</vt:lpstr>
      <vt:lpstr>PMD_FY_3_BR01_06_Feb</vt:lpstr>
      <vt:lpstr>PMD_FY_3_BR01_06_Jan</vt:lpstr>
      <vt:lpstr>PMD_FY_3_BR01_06_Jul</vt:lpstr>
      <vt:lpstr>PMD_FY_3_BR01_06_Jun</vt:lpstr>
      <vt:lpstr>PMD_FY_3_BR01_06_Mar</vt:lpstr>
      <vt:lpstr>PMD_FY_3_BR01_06_May</vt:lpstr>
      <vt:lpstr>PMD_FY_3_BR01_06_Nov</vt:lpstr>
      <vt:lpstr>PMD_FY_3_BR01_06_Oct</vt:lpstr>
      <vt:lpstr>PMD_FY_3_BR01_06_Sep</vt:lpstr>
      <vt:lpstr>PMD_FY_3_BR01_07_Apr</vt:lpstr>
      <vt:lpstr>PMD_FY_3_BR01_07_Aug</vt:lpstr>
      <vt:lpstr>PMD_FY_3_BR01_07_Dec</vt:lpstr>
      <vt:lpstr>PMD_FY_3_BR01_07_Feb</vt:lpstr>
      <vt:lpstr>PMD_FY_3_BR01_07_Jan</vt:lpstr>
      <vt:lpstr>PMD_FY_3_BR01_07_Jul</vt:lpstr>
      <vt:lpstr>PMD_FY_3_BR01_07_Jun</vt:lpstr>
      <vt:lpstr>PMD_FY_3_BR01_07_Mar</vt:lpstr>
      <vt:lpstr>PMD_FY_3_BR01_07_May</vt:lpstr>
      <vt:lpstr>PMD_FY_3_BR01_07_Nov</vt:lpstr>
      <vt:lpstr>PMD_FY_3_BR01_07_Oct</vt:lpstr>
      <vt:lpstr>PMD_FY_3_BR01_07_Sep</vt:lpstr>
      <vt:lpstr>PMD_FY_3_BR01_08_Apr</vt:lpstr>
      <vt:lpstr>PMD_FY_3_BR01_08_Aug</vt:lpstr>
      <vt:lpstr>PMD_FY_3_BR01_08_Dec</vt:lpstr>
      <vt:lpstr>PMD_FY_3_BR01_08_Feb</vt:lpstr>
      <vt:lpstr>PMD_FY_3_BR01_08_Jan</vt:lpstr>
      <vt:lpstr>PMD_FY_3_BR01_08_Jul</vt:lpstr>
      <vt:lpstr>PMD_FY_3_BR01_08_Jun</vt:lpstr>
      <vt:lpstr>PMD_FY_3_BR01_08_Mar</vt:lpstr>
      <vt:lpstr>PMD_FY_3_BR01_08_May</vt:lpstr>
      <vt:lpstr>PMD_FY_3_BR01_08_Nov</vt:lpstr>
      <vt:lpstr>PMD_FY_3_BR01_08_Oct</vt:lpstr>
      <vt:lpstr>PMD_FY_3_BR01_08_Sep</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'SensIt Spider 1'!Print_Area</vt:lpstr>
      <vt:lpstr>'SensIt Spider 2'!Print_Area</vt:lpstr>
      <vt:lpstr>'SensIt Tornado 1'!Print_Area</vt:lpstr>
      <vt:lpstr>'SensIt Tornado 2'!Print_Area</vt:lpstr>
      <vt:lpstr>'SensIt Two-Factor Tornado 1'!Print_Area</vt:lpstr>
      <vt:lpstr>'SensIt Two-Factor Tornado 2'!Print_Area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SpO_BR01_01</vt:lpstr>
      <vt:lpstr>SpO_BR01_02</vt:lpstr>
      <vt:lpstr>SpO_BR01_03</vt:lpstr>
      <vt:lpstr>SpO_BR01_04</vt:lpstr>
      <vt:lpstr>SpO_BR01_05</vt:lpstr>
      <vt:lpstr>SpO_BR01_06</vt:lpstr>
      <vt:lpstr>SpO_BR01_07</vt:lpstr>
      <vt:lpstr>SpO_BR01_08</vt:lpstr>
      <vt:lpstr>SpO_BR01_09</vt:lpstr>
      <vt:lpstr>Start_BR01_01_FY_1</vt:lpstr>
      <vt:lpstr>Start_BR01_01_FY_2</vt:lpstr>
      <vt:lpstr>Start_BR01_01_FY_3</vt:lpstr>
      <vt:lpstr>Start_BR01_02_FY_1</vt:lpstr>
      <vt:lpstr>Start_BR01_02_FY_2</vt:lpstr>
      <vt:lpstr>Start_BR01_02_FY_3</vt:lpstr>
      <vt:lpstr>Start_BR01_03_FY_1</vt:lpstr>
      <vt:lpstr>Start_BR01_03_FY_2</vt:lpstr>
      <vt:lpstr>Start_BR01_03_FY_3</vt:lpstr>
      <vt:lpstr>Start_BR01_04_FY_1</vt:lpstr>
      <vt:lpstr>Start_BR01_04_FY_2</vt:lpstr>
      <vt:lpstr>Start_BR01_04_FY_3</vt:lpstr>
      <vt:lpstr>Start_BR01_05_FY_1</vt:lpstr>
      <vt:lpstr>Start_BR01_05_FY_2</vt:lpstr>
      <vt:lpstr>Start_BR01_05_FY_3</vt:lpstr>
      <vt:lpstr>Start_BR01_06_FY_1</vt:lpstr>
      <vt:lpstr>Start_BR01_06_FY_2</vt:lpstr>
      <vt:lpstr>Start_BR01_06_FY_3</vt:lpstr>
      <vt:lpstr>Start_BR01_07_FY_1</vt:lpstr>
      <vt:lpstr>Start_BR01_07_FY_2</vt:lpstr>
      <vt:lpstr>Start_BR01_07_FY_3</vt:lpstr>
      <vt:lpstr>Start_BR01_08_FY_1</vt:lpstr>
      <vt:lpstr>Start_BR01_08_FY_2</vt:lpstr>
      <vt:lpstr>Start_BR01_08_FY_3</vt:lpstr>
      <vt:lpstr>Start_BR01_09_FY_1</vt:lpstr>
      <vt:lpstr>Start_BR01_09_FY_2</vt:lpstr>
      <vt:lpstr>Start_BR01_09_FY_3</vt:lpstr>
      <vt:lpstr>StartEnd</vt:lpstr>
      <vt:lpstr>StudentName</vt:lpstr>
      <vt:lpstr>SummaryTable</vt:lpstr>
      <vt:lpstr>Ta</vt:lpstr>
      <vt:lpstr>TargetedMS</vt:lpstr>
      <vt:lpstr>TargetedMS_5</vt:lpstr>
      <vt:lpstr>TargetedMSMCS</vt:lpstr>
      <vt:lpstr>TargetedMSMkt</vt:lpstr>
      <vt:lpstr>TargetedMSo</vt:lpstr>
      <vt:lpstr>targetmarketsiZe</vt:lpstr>
      <vt:lpstr>TargMS_BR01_01_FY_1</vt:lpstr>
      <vt:lpstr>TargMS_BR01_01_FY_2</vt:lpstr>
      <vt:lpstr>TargMS_BR01_01_FY_3</vt:lpstr>
      <vt:lpstr>TargMS_BR01_02_FY_1</vt:lpstr>
      <vt:lpstr>TargMS_BR01_02_FY_2</vt:lpstr>
      <vt:lpstr>TargMS_BR01_02_FY_3</vt:lpstr>
      <vt:lpstr>TargMS_BR01_03_FY_1</vt:lpstr>
      <vt:lpstr>TargMS_BR01_03_FY_2</vt:lpstr>
      <vt:lpstr>TargMS_BR01_03_FY_3</vt:lpstr>
      <vt:lpstr>TargMS_BR01_04_FY_1</vt:lpstr>
      <vt:lpstr>TargMS_BR01_04_FY_2</vt:lpstr>
      <vt:lpstr>TargMS_BR01_04_FY_3</vt:lpstr>
      <vt:lpstr>TargMS_BR01_05_FY_1</vt:lpstr>
      <vt:lpstr>TargMS_BR01_05_FY_2</vt:lpstr>
      <vt:lpstr>TargMS_BR01_05_FY_3</vt:lpstr>
      <vt:lpstr>TargMS_BR01_06_FY_1</vt:lpstr>
      <vt:lpstr>TargMS_BR01_06_FY_2</vt:lpstr>
      <vt:lpstr>TargMS_BR01_06_FY_3</vt:lpstr>
      <vt:lpstr>TargMS_BR01_07_FY_1</vt:lpstr>
      <vt:lpstr>TargMS_BR01_07_FY_2</vt:lpstr>
      <vt:lpstr>TargMS_BR01_07_FY_3</vt:lpstr>
      <vt:lpstr>TargMS_BR01_08_FY_1</vt:lpstr>
      <vt:lpstr>TargMS_BR01_08_FY_2</vt:lpstr>
      <vt:lpstr>TargMS_BR01_08_FY_3</vt:lpstr>
      <vt:lpstr>TargMS_BR01_09_FY_1</vt:lpstr>
      <vt:lpstr>TargMS_BR01_09_FY_2</vt:lpstr>
      <vt:lpstr>TargMS_BR01_09_FY_3</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Lin, Jiaxing</cp:lastModifiedBy>
  <cp:lastPrinted>2014-06-20T15:56:27Z</cp:lastPrinted>
  <dcterms:created xsi:type="dcterms:W3CDTF">2013-03-29T17:24:59Z</dcterms:created>
  <dcterms:modified xsi:type="dcterms:W3CDTF">2023-04-29T09:01:36Z</dcterms:modified>
</cp:coreProperties>
</file>