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00"/>
  </bookViews>
  <sheets>
    <sheet name="Assembly BOM" sheetId="1" r:id="rId1"/>
    <sheet name="Purchase BOM" sheetId="2" r:id="rId2"/>
    <sheet name="Hot End BOM" sheetId="3" r:id="rId3"/>
  </sheets>
  <calcPr calcId="144525"/>
</workbook>
</file>

<file path=xl/sharedStrings.xml><?xml version="1.0" encoding="utf-8"?>
<sst xmlns="http://schemas.openxmlformats.org/spreadsheetml/2006/main" count="464" uniqueCount="191">
  <si>
    <t>Expected Print Range</t>
  </si>
  <si>
    <t>IMPORTANT</t>
  </si>
  <si>
    <t>x Direction (mm)</t>
  </si>
  <si>
    <t>1. To customize the size of the hot bed, please fill in the expected printing range.</t>
  </si>
  <si>
    <t>y Direction (mm)</t>
  </si>
  <si>
    <t>2. The main board only supports 180W hot bed (Include MOS tube if exceed range).</t>
  </si>
  <si>
    <t>z Direction (mm)</t>
  </si>
  <si>
    <t>3. Considering the physical characteristics of thread rod, print range should not exceed 300*300.</t>
  </si>
  <si>
    <t>Assembly BOM</t>
  </si>
  <si>
    <t>AESSEMBLY NAME</t>
  </si>
  <si>
    <t>ITEM NAME</t>
  </si>
  <si>
    <t>Dimension</t>
  </si>
  <si>
    <t>Unit</t>
  </si>
  <si>
    <t>Material</t>
  </si>
  <si>
    <t>QUANTITY</t>
  </si>
  <si>
    <t>Weight</t>
  </si>
  <si>
    <t>Total weight</t>
  </si>
  <si>
    <t>Phase</t>
  </si>
  <si>
    <t>x axis Assembly</t>
  </si>
  <si>
    <t>Linear Motion Rod Shaft (x axis)</t>
  </si>
  <si>
    <t>mm</t>
  </si>
  <si>
    <t>Aluminum</t>
  </si>
  <si>
    <t>X Axis Housing (left)</t>
  </si>
  <si>
    <t>PLA (40% filling)</t>
  </si>
  <si>
    <t>X Axis Housing (right)</t>
  </si>
  <si>
    <t>Button Head Socket Cap Screw</t>
  </si>
  <si>
    <t>M5 X 45</t>
  </si>
  <si>
    <t>M5 x 25</t>
  </si>
  <si>
    <t> Idler Pulley </t>
  </si>
  <si>
    <t>Teeth: 20  Bore: 5 Width: 6 </t>
  </si>
  <si>
    <t>Teethless  Bore: 5 Width: 6 </t>
  </si>
  <si>
    <t xml:space="preserve">Long Type Linear Bearings </t>
  </si>
  <si>
    <t xml:space="preserve"> 8 x 15 x 45</t>
  </si>
  <si>
    <t>LM8LUU</t>
  </si>
  <si>
    <t>y axis Assembly</t>
  </si>
  <si>
    <t>T Slot 2020  Extrusion (x axis)</t>
  </si>
  <si>
    <t>European Standard</t>
  </si>
  <si>
    <t>T Slot 2020  Extrusion (y axis)</t>
  </si>
  <si>
    <t>T Slot 2020  Extrusion (z axis)</t>
  </si>
  <si>
    <t>Linear Motion Rod Shaft (y axis)</t>
  </si>
  <si>
    <t>Rod Housing Left 01</t>
  </si>
  <si>
    <t>Rod Housing Left 02</t>
  </si>
  <si>
    <t>Rod Housing Right 01</t>
  </si>
  <si>
    <t>Rod Housing Right 02</t>
  </si>
  <si>
    <t>Filament Holder</t>
  </si>
  <si>
    <t>M4 X 8</t>
  </si>
  <si>
    <t>M4 X 22</t>
  </si>
  <si>
    <t>M5 X 25</t>
  </si>
  <si>
    <t>L Shape Flat Bracket </t>
  </si>
  <si>
    <t>80 X 80 X 1</t>
  </si>
  <si>
    <t>M6 X 10</t>
  </si>
  <si>
    <t>M4 X 6</t>
  </si>
  <si>
    <t>Round Rubber Feet Bumpers</t>
  </si>
  <si>
    <t>20 X 20 X 22</t>
  </si>
  <si>
    <t>M4 X 16</t>
  </si>
  <si>
    <t>2020 Series Corner Bracket</t>
  </si>
  <si>
    <t> M5 X 10</t>
  </si>
  <si>
    <t xml:space="preserve">Stepper Motor </t>
  </si>
  <si>
    <t xml:space="preserve">Nema 17  </t>
  </si>
  <si>
    <t>42 Stepper Motor Mounting Plate</t>
  </si>
  <si>
    <t> 42 X 42</t>
  </si>
  <si>
    <t>Reliability Aluminum</t>
  </si>
  <si>
    <t>Limit Micro Switch </t>
  </si>
  <si>
    <t>1A 125V</t>
  </si>
  <si>
    <t>SPDT</t>
  </si>
  <si>
    <t>Phillips Cross Head Screw</t>
  </si>
  <si>
    <t>M3 X 8</t>
  </si>
  <si>
    <t>GT2 Pulley</t>
  </si>
  <si>
    <t xml:space="preserve">GT2 Timing Pulley Belt </t>
  </si>
  <si>
    <t>Pitch: 2; Width: 6 </t>
  </si>
  <si>
    <t>T-slot Nuts</t>
  </si>
  <si>
    <t>M5</t>
  </si>
  <si>
    <t>M4</t>
  </si>
  <si>
    <t>z axis Assembly</t>
  </si>
  <si>
    <t>z axis support 02</t>
  </si>
  <si>
    <t>Acrylic Sheet </t>
  </si>
  <si>
    <t>z axis support 03</t>
  </si>
  <si>
    <t>z axis support 04</t>
  </si>
  <si>
    <t>z axis support 05</t>
  </si>
  <si>
    <t>Linear Motion Rod Shaft (z axis)</t>
  </si>
  <si>
    <t>T8 Thread rod</t>
  </si>
  <si>
    <t>Flexible Couplings</t>
  </si>
  <si>
    <t> 5 to 8</t>
  </si>
  <si>
    <t>M2 X 13</t>
  </si>
  <si>
    <t>Round Flange Linear Ball Bearings</t>
  </si>
  <si>
    <t>8 x 15 x 45</t>
  </si>
  <si>
    <t xml:space="preserve">LM8UU </t>
  </si>
  <si>
    <t>M3 x 8</t>
  </si>
  <si>
    <t>M4 x 12</t>
  </si>
  <si>
    <t>Heater bed Assembly</t>
  </si>
  <si>
    <t>z axis support 01</t>
  </si>
  <si>
    <t xml:space="preserve">1020 T-Track </t>
  </si>
  <si>
    <t>Heater Bed</t>
  </si>
  <si>
    <t>300 x 200 x 3</t>
  </si>
  <si>
    <t>Ender 3 V2</t>
  </si>
  <si>
    <t>Glass Bed Upgraded Build Surface Plate</t>
  </si>
  <si>
    <t>300 x 200 x 4</t>
  </si>
  <si>
    <t>Heated Bed Cover</t>
  </si>
  <si>
    <t>300 x 200</t>
  </si>
  <si>
    <t xml:space="preserve">mm </t>
  </si>
  <si>
    <t>Flat Bracet</t>
  </si>
  <si>
    <t xml:space="preserve">Stainless Steel </t>
  </si>
  <si>
    <t>Compression Spring</t>
  </si>
  <si>
    <t>0.5 x 5 x 40</t>
  </si>
  <si>
    <t>Compression Mould Die Springs</t>
  </si>
  <si>
    <t>OD: 8 ; Length: 25</t>
  </si>
  <si>
    <t>Knurled Thumb Nuts</t>
  </si>
  <si>
    <t>M3</t>
  </si>
  <si>
    <t>M3 x 40</t>
  </si>
  <si>
    <t> M5 x 10</t>
  </si>
  <si>
    <t> M5 x 12</t>
  </si>
  <si>
    <t>Anti-backlash Spring Loaded Nut</t>
  </si>
  <si>
    <t>Pitch: 2 ; Lead: 8</t>
  </si>
  <si>
    <t>M3 x 13</t>
  </si>
  <si>
    <t xml:space="preserve"> Square Nut</t>
  </si>
  <si>
    <t xml:space="preserve">M3  </t>
  </si>
  <si>
    <t>304 Stainless</t>
  </si>
  <si>
    <t>Hot end Assembly</t>
  </si>
  <si>
    <t>Hot End Full Kit</t>
  </si>
  <si>
    <t>Hot End Axis Holder</t>
  </si>
  <si>
    <t>Hot End Holder 01</t>
  </si>
  <si>
    <t>Hot End Holder 02</t>
  </si>
  <si>
    <t>Cooling Fan Holder</t>
  </si>
  <si>
    <t>Can be Print or Pruchase</t>
  </si>
  <si>
    <t>Series 3010 Cooling Fan</t>
  </si>
  <si>
    <t>30 x 30 x 10</t>
  </si>
  <si>
    <t>12V</t>
  </si>
  <si>
    <t>Series 4010 Cooling Fan</t>
  </si>
  <si>
    <t>40 x 40 x 10</t>
  </si>
  <si>
    <t>M2.5 X 8</t>
  </si>
  <si>
    <t>M3 X 40</t>
  </si>
  <si>
    <t>M3 x 10</t>
  </si>
  <si>
    <t>Extruder Feeder</t>
  </si>
  <si>
    <t> 42 x 42</t>
  </si>
  <si>
    <t xml:space="preserve"> </t>
  </si>
  <si>
    <t>Control board Assembly</t>
  </si>
  <si>
    <t>Control board 01</t>
  </si>
  <si>
    <t>Control board 02</t>
  </si>
  <si>
    <t xml:space="preserve">SD Card </t>
  </si>
  <si>
    <t>2G</t>
  </si>
  <si>
    <t xml:space="preserve"> LCD Display Touch Panel</t>
  </si>
  <si>
    <t xml:space="preserve">240X320 with PCB 5V/3.3V </t>
  </si>
  <si>
    <t>3D Printer Control Board</t>
  </si>
  <si>
    <t>Gen L V2.1</t>
  </si>
  <si>
    <t>Power Supply</t>
  </si>
  <si>
    <t>460W 12V38A</t>
  </si>
  <si>
    <t>Stepper Motor Driver</t>
  </si>
  <si>
    <t>TMC2208 </t>
  </si>
  <si>
    <t>Spiral Cable Wrap</t>
  </si>
  <si>
    <t> 6</t>
  </si>
  <si>
    <t>PE</t>
  </si>
  <si>
    <t xml:space="preserve">Total weight </t>
  </si>
  <si>
    <t>Purchase BOM</t>
  </si>
  <si>
    <t>Cost/Unit</t>
  </si>
  <si>
    <t>Estimate Cost</t>
  </si>
  <si>
    <t>Customize Part</t>
  </si>
  <si>
    <t>Linear Motion Rod Shaft</t>
  </si>
  <si>
    <t>x axis</t>
  </si>
  <si>
    <t>y axis</t>
  </si>
  <si>
    <t>z axis</t>
  </si>
  <si>
    <t xml:space="preserve">T Slot 2020 Extrusion </t>
  </si>
  <si>
    <t>3D Printing Part</t>
  </si>
  <si>
    <t>g</t>
  </si>
  <si>
    <t>297 x 420</t>
  </si>
  <si>
    <t>Acrylic</t>
  </si>
  <si>
    <t>Hardware</t>
  </si>
  <si>
    <t>80 x 80 x 1</t>
  </si>
  <si>
    <t>M4 X 20</t>
  </si>
  <si>
    <t>M2 X 12</t>
  </si>
  <si>
    <t>Electronic component</t>
  </si>
  <si>
    <t>Total Cost</t>
  </si>
  <si>
    <t>Hot End BOM</t>
  </si>
  <si>
    <t>Part Name</t>
  </si>
  <si>
    <t>V6 HeatSink (Long Distance)</t>
  </si>
  <si>
    <t>1.75 / 3</t>
  </si>
  <si>
    <t>All-Metal</t>
  </si>
  <si>
    <t>V6 Heating Block</t>
  </si>
  <si>
    <t>20 x 20 x10</t>
  </si>
  <si>
    <t>Extruder Nozzles</t>
  </si>
  <si>
    <r>
      <rPr>
        <sz val="10"/>
        <color theme="1"/>
        <rFont val="Century Gothic"/>
        <charset val="134"/>
      </rPr>
      <t>Brass</t>
    </r>
    <r>
      <rPr>
        <sz val="10.5"/>
        <color rgb="FF0F1111"/>
        <rFont val="Arial"/>
        <charset val="134"/>
      </rPr>
      <t> </t>
    </r>
  </si>
  <si>
    <t>High speed Fan Cover (for 3010)</t>
  </si>
  <si>
    <t>Nozzle Throat</t>
  </si>
  <si>
    <t>Tube Fitting</t>
  </si>
  <si>
    <t>PC4-01</t>
  </si>
  <si>
    <t xml:space="preserve">PTFE/teflon tubing </t>
  </si>
  <si>
    <t>OD: 4; ID: 2</t>
  </si>
  <si>
    <t>Thermistor Temp Sensor</t>
  </si>
  <si>
    <t xml:space="preserve">100K </t>
  </si>
  <si>
    <t>ohm</t>
  </si>
  <si>
    <t>Heat resistant &amp; ventilation</t>
  </si>
  <si>
    <r>
      <rPr>
        <sz val="10"/>
        <color theme="1"/>
        <rFont val="Century Gothic"/>
        <charset val="134"/>
      </rPr>
      <t>12V/40W NTC</t>
    </r>
    <r>
      <rPr>
        <sz val="10.5"/>
        <color rgb="FF0F1111"/>
        <rFont val="Arial"/>
        <charset val="134"/>
      </rPr>
      <t> </t>
    </r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</si>
</sst>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#,##0.00_ "/>
  </numFmts>
  <fonts count="28">
    <font>
      <sz val="11"/>
      <color theme="1"/>
      <name val="宋体"/>
      <charset val="134"/>
      <scheme val="minor"/>
    </font>
    <font>
      <b/>
      <sz val="24"/>
      <color theme="0"/>
      <name val="Century Gothic"/>
      <charset val="134"/>
    </font>
    <font>
      <b/>
      <sz val="10"/>
      <color theme="0"/>
      <name val="Century Gothic"/>
      <charset val="134"/>
    </font>
    <font>
      <sz val="10"/>
      <color theme="1"/>
      <name val="Century Gothic"/>
      <charset val="134"/>
    </font>
    <font>
      <sz val="18"/>
      <color rgb="FF0F1111"/>
      <name val="Arial"/>
      <charset val="134"/>
    </font>
    <font>
      <b/>
      <sz val="28"/>
      <color theme="0"/>
      <name val="Century Gothic"/>
      <charset val="134"/>
    </font>
    <font>
      <b/>
      <sz val="10"/>
      <color theme="1"/>
      <name val="Century Gothic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0F111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249977111117893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249977111117893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/>
      <top style="thin">
        <color theme="0" tint="-0.249977111117893"/>
      </top>
      <bottom/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theme="0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28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31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22" fillId="15" borderId="32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178" fontId="3" fillId="0" borderId="12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78" fontId="6" fillId="0" borderId="14" xfId="0" applyNumberFormat="1" applyFont="1" applyFill="1" applyBorder="1" applyAlignment="1">
      <alignment vertical="center"/>
    </xf>
    <xf numFmtId="0" fontId="2" fillId="3" borderId="15" xfId="0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vertical="center"/>
    </xf>
    <xf numFmtId="178" fontId="6" fillId="0" borderId="0" xfId="0" applyNumberFormat="1" applyFont="1" applyFill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left" vertical="center"/>
    </xf>
    <xf numFmtId="0" fontId="3" fillId="0" borderId="19" xfId="0" applyNumberFormat="1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179" fontId="3" fillId="4" borderId="23" xfId="0" applyNumberFormat="1" applyFont="1" applyFill="1" applyBorder="1" applyAlignment="1">
      <alignment horizontal="center" vertical="center"/>
    </xf>
    <xf numFmtId="179" fontId="3" fillId="0" borderId="4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9" fontId="3" fillId="4" borderId="16" xfId="0" applyNumberFormat="1" applyFont="1" applyFill="1" applyBorder="1" applyAlignment="1">
      <alignment horizontal="center" vertical="center"/>
    </xf>
    <xf numFmtId="179" fontId="3" fillId="0" borderId="8" xfId="0" applyNumberFormat="1" applyFont="1" applyFill="1" applyBorder="1" applyAlignment="1">
      <alignment horizontal="center" vertical="center"/>
    </xf>
    <xf numFmtId="179" fontId="3" fillId="4" borderId="24" xfId="0" applyNumberFormat="1" applyFont="1" applyFill="1" applyBorder="1" applyAlignment="1">
      <alignment horizontal="center" vertical="center"/>
    </xf>
    <xf numFmtId="179" fontId="3" fillId="0" borderId="3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179" fontId="3" fillId="0" borderId="5" xfId="0" applyNumberFormat="1" applyFont="1" applyFill="1" applyBorder="1" applyAlignment="1">
      <alignment horizontal="center" vertical="center"/>
    </xf>
    <xf numFmtId="0" fontId="3" fillId="0" borderId="26" xfId="0" applyNumberFormat="1" applyFont="1" applyFill="1" applyBorder="1" applyAlignment="1">
      <alignment horizontal="left" vertical="center"/>
    </xf>
    <xf numFmtId="179" fontId="3" fillId="0" borderId="1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tabSelected="1" topLeftCell="A95" workbookViewId="0">
      <selection activeCell="E34" sqref="E34"/>
    </sheetView>
  </sheetViews>
  <sheetFormatPr defaultColWidth="9" defaultRowHeight="13.75"/>
  <cols>
    <col min="1" max="1" width="22.9090909090909" style="8" customWidth="1"/>
    <col min="2" max="2" width="40.3181818181818" style="8" customWidth="1"/>
    <col min="3" max="3" width="31.6363636363636" style="8" customWidth="1"/>
    <col min="4" max="4" width="8.45454545454546" style="8" customWidth="1"/>
    <col min="5" max="5" width="24.6363636363636" style="8" customWidth="1"/>
    <col min="6" max="6" width="10.7272727272727" style="8" customWidth="1"/>
    <col min="7" max="7" width="18.6818181818182" style="8" customWidth="1"/>
    <col min="8" max="8" width="17.9090909090909" style="8" customWidth="1"/>
    <col min="9" max="9" width="27.9545454545455" style="8" customWidth="1"/>
    <col min="10" max="16384" width="9" style="8"/>
  </cols>
  <sheetData>
    <row r="1" spans="2:9">
      <c r="B1" s="25" t="s">
        <v>0</v>
      </c>
      <c r="C1" s="26"/>
      <c r="E1" s="27" t="s">
        <v>1</v>
      </c>
      <c r="F1" s="28"/>
      <c r="G1" s="28"/>
      <c r="H1" s="28"/>
      <c r="I1" s="28"/>
    </row>
    <row r="2" customFormat="1" spans="1:9">
      <c r="A2" s="8"/>
      <c r="B2" s="29" t="s">
        <v>2</v>
      </c>
      <c r="C2" s="30">
        <v>300</v>
      </c>
      <c r="D2" s="8"/>
      <c r="E2" s="31" t="s">
        <v>3</v>
      </c>
      <c r="F2" s="32"/>
      <c r="G2" s="32"/>
      <c r="H2" s="32"/>
      <c r="I2" s="46"/>
    </row>
    <row r="3" customFormat="1" spans="1:9">
      <c r="A3" s="8"/>
      <c r="B3" s="29" t="s">
        <v>4</v>
      </c>
      <c r="C3" s="30">
        <v>200</v>
      </c>
      <c r="D3" s="8"/>
      <c r="E3" s="31" t="s">
        <v>5</v>
      </c>
      <c r="F3" s="32"/>
      <c r="G3" s="32"/>
      <c r="H3" s="32"/>
      <c r="I3" s="46"/>
    </row>
    <row r="4" customFormat="1" spans="1:9">
      <c r="A4" s="8"/>
      <c r="B4" s="33" t="s">
        <v>6</v>
      </c>
      <c r="C4" s="34">
        <v>280</v>
      </c>
      <c r="D4" s="8"/>
      <c r="E4" s="31" t="s">
        <v>7</v>
      </c>
      <c r="F4" s="32"/>
      <c r="G4" s="32"/>
      <c r="H4" s="32"/>
      <c r="I4" s="46"/>
    </row>
    <row r="5" customFormat="1" spans="1:9">
      <c r="A5" s="8"/>
      <c r="B5" s="8"/>
      <c r="C5" s="8"/>
      <c r="D5" s="8"/>
      <c r="E5" s="8"/>
      <c r="F5" s="8"/>
      <c r="G5" s="8"/>
      <c r="H5" s="8"/>
      <c r="I5" s="8"/>
    </row>
    <row r="6" customFormat="1" ht="34" spans="1:9">
      <c r="A6" s="9" t="s">
        <v>8</v>
      </c>
      <c r="B6" s="10"/>
      <c r="C6" s="10"/>
      <c r="D6" s="10"/>
      <c r="E6" s="10"/>
      <c r="F6" s="10"/>
      <c r="G6" s="10"/>
      <c r="H6" s="10"/>
      <c r="I6" s="20"/>
    </row>
    <row r="7" s="8" customFormat="1" spans="1:9">
      <c r="A7" s="11" t="s">
        <v>9</v>
      </c>
      <c r="B7" s="12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1" t="s">
        <v>15</v>
      </c>
      <c r="H7" s="11" t="s">
        <v>16</v>
      </c>
      <c r="I7" s="11" t="s">
        <v>17</v>
      </c>
    </row>
    <row r="8" s="8" customFormat="1" spans="1:9">
      <c r="A8" s="13" t="s">
        <v>18</v>
      </c>
      <c r="B8" s="4" t="s">
        <v>19</v>
      </c>
      <c r="C8" s="4">
        <f>408-300+C2</f>
        <v>408</v>
      </c>
      <c r="D8" s="35" t="s">
        <v>20</v>
      </c>
      <c r="E8" s="35" t="s">
        <v>21</v>
      </c>
      <c r="F8" s="36">
        <v>2</v>
      </c>
      <c r="G8" s="37"/>
      <c r="H8" s="38"/>
      <c r="I8" s="6"/>
    </row>
    <row r="9" s="8" customFormat="1" spans="1:9">
      <c r="A9" s="14"/>
      <c r="B9" s="6" t="s">
        <v>22</v>
      </c>
      <c r="C9" s="6"/>
      <c r="D9" s="36"/>
      <c r="E9" s="6" t="s">
        <v>23</v>
      </c>
      <c r="F9" s="36">
        <v>1</v>
      </c>
      <c r="G9" s="39">
        <v>48.2</v>
      </c>
      <c r="H9" s="38">
        <f>G9*F9</f>
        <v>48.2</v>
      </c>
      <c r="I9" s="6"/>
    </row>
    <row r="10" s="8" customFormat="1" spans="1:9">
      <c r="A10" s="14"/>
      <c r="B10" s="6" t="s">
        <v>24</v>
      </c>
      <c r="C10" s="6"/>
      <c r="D10" s="6"/>
      <c r="E10" s="6" t="s">
        <v>23</v>
      </c>
      <c r="F10" s="6">
        <v>1</v>
      </c>
      <c r="G10" s="39">
        <v>48.2</v>
      </c>
      <c r="H10" s="38">
        <f>G10*F10</f>
        <v>48.2</v>
      </c>
      <c r="I10" s="6"/>
    </row>
    <row r="11" s="8" customFormat="1" spans="1:9">
      <c r="A11" s="14"/>
      <c r="B11" s="6" t="s">
        <v>25</v>
      </c>
      <c r="C11" s="6" t="s">
        <v>26</v>
      </c>
      <c r="D11" s="6"/>
      <c r="E11" s="6"/>
      <c r="F11" s="6">
        <v>2</v>
      </c>
      <c r="G11" s="39"/>
      <c r="H11" s="38"/>
      <c r="I11" s="6"/>
    </row>
    <row r="12" s="8" customFormat="1" spans="1:9">
      <c r="A12" s="14"/>
      <c r="B12" s="6" t="s">
        <v>25</v>
      </c>
      <c r="C12" s="6" t="s">
        <v>27</v>
      </c>
      <c r="D12" s="6"/>
      <c r="E12" s="6"/>
      <c r="F12" s="6">
        <v>2</v>
      </c>
      <c r="G12" s="39"/>
      <c r="H12" s="38"/>
      <c r="I12" s="6"/>
    </row>
    <row r="13" s="8" customFormat="1" spans="1:9">
      <c r="A13" s="14"/>
      <c r="B13" s="6" t="s">
        <v>28</v>
      </c>
      <c r="C13" s="6" t="s">
        <v>29</v>
      </c>
      <c r="D13" s="6"/>
      <c r="E13" s="6"/>
      <c r="F13" s="6">
        <v>2</v>
      </c>
      <c r="G13" s="39"/>
      <c r="H13" s="16"/>
      <c r="I13" s="6"/>
    </row>
    <row r="14" s="8" customFormat="1" spans="1:9">
      <c r="A14" s="14"/>
      <c r="B14" s="6" t="s">
        <v>28</v>
      </c>
      <c r="C14" s="6" t="s">
        <v>30</v>
      </c>
      <c r="D14" s="6"/>
      <c r="E14" s="6"/>
      <c r="F14" s="6">
        <v>2</v>
      </c>
      <c r="G14" s="39"/>
      <c r="H14" s="16"/>
      <c r="I14" s="6"/>
    </row>
    <row r="15" s="8" customFormat="1" spans="1:9">
      <c r="A15" s="14"/>
      <c r="B15" s="16" t="s">
        <v>31</v>
      </c>
      <c r="C15" s="6" t="s">
        <v>32</v>
      </c>
      <c r="D15" s="6" t="s">
        <v>20</v>
      </c>
      <c r="E15" s="6"/>
      <c r="F15" s="16">
        <v>2</v>
      </c>
      <c r="G15" s="39"/>
      <c r="H15" s="16"/>
      <c r="I15" s="6" t="s">
        <v>33</v>
      </c>
    </row>
    <row r="16" s="8" customFormat="1" spans="1:9">
      <c r="A16" s="17"/>
      <c r="B16" s="16"/>
      <c r="C16" s="16"/>
      <c r="D16" s="16"/>
      <c r="E16" s="16"/>
      <c r="F16" s="16"/>
      <c r="G16" s="39"/>
      <c r="H16" s="16"/>
      <c r="I16" s="16"/>
    </row>
    <row r="17" s="8" customFormat="1" spans="1:9">
      <c r="A17" s="14" t="s">
        <v>34</v>
      </c>
      <c r="B17" s="4" t="s">
        <v>35</v>
      </c>
      <c r="C17" s="13">
        <f>460-300+C2</f>
        <v>460</v>
      </c>
      <c r="D17" s="4" t="s">
        <v>20</v>
      </c>
      <c r="E17" s="4" t="s">
        <v>21</v>
      </c>
      <c r="F17" s="4">
        <v>4</v>
      </c>
      <c r="G17" s="40"/>
      <c r="H17" s="41"/>
      <c r="I17" s="4" t="s">
        <v>36</v>
      </c>
    </row>
    <row r="18" s="8" customFormat="1" spans="1:9">
      <c r="A18" s="14"/>
      <c r="B18" s="6" t="s">
        <v>37</v>
      </c>
      <c r="C18" s="6">
        <f>340-200+C3</f>
        <v>340</v>
      </c>
      <c r="D18" s="6" t="s">
        <v>20</v>
      </c>
      <c r="E18" s="6" t="s">
        <v>21</v>
      </c>
      <c r="F18" s="6">
        <v>4</v>
      </c>
      <c r="G18" s="39"/>
      <c r="H18" s="6"/>
      <c r="I18" s="6" t="s">
        <v>36</v>
      </c>
    </row>
    <row r="19" s="8" customFormat="1" spans="1:9">
      <c r="A19" s="14"/>
      <c r="B19" s="6" t="s">
        <v>38</v>
      </c>
      <c r="C19" s="6">
        <f>390-280+C4</f>
        <v>390</v>
      </c>
      <c r="D19" s="6" t="s">
        <v>20</v>
      </c>
      <c r="E19" s="6" t="s">
        <v>21</v>
      </c>
      <c r="F19" s="6">
        <v>4</v>
      </c>
      <c r="G19" s="39"/>
      <c r="H19" s="6"/>
      <c r="I19" s="6" t="s">
        <v>36</v>
      </c>
    </row>
    <row r="20" s="8" customFormat="1" spans="1:9">
      <c r="A20" s="14"/>
      <c r="B20" s="6" t="s">
        <v>39</v>
      </c>
      <c r="C20" s="6">
        <f>334-200+C3</f>
        <v>334</v>
      </c>
      <c r="D20" s="6" t="s">
        <v>20</v>
      </c>
      <c r="E20" s="6" t="s">
        <v>21</v>
      </c>
      <c r="F20" s="6">
        <v>2</v>
      </c>
      <c r="G20" s="39"/>
      <c r="H20" s="6"/>
      <c r="I20" s="6" t="s">
        <v>36</v>
      </c>
    </row>
    <row r="21" s="8" customFormat="1" spans="1:9">
      <c r="A21" s="14"/>
      <c r="B21" s="6" t="s">
        <v>40</v>
      </c>
      <c r="C21" s="6"/>
      <c r="D21" s="6"/>
      <c r="E21" s="6" t="s">
        <v>23</v>
      </c>
      <c r="F21" s="6">
        <v>1</v>
      </c>
      <c r="G21" s="39">
        <v>19.67</v>
      </c>
      <c r="H21" s="6">
        <f>G21*F21</f>
        <v>19.67</v>
      </c>
      <c r="I21" s="6"/>
    </row>
    <row r="22" s="8" customFormat="1" spans="1:9">
      <c r="A22" s="14"/>
      <c r="B22" s="6" t="s">
        <v>41</v>
      </c>
      <c r="C22" s="6"/>
      <c r="D22" s="6"/>
      <c r="E22" s="6" t="s">
        <v>23</v>
      </c>
      <c r="F22" s="6">
        <v>1</v>
      </c>
      <c r="G22" s="39">
        <v>10.95</v>
      </c>
      <c r="H22" s="6">
        <f>G22*F22</f>
        <v>10.95</v>
      </c>
      <c r="I22" s="6"/>
    </row>
    <row r="23" s="8" customFormat="1" spans="1:9">
      <c r="A23" s="14"/>
      <c r="B23" s="6" t="s">
        <v>42</v>
      </c>
      <c r="C23" s="6"/>
      <c r="D23" s="6"/>
      <c r="E23" s="6" t="s">
        <v>23</v>
      </c>
      <c r="F23" s="6">
        <v>1</v>
      </c>
      <c r="G23" s="39">
        <v>20.22</v>
      </c>
      <c r="H23" s="6">
        <f>G23*F23</f>
        <v>20.22</v>
      </c>
      <c r="I23" s="6"/>
    </row>
    <row r="24" s="8" customFormat="1" spans="1:9">
      <c r="A24" s="14"/>
      <c r="B24" s="6" t="s">
        <v>43</v>
      </c>
      <c r="C24" s="6"/>
      <c r="D24" s="6"/>
      <c r="E24" s="6" t="s">
        <v>23</v>
      </c>
      <c r="F24" s="6">
        <v>1</v>
      </c>
      <c r="G24" s="39">
        <v>10.95</v>
      </c>
      <c r="H24" s="6">
        <f>G24*F24</f>
        <v>10.95</v>
      </c>
      <c r="I24" s="6"/>
    </row>
    <row r="25" s="8" customFormat="1" spans="1:9">
      <c r="A25" s="14"/>
      <c r="B25" s="6" t="s">
        <v>44</v>
      </c>
      <c r="C25" s="6"/>
      <c r="D25" s="6"/>
      <c r="E25" s="6" t="s">
        <v>23</v>
      </c>
      <c r="F25" s="6">
        <v>1</v>
      </c>
      <c r="G25" s="39"/>
      <c r="H25" s="6"/>
      <c r="I25" s="6"/>
    </row>
    <row r="26" s="8" customFormat="1" spans="1:9">
      <c r="A26" s="14"/>
      <c r="B26" s="6" t="s">
        <v>25</v>
      </c>
      <c r="C26" s="6" t="s">
        <v>45</v>
      </c>
      <c r="D26" s="6"/>
      <c r="E26" s="6"/>
      <c r="F26" s="6">
        <v>10</v>
      </c>
      <c r="G26" s="39"/>
      <c r="H26" s="6"/>
      <c r="I26" s="6"/>
    </row>
    <row r="27" s="8" customFormat="1" spans="1:9">
      <c r="A27" s="14"/>
      <c r="B27" s="6" t="s">
        <v>25</v>
      </c>
      <c r="C27" s="16" t="s">
        <v>46</v>
      </c>
      <c r="D27" s="16"/>
      <c r="E27" s="16"/>
      <c r="F27" s="16">
        <v>4</v>
      </c>
      <c r="G27" s="39"/>
      <c r="H27" s="6"/>
      <c r="I27" s="6"/>
    </row>
    <row r="28" s="8" customFormat="1" spans="1:9">
      <c r="A28" s="14"/>
      <c r="B28" s="6" t="s">
        <v>25</v>
      </c>
      <c r="C28" s="16" t="s">
        <v>47</v>
      </c>
      <c r="D28" s="16"/>
      <c r="E28" s="16"/>
      <c r="F28" s="16">
        <v>2</v>
      </c>
      <c r="G28" s="39"/>
      <c r="H28" s="6"/>
      <c r="I28" s="6"/>
    </row>
    <row r="29" s="8" customFormat="1" spans="1:9">
      <c r="A29" s="14"/>
      <c r="B29" s="6" t="s">
        <v>48</v>
      </c>
      <c r="C29" s="6" t="s">
        <v>49</v>
      </c>
      <c r="D29" s="6" t="s">
        <v>20</v>
      </c>
      <c r="E29" s="6"/>
      <c r="F29" s="6">
        <v>12</v>
      </c>
      <c r="G29" s="39"/>
      <c r="H29" s="6"/>
      <c r="I29" s="6"/>
    </row>
    <row r="30" s="8" customFormat="1" spans="1:9">
      <c r="A30" s="14"/>
      <c r="B30" s="6" t="s">
        <v>25</v>
      </c>
      <c r="C30" s="16" t="s">
        <v>50</v>
      </c>
      <c r="D30" s="16"/>
      <c r="E30" s="16"/>
      <c r="F30" s="16">
        <v>8</v>
      </c>
      <c r="G30" s="39"/>
      <c r="H30" s="6"/>
      <c r="I30" s="6"/>
    </row>
    <row r="31" s="8" customFormat="1" spans="1:9">
      <c r="A31" s="14"/>
      <c r="B31" s="6" t="s">
        <v>25</v>
      </c>
      <c r="C31" s="6" t="s">
        <v>51</v>
      </c>
      <c r="D31" s="6"/>
      <c r="E31" s="6"/>
      <c r="F31" s="6">
        <v>48</v>
      </c>
      <c r="G31" s="39"/>
      <c r="H31" s="6"/>
      <c r="I31" s="6"/>
    </row>
    <row r="32" s="8" customFormat="1" spans="1:9">
      <c r="A32" s="14"/>
      <c r="B32" s="6" t="s">
        <v>52</v>
      </c>
      <c r="C32" s="6" t="s">
        <v>53</v>
      </c>
      <c r="D32" s="6" t="s">
        <v>20</v>
      </c>
      <c r="E32" s="6"/>
      <c r="F32" s="6">
        <v>4</v>
      </c>
      <c r="G32" s="39"/>
      <c r="H32" s="6"/>
      <c r="I32" s="6"/>
    </row>
    <row r="33" s="8" customFormat="1" spans="1:9">
      <c r="A33" s="14"/>
      <c r="B33" s="6" t="s">
        <v>25</v>
      </c>
      <c r="C33" s="6" t="s">
        <v>54</v>
      </c>
      <c r="D33" s="6"/>
      <c r="E33" s="6"/>
      <c r="F33" s="6">
        <v>4</v>
      </c>
      <c r="G33" s="39"/>
      <c r="H33" s="6"/>
      <c r="I33" s="6"/>
    </row>
    <row r="34" s="8" customFormat="1" spans="1:9">
      <c r="A34" s="14"/>
      <c r="B34" s="6" t="s">
        <v>55</v>
      </c>
      <c r="C34" s="6"/>
      <c r="D34" s="6"/>
      <c r="E34" s="6" t="s">
        <v>21</v>
      </c>
      <c r="F34" s="6">
        <v>20</v>
      </c>
      <c r="G34" s="39"/>
      <c r="H34" s="6"/>
      <c r="I34" s="6"/>
    </row>
    <row r="35" s="8" customFormat="1" spans="1:9">
      <c r="A35" s="14"/>
      <c r="B35" s="6" t="s">
        <v>25</v>
      </c>
      <c r="C35" s="6" t="s">
        <v>56</v>
      </c>
      <c r="D35" s="6"/>
      <c r="E35" s="6"/>
      <c r="F35" s="6">
        <v>40</v>
      </c>
      <c r="G35" s="39"/>
      <c r="H35" s="6"/>
      <c r="I35" s="6"/>
    </row>
    <row r="36" s="8" customFormat="1" spans="1:9">
      <c r="A36" s="14"/>
      <c r="B36" s="6" t="s">
        <v>57</v>
      </c>
      <c r="C36" s="6"/>
      <c r="D36" s="16"/>
      <c r="E36" s="16"/>
      <c r="F36" s="16">
        <v>2</v>
      </c>
      <c r="G36" s="39"/>
      <c r="H36" s="16"/>
      <c r="I36" s="6" t="s">
        <v>58</v>
      </c>
    </row>
    <row r="37" s="8" customFormat="1" spans="1:9">
      <c r="A37" s="14"/>
      <c r="B37" s="6" t="s">
        <v>59</v>
      </c>
      <c r="C37" s="16" t="s">
        <v>60</v>
      </c>
      <c r="D37" s="15" t="s">
        <v>20</v>
      </c>
      <c r="E37" s="15" t="s">
        <v>61</v>
      </c>
      <c r="F37" s="16">
        <v>2</v>
      </c>
      <c r="G37" s="39"/>
      <c r="H37" s="16"/>
      <c r="I37" s="6"/>
    </row>
    <row r="38" s="8" customFormat="1" spans="1:9">
      <c r="A38" s="14"/>
      <c r="B38" s="6" t="s">
        <v>62</v>
      </c>
      <c r="C38" s="6" t="s">
        <v>63</v>
      </c>
      <c r="D38" s="16"/>
      <c r="E38" s="16"/>
      <c r="F38" s="16">
        <v>1</v>
      </c>
      <c r="G38" s="39"/>
      <c r="H38" s="16"/>
      <c r="I38" s="6" t="s">
        <v>64</v>
      </c>
    </row>
    <row r="39" s="8" customFormat="1" spans="1:9">
      <c r="A39" s="14"/>
      <c r="B39" s="6" t="s">
        <v>65</v>
      </c>
      <c r="C39" s="6" t="s">
        <v>66</v>
      </c>
      <c r="D39" s="16"/>
      <c r="E39" s="16"/>
      <c r="F39" s="16">
        <v>8</v>
      </c>
      <c r="G39" s="39"/>
      <c r="H39" s="16"/>
      <c r="I39" s="6"/>
    </row>
    <row r="40" s="8" customFormat="1" spans="1:9">
      <c r="A40" s="14"/>
      <c r="B40" s="6" t="s">
        <v>67</v>
      </c>
      <c r="C40" s="6" t="s">
        <v>29</v>
      </c>
      <c r="D40" s="16" t="s">
        <v>20</v>
      </c>
      <c r="E40" s="16"/>
      <c r="F40" s="16">
        <v>2</v>
      </c>
      <c r="G40" s="39"/>
      <c r="H40" s="16"/>
      <c r="I40" s="6"/>
    </row>
    <row r="41" s="8" customFormat="1" spans="1:9">
      <c r="A41" s="14"/>
      <c r="B41" s="6" t="s">
        <v>28</v>
      </c>
      <c r="C41" s="6" t="s">
        <v>29</v>
      </c>
      <c r="D41" s="16" t="s">
        <v>20</v>
      </c>
      <c r="E41" s="16"/>
      <c r="F41" s="16">
        <v>4</v>
      </c>
      <c r="G41" s="39"/>
      <c r="H41" s="16"/>
      <c r="I41" s="6"/>
    </row>
    <row r="42" s="8" customFormat="1" spans="1:9">
      <c r="A42" s="14"/>
      <c r="B42" s="6" t="s">
        <v>68</v>
      </c>
      <c r="C42" s="16" t="s">
        <v>69</v>
      </c>
      <c r="D42" s="16" t="s">
        <v>20</v>
      </c>
      <c r="E42" s="16"/>
      <c r="F42" s="16">
        <v>2</v>
      </c>
      <c r="G42" s="39"/>
      <c r="H42" s="16"/>
      <c r="I42" s="6"/>
    </row>
    <row r="43" s="8" customFormat="1" spans="1:9">
      <c r="A43" s="14"/>
      <c r="B43" s="6" t="s">
        <v>70</v>
      </c>
      <c r="C43" s="16" t="s">
        <v>71</v>
      </c>
      <c r="D43" s="16"/>
      <c r="E43" s="16"/>
      <c r="F43" s="16">
        <f>F28+F35</f>
        <v>42</v>
      </c>
      <c r="G43" s="39"/>
      <c r="H43" s="16"/>
      <c r="I43" s="6"/>
    </row>
    <row r="44" s="8" customFormat="1" spans="1:9">
      <c r="A44" s="14"/>
      <c r="B44" s="6" t="s">
        <v>70</v>
      </c>
      <c r="C44" s="16" t="s">
        <v>72</v>
      </c>
      <c r="D44" s="16"/>
      <c r="E44" s="16"/>
      <c r="F44" s="16">
        <f>F33+F31+F27+F26</f>
        <v>66</v>
      </c>
      <c r="G44" s="39"/>
      <c r="H44" s="16"/>
      <c r="I44" s="6"/>
    </row>
    <row r="45" s="8" customFormat="1" spans="1:9">
      <c r="A45" s="14"/>
      <c r="B45" s="16"/>
      <c r="C45" s="16"/>
      <c r="D45" s="16"/>
      <c r="E45" s="16"/>
      <c r="F45" s="16"/>
      <c r="G45" s="42"/>
      <c r="H45" s="16"/>
      <c r="I45" s="7"/>
    </row>
    <row r="46" s="8" customFormat="1" spans="1:9">
      <c r="A46" s="13" t="s">
        <v>73</v>
      </c>
      <c r="B46" s="4" t="s">
        <v>74</v>
      </c>
      <c r="C46" s="4"/>
      <c r="D46" s="13"/>
      <c r="E46" s="4" t="s">
        <v>75</v>
      </c>
      <c r="F46" s="35">
        <v>2</v>
      </c>
      <c r="G46" s="37"/>
      <c r="H46" s="43"/>
      <c r="I46" s="15"/>
    </row>
    <row r="47" s="8" customFormat="1" spans="1:9">
      <c r="A47" s="14"/>
      <c r="B47" s="44" t="s">
        <v>76</v>
      </c>
      <c r="C47" s="6"/>
      <c r="D47" s="14"/>
      <c r="E47" s="6" t="s">
        <v>75</v>
      </c>
      <c r="F47" s="36">
        <v>2</v>
      </c>
      <c r="G47" s="39"/>
      <c r="H47" s="38"/>
      <c r="I47" s="6"/>
    </row>
    <row r="48" s="8" customFormat="1" spans="1:9">
      <c r="A48" s="14"/>
      <c r="B48" s="15" t="s">
        <v>77</v>
      </c>
      <c r="C48" s="16"/>
      <c r="D48" s="14"/>
      <c r="E48" s="16" t="s">
        <v>23</v>
      </c>
      <c r="F48" s="36">
        <v>2</v>
      </c>
      <c r="G48" s="39">
        <v>3.96</v>
      </c>
      <c r="H48" s="38">
        <f>G48*F48</f>
        <v>7.92</v>
      </c>
      <c r="I48" s="6"/>
    </row>
    <row r="49" s="8" customFormat="1" spans="1:9">
      <c r="A49" s="14"/>
      <c r="B49" s="15" t="s">
        <v>78</v>
      </c>
      <c r="C49" s="6"/>
      <c r="D49" s="14"/>
      <c r="E49" s="6" t="s">
        <v>75</v>
      </c>
      <c r="F49" s="15">
        <v>8</v>
      </c>
      <c r="G49" s="39"/>
      <c r="H49" s="38"/>
      <c r="I49" s="6"/>
    </row>
    <row r="50" s="8" customFormat="1" spans="1:9">
      <c r="A50" s="14"/>
      <c r="B50" s="15" t="s">
        <v>79</v>
      </c>
      <c r="C50" s="16">
        <f>390-280+C4</f>
        <v>390</v>
      </c>
      <c r="D50" s="14" t="s">
        <v>20</v>
      </c>
      <c r="E50" s="14"/>
      <c r="F50" s="15">
        <v>4</v>
      </c>
      <c r="G50" s="39"/>
      <c r="H50" s="38"/>
      <c r="I50" s="6"/>
    </row>
    <row r="51" s="8" customFormat="1" spans="1:9">
      <c r="A51" s="14"/>
      <c r="B51" s="15" t="s">
        <v>80</v>
      </c>
      <c r="C51" s="14">
        <f>350-280+C4</f>
        <v>350</v>
      </c>
      <c r="D51" s="14"/>
      <c r="E51" s="14"/>
      <c r="F51" s="15">
        <v>2</v>
      </c>
      <c r="G51" s="39"/>
      <c r="H51" s="38"/>
      <c r="I51" s="6"/>
    </row>
    <row r="52" s="8" customFormat="1" spans="1:9">
      <c r="A52" s="14"/>
      <c r="B52" s="15" t="s">
        <v>81</v>
      </c>
      <c r="C52" s="15" t="s">
        <v>82</v>
      </c>
      <c r="D52" s="15" t="s">
        <v>20</v>
      </c>
      <c r="E52" s="15"/>
      <c r="F52" s="15">
        <v>2</v>
      </c>
      <c r="G52" s="39"/>
      <c r="H52" s="38"/>
      <c r="I52" s="6"/>
    </row>
    <row r="53" s="8" customFormat="1" spans="1:9">
      <c r="A53" s="14"/>
      <c r="B53" s="6" t="s">
        <v>65</v>
      </c>
      <c r="C53" s="15" t="s">
        <v>83</v>
      </c>
      <c r="D53" s="15"/>
      <c r="E53" s="15"/>
      <c r="F53" s="15">
        <v>4</v>
      </c>
      <c r="G53" s="39"/>
      <c r="H53" s="38"/>
      <c r="I53" s="6"/>
    </row>
    <row r="54" s="8" customFormat="1" spans="1:9">
      <c r="A54" s="14"/>
      <c r="B54" s="15" t="s">
        <v>62</v>
      </c>
      <c r="C54" s="15" t="s">
        <v>63</v>
      </c>
      <c r="D54" s="15"/>
      <c r="E54" s="15"/>
      <c r="F54" s="15">
        <v>2</v>
      </c>
      <c r="G54" s="39"/>
      <c r="H54" s="38"/>
      <c r="I54" s="6" t="s">
        <v>64</v>
      </c>
    </row>
    <row r="55" s="8" customFormat="1" spans="1:9">
      <c r="A55" s="14"/>
      <c r="B55" s="15" t="s">
        <v>57</v>
      </c>
      <c r="C55" s="6"/>
      <c r="D55" s="15"/>
      <c r="E55" s="15"/>
      <c r="F55" s="15">
        <v>2</v>
      </c>
      <c r="G55" s="39"/>
      <c r="H55" s="38"/>
      <c r="I55" s="6" t="s">
        <v>58</v>
      </c>
    </row>
    <row r="56" s="8" customFormat="1" spans="1:9">
      <c r="A56" s="14"/>
      <c r="B56" s="6" t="s">
        <v>84</v>
      </c>
      <c r="C56" s="6" t="s">
        <v>85</v>
      </c>
      <c r="D56" s="15" t="s">
        <v>20</v>
      </c>
      <c r="E56" s="15"/>
      <c r="F56" s="15">
        <v>4</v>
      </c>
      <c r="G56" s="39"/>
      <c r="H56" s="38"/>
      <c r="I56" s="6" t="s">
        <v>86</v>
      </c>
    </row>
    <row r="57" s="8" customFormat="1" spans="1:9">
      <c r="A57" s="14"/>
      <c r="B57" s="6" t="s">
        <v>65</v>
      </c>
      <c r="C57" s="6" t="s">
        <v>87</v>
      </c>
      <c r="D57" s="15"/>
      <c r="E57" s="15"/>
      <c r="F57" s="15">
        <v>8</v>
      </c>
      <c r="G57" s="39"/>
      <c r="H57" s="38"/>
      <c r="I57" s="6"/>
    </row>
    <row r="58" s="8" customFormat="1" spans="1:9">
      <c r="A58" s="14"/>
      <c r="B58" s="6" t="s">
        <v>25</v>
      </c>
      <c r="C58" s="15" t="s">
        <v>88</v>
      </c>
      <c r="D58" s="15"/>
      <c r="E58" s="15"/>
      <c r="F58" s="15">
        <v>16</v>
      </c>
      <c r="G58" s="39"/>
      <c r="H58" s="38"/>
      <c r="I58" s="6"/>
    </row>
    <row r="59" s="8" customFormat="1" spans="1:9">
      <c r="A59" s="17"/>
      <c r="B59" s="7"/>
      <c r="C59" s="14"/>
      <c r="D59" s="14"/>
      <c r="E59" s="14"/>
      <c r="F59" s="14"/>
      <c r="G59" s="42"/>
      <c r="H59" s="45"/>
      <c r="I59" s="16"/>
    </row>
    <row r="60" s="8" customFormat="1" spans="1:9">
      <c r="A60" s="14" t="s">
        <v>89</v>
      </c>
      <c r="B60" s="4" t="s">
        <v>90</v>
      </c>
      <c r="C60" s="4"/>
      <c r="D60" s="4"/>
      <c r="E60" s="4" t="s">
        <v>75</v>
      </c>
      <c r="F60" s="4">
        <v>2</v>
      </c>
      <c r="G60" s="37"/>
      <c r="H60" s="43"/>
      <c r="I60" s="4"/>
    </row>
    <row r="61" s="8" customFormat="1" spans="1:9">
      <c r="A61" s="14"/>
      <c r="B61" s="6" t="s">
        <v>91</v>
      </c>
      <c r="C61" s="6">
        <f>477-300+C2</f>
        <v>477</v>
      </c>
      <c r="D61" s="6" t="s">
        <v>20</v>
      </c>
      <c r="E61" s="6" t="s">
        <v>21</v>
      </c>
      <c r="F61" s="6">
        <v>2</v>
      </c>
      <c r="G61" s="39"/>
      <c r="H61" s="38"/>
      <c r="I61" s="6"/>
    </row>
    <row r="62" s="8" customFormat="1" spans="1:9">
      <c r="A62" s="14"/>
      <c r="B62" s="6" t="s">
        <v>92</v>
      </c>
      <c r="C62" s="6" t="s">
        <v>93</v>
      </c>
      <c r="D62" s="6" t="s">
        <v>20</v>
      </c>
      <c r="E62" s="6"/>
      <c r="F62" s="6">
        <v>1</v>
      </c>
      <c r="G62" s="39"/>
      <c r="H62" s="38"/>
      <c r="I62" s="6" t="s">
        <v>94</v>
      </c>
    </row>
    <row r="63" s="8" customFormat="1" spans="1:9">
      <c r="A63" s="14"/>
      <c r="B63" s="6" t="s">
        <v>95</v>
      </c>
      <c r="C63" s="6" t="s">
        <v>96</v>
      </c>
      <c r="D63" s="6" t="s">
        <v>20</v>
      </c>
      <c r="E63" s="6"/>
      <c r="F63" s="6">
        <v>1</v>
      </c>
      <c r="G63" s="39"/>
      <c r="H63" s="38"/>
      <c r="I63" s="6" t="s">
        <v>94</v>
      </c>
    </row>
    <row r="64" s="8" customFormat="1" spans="1:9">
      <c r="A64" s="14"/>
      <c r="B64" s="6" t="s">
        <v>97</v>
      </c>
      <c r="C64" s="6" t="s">
        <v>98</v>
      </c>
      <c r="D64" s="6" t="s">
        <v>99</v>
      </c>
      <c r="E64" s="6"/>
      <c r="F64" s="6">
        <v>1</v>
      </c>
      <c r="G64" s="39"/>
      <c r="H64" s="38"/>
      <c r="I64" s="6" t="s">
        <v>94</v>
      </c>
    </row>
    <row r="65" s="8" customFormat="1" spans="1:9">
      <c r="A65" s="14"/>
      <c r="B65" s="6" t="s">
        <v>100</v>
      </c>
      <c r="C65" s="6">
        <v>40</v>
      </c>
      <c r="D65" s="6" t="s">
        <v>20</v>
      </c>
      <c r="E65" s="6" t="s">
        <v>101</v>
      </c>
      <c r="F65" s="6">
        <v>4</v>
      </c>
      <c r="G65" s="39"/>
      <c r="H65" s="38"/>
      <c r="I65" s="6"/>
    </row>
    <row r="66" s="8" customFormat="1" spans="1:9">
      <c r="A66" s="14"/>
      <c r="B66" s="6" t="s">
        <v>102</v>
      </c>
      <c r="C66" s="6" t="s">
        <v>103</v>
      </c>
      <c r="D66" s="6" t="s">
        <v>20</v>
      </c>
      <c r="E66" s="6"/>
      <c r="F66" s="6">
        <v>2</v>
      </c>
      <c r="G66" s="39"/>
      <c r="H66" s="38"/>
      <c r="I66" s="6"/>
    </row>
    <row r="67" s="8" customFormat="1" spans="1:9">
      <c r="A67" s="14"/>
      <c r="B67" s="6" t="s">
        <v>104</v>
      </c>
      <c r="C67" s="6" t="s">
        <v>105</v>
      </c>
      <c r="D67" s="6"/>
      <c r="E67" s="6"/>
      <c r="F67" s="6">
        <v>4</v>
      </c>
      <c r="G67" s="39"/>
      <c r="H67" s="38"/>
      <c r="I67" s="6"/>
    </row>
    <row r="68" s="8" customFormat="1" spans="1:9">
      <c r="A68" s="14"/>
      <c r="B68" s="6" t="s">
        <v>106</v>
      </c>
      <c r="C68" s="6" t="s">
        <v>107</v>
      </c>
      <c r="D68" s="6"/>
      <c r="E68" s="6"/>
      <c r="F68" s="6">
        <v>6</v>
      </c>
      <c r="G68" s="39"/>
      <c r="H68" s="38"/>
      <c r="I68" s="6"/>
    </row>
    <row r="69" s="8" customFormat="1" spans="1:9">
      <c r="A69" s="14"/>
      <c r="B69" s="6" t="s">
        <v>65</v>
      </c>
      <c r="C69" s="6" t="s">
        <v>108</v>
      </c>
      <c r="D69" s="6"/>
      <c r="E69" s="6"/>
      <c r="F69" s="6">
        <v>5</v>
      </c>
      <c r="G69" s="39"/>
      <c r="H69" s="38"/>
      <c r="I69" s="6"/>
    </row>
    <row r="70" s="8" customFormat="1" spans="1:9">
      <c r="A70" s="14"/>
      <c r="B70" s="6" t="s">
        <v>25</v>
      </c>
      <c r="C70" s="6" t="s">
        <v>109</v>
      </c>
      <c r="D70" s="6"/>
      <c r="E70" s="6"/>
      <c r="F70" s="6">
        <v>4</v>
      </c>
      <c r="G70" s="39"/>
      <c r="H70" s="38"/>
      <c r="I70" s="6"/>
    </row>
    <row r="71" s="8" customFormat="1" spans="1:9">
      <c r="A71" s="14"/>
      <c r="B71" s="6" t="s">
        <v>25</v>
      </c>
      <c r="C71" s="6" t="s">
        <v>110</v>
      </c>
      <c r="D71" s="6"/>
      <c r="E71" s="6"/>
      <c r="F71" s="6">
        <v>8</v>
      </c>
      <c r="G71" s="39"/>
      <c r="H71" s="38"/>
      <c r="I71" s="6"/>
    </row>
    <row r="72" s="8" customFormat="1" spans="1:9">
      <c r="A72" s="14"/>
      <c r="B72" s="6" t="s">
        <v>84</v>
      </c>
      <c r="C72" s="6" t="s">
        <v>85</v>
      </c>
      <c r="D72" s="6" t="s">
        <v>20</v>
      </c>
      <c r="E72" s="6"/>
      <c r="F72" s="6">
        <v>4</v>
      </c>
      <c r="G72" s="39"/>
      <c r="H72" s="38"/>
      <c r="I72" s="6" t="s">
        <v>86</v>
      </c>
    </row>
    <row r="73" s="8" customFormat="1" spans="1:9">
      <c r="A73" s="14"/>
      <c r="B73" s="6" t="s">
        <v>111</v>
      </c>
      <c r="C73" s="6" t="s">
        <v>112</v>
      </c>
      <c r="D73" s="6" t="s">
        <v>20</v>
      </c>
      <c r="E73" s="6"/>
      <c r="F73" s="6">
        <v>2</v>
      </c>
      <c r="G73" s="39"/>
      <c r="H73" s="38"/>
      <c r="I73" s="6"/>
    </row>
    <row r="74" s="8" customFormat="1" spans="1:9">
      <c r="A74" s="14"/>
      <c r="B74" s="6" t="s">
        <v>65</v>
      </c>
      <c r="C74" s="6" t="s">
        <v>113</v>
      </c>
      <c r="D74" s="6"/>
      <c r="E74" s="6"/>
      <c r="F74" s="6">
        <v>24</v>
      </c>
      <c r="G74" s="39"/>
      <c r="H74" s="38"/>
      <c r="I74" s="6"/>
    </row>
    <row r="75" s="8" customFormat="1" spans="1:9">
      <c r="A75" s="14"/>
      <c r="B75" s="6" t="s">
        <v>114</v>
      </c>
      <c r="C75" s="6" t="s">
        <v>115</v>
      </c>
      <c r="D75" s="6"/>
      <c r="E75" s="6" t="s">
        <v>116</v>
      </c>
      <c r="F75" s="6">
        <v>24</v>
      </c>
      <c r="G75" s="42"/>
      <c r="H75" s="47"/>
      <c r="I75" s="6"/>
    </row>
    <row r="76" s="8" customFormat="1" spans="1:9">
      <c r="A76" s="14"/>
      <c r="B76" s="16"/>
      <c r="C76" s="6"/>
      <c r="D76" s="6"/>
      <c r="E76" s="6"/>
      <c r="F76" s="6"/>
      <c r="G76" s="42"/>
      <c r="H76" s="47"/>
      <c r="I76" s="16"/>
    </row>
    <row r="77" s="8" customFormat="1" spans="1:9">
      <c r="A77" s="13" t="s">
        <v>117</v>
      </c>
      <c r="B77" s="4" t="s">
        <v>118</v>
      </c>
      <c r="C77" s="4"/>
      <c r="D77" s="4"/>
      <c r="E77" s="4"/>
      <c r="F77" s="4">
        <v>1</v>
      </c>
      <c r="G77" s="37"/>
      <c r="H77" s="43"/>
      <c r="I77" s="4"/>
    </row>
    <row r="78" s="8" customFormat="1" spans="1:9">
      <c r="A78" s="14"/>
      <c r="B78" s="6" t="s">
        <v>119</v>
      </c>
      <c r="C78" s="16"/>
      <c r="D78" s="16"/>
      <c r="E78" s="16" t="s">
        <v>23</v>
      </c>
      <c r="F78" s="6">
        <v>1</v>
      </c>
      <c r="G78" s="39">
        <v>32.28</v>
      </c>
      <c r="H78" s="38">
        <f>G78*F78</f>
        <v>32.28</v>
      </c>
      <c r="I78" s="6"/>
    </row>
    <row r="79" s="8" customFormat="1" spans="1:9">
      <c r="A79" s="14"/>
      <c r="B79" s="6" t="s">
        <v>120</v>
      </c>
      <c r="C79" s="16"/>
      <c r="D79" s="16"/>
      <c r="E79" s="16" t="s">
        <v>23</v>
      </c>
      <c r="F79" s="6">
        <v>1</v>
      </c>
      <c r="G79" s="39">
        <v>10.29</v>
      </c>
      <c r="H79" s="38">
        <f>G79*F79</f>
        <v>10.29</v>
      </c>
      <c r="I79" s="6"/>
    </row>
    <row r="80" s="8" customFormat="1" spans="1:9">
      <c r="A80" s="14"/>
      <c r="B80" s="6" t="s">
        <v>121</v>
      </c>
      <c r="C80" s="16"/>
      <c r="D80" s="16"/>
      <c r="E80" s="16" t="s">
        <v>23</v>
      </c>
      <c r="F80" s="6">
        <v>1</v>
      </c>
      <c r="G80" s="39">
        <v>8.63</v>
      </c>
      <c r="H80" s="38">
        <f>G80*F80</f>
        <v>8.63</v>
      </c>
      <c r="I80" s="6"/>
    </row>
    <row r="81" s="8" customFormat="1" spans="1:9">
      <c r="A81" s="14"/>
      <c r="B81" s="6" t="s">
        <v>122</v>
      </c>
      <c r="C81" s="16"/>
      <c r="D81" s="16"/>
      <c r="E81" s="16" t="s">
        <v>23</v>
      </c>
      <c r="F81" s="6">
        <v>2</v>
      </c>
      <c r="G81" s="39">
        <v>2.17</v>
      </c>
      <c r="H81" s="38">
        <f>G81*F81</f>
        <v>4.34</v>
      </c>
      <c r="I81" s="6" t="s">
        <v>123</v>
      </c>
    </row>
    <row r="82" s="8" customFormat="1" spans="1:9">
      <c r="A82" s="14"/>
      <c r="B82" s="6" t="s">
        <v>124</v>
      </c>
      <c r="C82" s="6" t="s">
        <v>125</v>
      </c>
      <c r="D82" s="6" t="s">
        <v>20</v>
      </c>
      <c r="E82" s="6"/>
      <c r="F82" s="6">
        <v>1</v>
      </c>
      <c r="G82" s="39"/>
      <c r="H82" s="38"/>
      <c r="I82" s="6" t="s">
        <v>126</v>
      </c>
    </row>
    <row r="83" s="8" customFormat="1" spans="1:9">
      <c r="A83" s="14"/>
      <c r="B83" s="6" t="s">
        <v>127</v>
      </c>
      <c r="C83" s="6" t="s">
        <v>128</v>
      </c>
      <c r="D83" s="6" t="s">
        <v>20</v>
      </c>
      <c r="E83" s="6"/>
      <c r="F83" s="6">
        <v>2</v>
      </c>
      <c r="G83" s="39"/>
      <c r="H83" s="38"/>
      <c r="I83" s="6" t="s">
        <v>126</v>
      </c>
    </row>
    <row r="84" s="8" customFormat="1" spans="1:9">
      <c r="A84" s="14"/>
      <c r="B84" s="6" t="s">
        <v>31</v>
      </c>
      <c r="C84" s="6" t="s">
        <v>32</v>
      </c>
      <c r="D84" s="6" t="s">
        <v>20</v>
      </c>
      <c r="E84" s="6"/>
      <c r="F84" s="6">
        <v>2</v>
      </c>
      <c r="G84" s="39"/>
      <c r="H84" s="38"/>
      <c r="I84" s="6" t="s">
        <v>33</v>
      </c>
    </row>
    <row r="85" s="8" customFormat="1" spans="1:9">
      <c r="A85" s="14"/>
      <c r="B85" s="6" t="s">
        <v>62</v>
      </c>
      <c r="C85" s="6" t="s">
        <v>63</v>
      </c>
      <c r="D85" s="6"/>
      <c r="E85" s="6"/>
      <c r="F85" s="6">
        <v>1</v>
      </c>
      <c r="G85" s="39"/>
      <c r="H85" s="38"/>
      <c r="I85" s="6"/>
    </row>
    <row r="86" s="8" customFormat="1" spans="1:9">
      <c r="A86" s="14"/>
      <c r="B86" s="6" t="s">
        <v>114</v>
      </c>
      <c r="C86" s="6" t="s">
        <v>115</v>
      </c>
      <c r="D86" s="6"/>
      <c r="E86" s="6" t="s">
        <v>116</v>
      </c>
      <c r="F86" s="6">
        <v>6</v>
      </c>
      <c r="G86" s="39"/>
      <c r="H86" s="38"/>
      <c r="I86" s="6"/>
    </row>
    <row r="87" s="8" customFormat="1" spans="1:9">
      <c r="A87" s="14"/>
      <c r="B87" s="6" t="s">
        <v>65</v>
      </c>
      <c r="C87" s="6" t="s">
        <v>129</v>
      </c>
      <c r="D87" s="6"/>
      <c r="E87" s="6"/>
      <c r="F87" s="6">
        <v>8</v>
      </c>
      <c r="G87" s="39"/>
      <c r="H87" s="38"/>
      <c r="I87" s="6"/>
    </row>
    <row r="88" s="8" customFormat="1" spans="1:9">
      <c r="A88" s="14"/>
      <c r="B88" s="6" t="s">
        <v>65</v>
      </c>
      <c r="C88" s="6" t="s">
        <v>130</v>
      </c>
      <c r="D88" s="6"/>
      <c r="E88" s="6"/>
      <c r="F88" s="6">
        <v>2</v>
      </c>
      <c r="G88" s="39"/>
      <c r="H88" s="38"/>
      <c r="I88" s="6"/>
    </row>
    <row r="89" s="8" customFormat="1" spans="1:9">
      <c r="A89" s="14"/>
      <c r="B89" s="6" t="s">
        <v>65</v>
      </c>
      <c r="C89" s="6" t="s">
        <v>131</v>
      </c>
      <c r="D89" s="6"/>
      <c r="E89" s="6"/>
      <c r="F89" s="6">
        <v>4</v>
      </c>
      <c r="G89" s="39"/>
      <c r="H89" s="38"/>
      <c r="I89" s="6"/>
    </row>
    <row r="90" s="8" customFormat="1" spans="1:9">
      <c r="A90" s="14"/>
      <c r="B90" s="6" t="s">
        <v>65</v>
      </c>
      <c r="C90" s="6" t="s">
        <v>83</v>
      </c>
      <c r="D90" s="6"/>
      <c r="E90" s="6"/>
      <c r="F90" s="6">
        <v>2</v>
      </c>
      <c r="G90" s="39"/>
      <c r="H90" s="38"/>
      <c r="I90" s="6"/>
    </row>
    <row r="91" s="8" customFormat="1" spans="1:9">
      <c r="A91" s="14"/>
      <c r="B91" s="6" t="s">
        <v>132</v>
      </c>
      <c r="C91" s="15"/>
      <c r="D91" s="15"/>
      <c r="E91" s="15"/>
      <c r="F91" s="15">
        <v>1</v>
      </c>
      <c r="G91" s="39"/>
      <c r="H91" s="38"/>
      <c r="I91" s="6" t="s">
        <v>94</v>
      </c>
    </row>
    <row r="92" s="8" customFormat="1" spans="1:9">
      <c r="A92" s="14"/>
      <c r="B92" s="15" t="s">
        <v>57</v>
      </c>
      <c r="C92" s="15"/>
      <c r="D92" s="15"/>
      <c r="E92" s="15"/>
      <c r="F92" s="15">
        <v>1</v>
      </c>
      <c r="G92" s="39"/>
      <c r="H92" s="38"/>
      <c r="I92" s="6" t="s">
        <v>58</v>
      </c>
    </row>
    <row r="93" s="8" customFormat="1" spans="1:9">
      <c r="A93" s="14"/>
      <c r="B93" s="6" t="s">
        <v>59</v>
      </c>
      <c r="C93" s="16" t="s">
        <v>133</v>
      </c>
      <c r="D93" s="15" t="s">
        <v>20</v>
      </c>
      <c r="E93" s="15" t="s">
        <v>61</v>
      </c>
      <c r="F93" s="15">
        <v>1</v>
      </c>
      <c r="G93" s="42"/>
      <c r="H93" s="47"/>
      <c r="I93" s="6"/>
    </row>
    <row r="94" s="8" customFormat="1" spans="1:9">
      <c r="A94" s="14"/>
      <c r="B94" s="6" t="s">
        <v>65</v>
      </c>
      <c r="C94" s="15" t="s">
        <v>87</v>
      </c>
      <c r="D94" s="15"/>
      <c r="E94" s="15"/>
      <c r="F94" s="15">
        <v>4</v>
      </c>
      <c r="G94" s="42"/>
      <c r="H94" s="47"/>
      <c r="I94" s="6"/>
    </row>
    <row r="95" s="8" customFormat="1" spans="1:9">
      <c r="A95" s="14"/>
      <c r="B95" s="16"/>
      <c r="C95" s="15" t="s">
        <v>134</v>
      </c>
      <c r="D95" s="15"/>
      <c r="E95" s="15"/>
      <c r="F95" s="15"/>
      <c r="G95" s="42"/>
      <c r="H95" s="47"/>
      <c r="I95" s="16"/>
    </row>
    <row r="96" s="8" customFormat="1" spans="1:9">
      <c r="A96" s="13" t="s">
        <v>135</v>
      </c>
      <c r="B96" s="4" t="s">
        <v>136</v>
      </c>
      <c r="C96" s="4"/>
      <c r="D96" s="4"/>
      <c r="E96" s="4" t="s">
        <v>23</v>
      </c>
      <c r="F96" s="4">
        <v>1</v>
      </c>
      <c r="G96" s="40">
        <v>88.95</v>
      </c>
      <c r="H96" s="4">
        <f>G96*F96</f>
        <v>88.95</v>
      </c>
      <c r="I96" s="4"/>
    </row>
    <row r="97" s="8" customFormat="1" spans="1:9">
      <c r="A97" s="14"/>
      <c r="B97" s="6" t="s">
        <v>137</v>
      </c>
      <c r="C97" s="6"/>
      <c r="D97" s="6"/>
      <c r="E97" s="6" t="s">
        <v>23</v>
      </c>
      <c r="F97" s="6">
        <v>1</v>
      </c>
      <c r="G97" s="42">
        <v>24.3</v>
      </c>
      <c r="H97" s="6">
        <f>G97*F97</f>
        <v>24.3</v>
      </c>
      <c r="I97" s="6"/>
    </row>
    <row r="98" s="8" customFormat="1" spans="1:9">
      <c r="A98" s="14"/>
      <c r="B98" s="6" t="s">
        <v>138</v>
      </c>
      <c r="C98" s="6" t="s">
        <v>139</v>
      </c>
      <c r="D98" s="6"/>
      <c r="E98" s="6"/>
      <c r="F98" s="6">
        <v>1</v>
      </c>
      <c r="G98" s="42"/>
      <c r="H98" s="6"/>
      <c r="I98" s="6"/>
    </row>
    <row r="99" s="8" customFormat="1" spans="1:9">
      <c r="A99" s="14"/>
      <c r="B99" s="6" t="s">
        <v>140</v>
      </c>
      <c r="C99" s="6" t="s">
        <v>141</v>
      </c>
      <c r="D99" s="6"/>
      <c r="E99" s="6"/>
      <c r="F99" s="6">
        <v>1</v>
      </c>
      <c r="G99" s="42"/>
      <c r="H99" s="6"/>
      <c r="I99" s="6"/>
    </row>
    <row r="100" s="8" customFormat="1" spans="1:9">
      <c r="A100" s="14"/>
      <c r="B100" s="6" t="s">
        <v>142</v>
      </c>
      <c r="C100" s="6" t="s">
        <v>143</v>
      </c>
      <c r="D100" s="6"/>
      <c r="E100" s="6"/>
      <c r="F100" s="6">
        <v>1</v>
      </c>
      <c r="G100" s="42"/>
      <c r="H100" s="6"/>
      <c r="I100" s="6"/>
    </row>
    <row r="101" s="8" customFormat="1" spans="1:9">
      <c r="A101" s="14"/>
      <c r="B101" s="6" t="s">
        <v>144</v>
      </c>
      <c r="C101" s="6" t="s">
        <v>145</v>
      </c>
      <c r="D101" s="6"/>
      <c r="E101" s="6"/>
      <c r="F101" s="6">
        <v>1</v>
      </c>
      <c r="G101" s="42"/>
      <c r="H101" s="6"/>
      <c r="I101" s="6"/>
    </row>
    <row r="102" s="8" customFormat="1" spans="1:9">
      <c r="A102" s="14"/>
      <c r="B102" s="6" t="s">
        <v>146</v>
      </c>
      <c r="C102" s="6" t="s">
        <v>147</v>
      </c>
      <c r="D102" s="6"/>
      <c r="E102" s="6"/>
      <c r="F102" s="6">
        <v>5</v>
      </c>
      <c r="G102" s="42"/>
      <c r="H102" s="6"/>
      <c r="I102" s="6"/>
    </row>
    <row r="103" s="8" customFormat="1" spans="1:9">
      <c r="A103" s="14"/>
      <c r="B103" s="6" t="s">
        <v>148</v>
      </c>
      <c r="C103" s="6" t="s">
        <v>149</v>
      </c>
      <c r="D103" s="6" t="s">
        <v>20</v>
      </c>
      <c r="E103" s="6" t="s">
        <v>150</v>
      </c>
      <c r="F103" s="6">
        <v>1</v>
      </c>
      <c r="G103" s="42"/>
      <c r="H103" s="6"/>
      <c r="I103" s="6"/>
    </row>
    <row r="104" s="8" customFormat="1" spans="1:9">
      <c r="A104" s="14"/>
      <c r="B104" s="6" t="s">
        <v>65</v>
      </c>
      <c r="C104" s="6" t="s">
        <v>87</v>
      </c>
      <c r="D104" s="6"/>
      <c r="E104" s="6"/>
      <c r="F104" s="6">
        <v>4</v>
      </c>
      <c r="G104" s="42"/>
      <c r="H104" s="6"/>
      <c r="I104" s="6"/>
    </row>
    <row r="105" s="8" customFormat="1" spans="1:9">
      <c r="A105" s="14"/>
      <c r="B105" s="6" t="s">
        <v>25</v>
      </c>
      <c r="C105" s="6" t="s">
        <v>45</v>
      </c>
      <c r="D105" s="16"/>
      <c r="E105" s="16"/>
      <c r="F105" s="16">
        <v>16</v>
      </c>
      <c r="G105" s="42"/>
      <c r="H105" s="16"/>
      <c r="I105" s="7"/>
    </row>
    <row r="106" s="8" customFormat="1" spans="1:9">
      <c r="A106" s="14"/>
      <c r="B106" s="6" t="s">
        <v>70</v>
      </c>
      <c r="C106" s="16" t="s">
        <v>72</v>
      </c>
      <c r="D106" s="16"/>
      <c r="E106" s="16"/>
      <c r="F106" s="16">
        <v>16</v>
      </c>
      <c r="G106" s="42"/>
      <c r="H106" s="16"/>
      <c r="I106" s="7"/>
    </row>
    <row r="107" s="8" customFormat="1" spans="1:9">
      <c r="A107" s="14"/>
      <c r="B107" s="16"/>
      <c r="C107" s="16"/>
      <c r="D107" s="16"/>
      <c r="E107" s="16"/>
      <c r="F107" s="16"/>
      <c r="G107" s="42"/>
      <c r="H107" s="16"/>
      <c r="I107" s="7"/>
    </row>
    <row r="108" s="8" customFormat="1" spans="1:9">
      <c r="A108" s="21"/>
      <c r="B108" s="21"/>
      <c r="C108" s="21"/>
      <c r="D108" s="21"/>
      <c r="E108" s="21"/>
      <c r="F108" s="21"/>
      <c r="G108" s="21" t="s">
        <v>151</v>
      </c>
      <c r="H108" s="21">
        <f>SUM(H8:H107)</f>
        <v>334.9</v>
      </c>
      <c r="I108" s="21"/>
    </row>
  </sheetData>
  <mergeCells count="13">
    <mergeCell ref="B1:C1"/>
    <mergeCell ref="E1:I1"/>
    <mergeCell ref="E2:I2"/>
    <mergeCell ref="E3:I3"/>
    <mergeCell ref="E4:I4"/>
    <mergeCell ref="A6:I6"/>
    <mergeCell ref="A1:A4"/>
    <mergeCell ref="A8:A16"/>
    <mergeCell ref="A17:A45"/>
    <mergeCell ref="A46:A59"/>
    <mergeCell ref="A60:A76"/>
    <mergeCell ref="A77:A95"/>
    <mergeCell ref="A96:A107"/>
  </mergeCells>
  <pageMargins left="0.7" right="0.7" top="0.75" bottom="0.75" header="0.3" footer="0.3"/>
  <pageSetup paperSize="9" scale="6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opLeftCell="B1" workbookViewId="0">
      <selection activeCell="G11" sqref="G11"/>
    </sheetView>
  </sheetViews>
  <sheetFormatPr defaultColWidth="9" defaultRowHeight="13.75"/>
  <cols>
    <col min="1" max="1" width="22.9090909090909" style="8" customWidth="1"/>
    <col min="2" max="2" width="40.3181818181818" style="8" customWidth="1"/>
    <col min="3" max="3" width="31.6363636363636" style="8" customWidth="1"/>
    <col min="4" max="4" width="8.45454545454546" style="8" customWidth="1"/>
    <col min="5" max="5" width="24.6363636363636" style="8" customWidth="1"/>
    <col min="6" max="7" width="10.7272727272727" style="8" customWidth="1"/>
    <col min="8" max="8" width="15.1818181818182" style="8" customWidth="1"/>
    <col min="9" max="9" width="25.5909090909091" style="8" customWidth="1"/>
  </cols>
  <sheetData>
    <row r="1" ht="34" spans="1:9">
      <c r="A1" s="9" t="s">
        <v>152</v>
      </c>
      <c r="B1" s="10"/>
      <c r="C1" s="10"/>
      <c r="D1" s="10"/>
      <c r="E1" s="10"/>
      <c r="F1" s="10"/>
      <c r="G1" s="10"/>
      <c r="H1" s="10"/>
      <c r="I1" s="20"/>
    </row>
    <row r="2" spans="1:9">
      <c r="A2" s="11" t="s">
        <v>9</v>
      </c>
      <c r="B2" s="12" t="s">
        <v>10</v>
      </c>
      <c r="C2" s="12" t="s">
        <v>11</v>
      </c>
      <c r="D2" s="12" t="s">
        <v>12</v>
      </c>
      <c r="E2" s="12" t="s">
        <v>13</v>
      </c>
      <c r="F2" s="12" t="s">
        <v>14</v>
      </c>
      <c r="G2" s="12" t="s">
        <v>153</v>
      </c>
      <c r="H2" s="12" t="s">
        <v>154</v>
      </c>
      <c r="I2" s="12" t="s">
        <v>17</v>
      </c>
    </row>
    <row r="3" spans="1:9">
      <c r="A3" s="13" t="s">
        <v>155</v>
      </c>
      <c r="B3" s="13" t="s">
        <v>156</v>
      </c>
      <c r="C3" s="6">
        <f>'Assembly BOM'!C8</f>
        <v>408</v>
      </c>
      <c r="D3" s="6" t="s">
        <v>20</v>
      </c>
      <c r="E3" s="6" t="s">
        <v>21</v>
      </c>
      <c r="F3" s="6">
        <v>2</v>
      </c>
      <c r="G3" s="6">
        <v>14.99</v>
      </c>
      <c r="H3" s="6">
        <f>G3*F3</f>
        <v>29.98</v>
      </c>
      <c r="I3" s="6" t="s">
        <v>157</v>
      </c>
    </row>
    <row r="4" spans="1:9">
      <c r="A4" s="14"/>
      <c r="B4" s="14"/>
      <c r="C4" s="6">
        <f>'Assembly BOM'!C20</f>
        <v>334</v>
      </c>
      <c r="D4" s="6" t="s">
        <v>20</v>
      </c>
      <c r="E4" s="6" t="s">
        <v>21</v>
      </c>
      <c r="F4" s="6">
        <v>2</v>
      </c>
      <c r="G4" s="6">
        <f>13.29</f>
        <v>13.29</v>
      </c>
      <c r="H4" s="6">
        <f t="shared" ref="H4:H35" si="0">G4*F4</f>
        <v>26.58</v>
      </c>
      <c r="I4" s="6" t="s">
        <v>158</v>
      </c>
    </row>
    <row r="5" spans="1:9">
      <c r="A5" s="14"/>
      <c r="B5" s="15"/>
      <c r="C5" s="6">
        <f>'Assembly BOM'!C50</f>
        <v>390</v>
      </c>
      <c r="D5" s="6" t="s">
        <v>20</v>
      </c>
      <c r="E5" s="6" t="s">
        <v>21</v>
      </c>
      <c r="F5" s="6">
        <v>4</v>
      </c>
      <c r="G5" s="6">
        <v>14.99</v>
      </c>
      <c r="H5" s="6">
        <f t="shared" si="0"/>
        <v>59.96</v>
      </c>
      <c r="I5" s="6" t="s">
        <v>159</v>
      </c>
    </row>
    <row r="6" spans="1:9">
      <c r="A6" s="14"/>
      <c r="B6" s="16" t="s">
        <v>160</v>
      </c>
      <c r="C6" s="6">
        <f>'Assembly BOM'!C17</f>
        <v>460</v>
      </c>
      <c r="D6" s="6" t="s">
        <v>20</v>
      </c>
      <c r="E6" s="6" t="s">
        <v>21</v>
      </c>
      <c r="F6" s="6">
        <v>4</v>
      </c>
      <c r="G6" s="6">
        <f>31/4</f>
        <v>7.75</v>
      </c>
      <c r="H6" s="6">
        <f t="shared" si="0"/>
        <v>31</v>
      </c>
      <c r="I6" s="6" t="s">
        <v>157</v>
      </c>
    </row>
    <row r="7" spans="1:9">
      <c r="A7" s="14"/>
      <c r="B7" s="14"/>
      <c r="C7" s="6">
        <f>'Assembly BOM'!C18</f>
        <v>340</v>
      </c>
      <c r="D7" s="6" t="s">
        <v>20</v>
      </c>
      <c r="E7" s="6" t="s">
        <v>21</v>
      </c>
      <c r="F7" s="6">
        <v>4</v>
      </c>
      <c r="G7" s="6">
        <f>19/4</f>
        <v>4.75</v>
      </c>
      <c r="H7" s="6">
        <f t="shared" si="0"/>
        <v>19</v>
      </c>
      <c r="I7" s="6" t="s">
        <v>158</v>
      </c>
    </row>
    <row r="8" spans="1:9">
      <c r="A8" s="14"/>
      <c r="B8" s="15"/>
      <c r="C8" s="6">
        <f>'Assembly BOM'!C19</f>
        <v>390</v>
      </c>
      <c r="D8" s="6" t="s">
        <v>20</v>
      </c>
      <c r="E8" s="6" t="s">
        <v>21</v>
      </c>
      <c r="F8" s="6">
        <v>4</v>
      </c>
      <c r="G8" s="6">
        <f>19/4</f>
        <v>4.75</v>
      </c>
      <c r="H8" s="6">
        <f t="shared" si="0"/>
        <v>19</v>
      </c>
      <c r="I8" s="6" t="s">
        <v>159</v>
      </c>
    </row>
    <row r="9" spans="1:9">
      <c r="A9" s="14"/>
      <c r="B9" s="6" t="s">
        <v>91</v>
      </c>
      <c r="C9" s="6">
        <f>'Assembly BOM'!C61</f>
        <v>477</v>
      </c>
      <c r="D9" s="6" t="s">
        <v>20</v>
      </c>
      <c r="E9" s="6" t="s">
        <v>21</v>
      </c>
      <c r="F9" s="6">
        <v>2</v>
      </c>
      <c r="G9" s="6">
        <v>14.43</v>
      </c>
      <c r="H9" s="6">
        <f t="shared" si="0"/>
        <v>28.86</v>
      </c>
      <c r="I9" s="6"/>
    </row>
    <row r="10" spans="1:9">
      <c r="A10" s="14"/>
      <c r="B10" s="16" t="s">
        <v>161</v>
      </c>
      <c r="C10" s="6"/>
      <c r="D10" s="6" t="s">
        <v>162</v>
      </c>
      <c r="E10" s="6" t="s">
        <v>23</v>
      </c>
      <c r="F10" s="6">
        <f>'Assembly BOM'!H108</f>
        <v>334.9</v>
      </c>
      <c r="G10" s="6">
        <v>0.08</v>
      </c>
      <c r="H10" s="6">
        <f t="shared" si="0"/>
        <v>26.792</v>
      </c>
      <c r="I10" s="6"/>
    </row>
    <row r="11" spans="1:9">
      <c r="A11" s="14"/>
      <c r="B11" s="15" t="s">
        <v>80</v>
      </c>
      <c r="C11" s="14">
        <f>'Assembly BOM'!C51</f>
        <v>350</v>
      </c>
      <c r="D11" s="14"/>
      <c r="E11" s="14"/>
      <c r="F11" s="15">
        <v>2</v>
      </c>
      <c r="G11" s="14">
        <v>12</v>
      </c>
      <c r="H11" s="6">
        <f t="shared" si="0"/>
        <v>24</v>
      </c>
      <c r="I11" s="16"/>
    </row>
    <row r="12" spans="1:9">
      <c r="A12" s="14"/>
      <c r="B12" s="6" t="s">
        <v>75</v>
      </c>
      <c r="C12" s="6" t="s">
        <v>163</v>
      </c>
      <c r="D12" s="16" t="s">
        <v>20</v>
      </c>
      <c r="E12" s="16" t="s">
        <v>164</v>
      </c>
      <c r="F12" s="16">
        <v>1</v>
      </c>
      <c r="G12" s="16">
        <v>22.79</v>
      </c>
      <c r="H12" s="6">
        <f t="shared" si="0"/>
        <v>22.79</v>
      </c>
      <c r="I12" s="16"/>
    </row>
    <row r="13" spans="1:9">
      <c r="A13" s="14"/>
      <c r="B13" s="6" t="s">
        <v>92</v>
      </c>
      <c r="C13" s="6" t="str">
        <f>'Assembly BOM'!C2&amp;" x "&amp;'Assembly BOM'!C3&amp;" x "&amp;3</f>
        <v>300 x 200 x 3</v>
      </c>
      <c r="D13" s="6" t="s">
        <v>20</v>
      </c>
      <c r="E13" s="6"/>
      <c r="F13" s="6">
        <v>1</v>
      </c>
      <c r="G13" s="16">
        <v>28</v>
      </c>
      <c r="H13" s="6">
        <f t="shared" si="0"/>
        <v>28</v>
      </c>
      <c r="I13" s="6" t="s">
        <v>94</v>
      </c>
    </row>
    <row r="14" spans="1:9">
      <c r="A14" s="14"/>
      <c r="B14" s="6" t="s">
        <v>95</v>
      </c>
      <c r="C14" s="6" t="str">
        <f>'Assembly BOM'!C2&amp;" x "&amp;'Assembly BOM'!C3&amp;" x "&amp;4</f>
        <v>300 x 200 x 4</v>
      </c>
      <c r="D14" s="6" t="s">
        <v>20</v>
      </c>
      <c r="E14" s="6"/>
      <c r="F14" s="6">
        <v>1</v>
      </c>
      <c r="G14" s="16">
        <v>11.59</v>
      </c>
      <c r="H14" s="6">
        <f t="shared" si="0"/>
        <v>11.59</v>
      </c>
      <c r="I14" s="6" t="s">
        <v>94</v>
      </c>
    </row>
    <row r="15" spans="1:9">
      <c r="A15" s="14"/>
      <c r="B15" s="6" t="s">
        <v>97</v>
      </c>
      <c r="C15" s="6" t="str">
        <f>'Assembly BOM'!C2&amp;" x "&amp;'Assembly BOM'!C3</f>
        <v>300 x 200</v>
      </c>
      <c r="D15" s="6" t="s">
        <v>99</v>
      </c>
      <c r="E15" s="6"/>
      <c r="F15" s="6">
        <v>1</v>
      </c>
      <c r="G15" s="16">
        <v>17.99</v>
      </c>
      <c r="H15" s="6">
        <f t="shared" si="0"/>
        <v>17.99</v>
      </c>
      <c r="I15" s="16"/>
    </row>
    <row r="16" spans="1:9">
      <c r="A16" s="17"/>
      <c r="B16" s="16"/>
      <c r="C16" s="16"/>
      <c r="D16" s="16"/>
      <c r="E16" s="16"/>
      <c r="F16" s="16"/>
      <c r="G16" s="16"/>
      <c r="H16" s="16"/>
      <c r="I16" s="16"/>
    </row>
    <row r="17" spans="1:9">
      <c r="A17" s="13" t="s">
        <v>165</v>
      </c>
      <c r="B17" s="13" t="s">
        <v>31</v>
      </c>
      <c r="C17" s="13" t="s">
        <v>85</v>
      </c>
      <c r="D17" s="13"/>
      <c r="E17" s="13"/>
      <c r="F17" s="13">
        <f>'Assembly BOM'!F15+'Assembly BOM'!F84</f>
        <v>4</v>
      </c>
      <c r="G17" s="13">
        <f>15/4</f>
        <v>3.75</v>
      </c>
      <c r="H17" s="4">
        <f t="shared" si="0"/>
        <v>15</v>
      </c>
      <c r="I17" s="13" t="s">
        <v>33</v>
      </c>
    </row>
    <row r="18" spans="1:9">
      <c r="A18" s="14"/>
      <c r="B18" s="6" t="s">
        <v>84</v>
      </c>
      <c r="C18" s="16" t="s">
        <v>85</v>
      </c>
      <c r="D18" s="16"/>
      <c r="E18" s="16"/>
      <c r="F18" s="16">
        <f>'Assembly BOM'!F72</f>
        <v>4</v>
      </c>
      <c r="G18" s="16">
        <f>12/2</f>
        <v>6</v>
      </c>
      <c r="H18" s="6">
        <f t="shared" si="0"/>
        <v>24</v>
      </c>
      <c r="I18" s="16" t="s">
        <v>86</v>
      </c>
    </row>
    <row r="19" spans="1:9">
      <c r="A19" s="14"/>
      <c r="B19" s="6" t="s">
        <v>55</v>
      </c>
      <c r="C19" s="6"/>
      <c r="D19" s="6"/>
      <c r="E19" s="6" t="s">
        <v>21</v>
      </c>
      <c r="F19" s="6">
        <v>20</v>
      </c>
      <c r="G19" s="16">
        <f>11.5/20</f>
        <v>0.575</v>
      </c>
      <c r="H19" s="6">
        <f t="shared" si="0"/>
        <v>11.5</v>
      </c>
      <c r="I19" s="16"/>
    </row>
    <row r="20" spans="1:9">
      <c r="A20" s="14"/>
      <c r="B20" s="6" t="s">
        <v>48</v>
      </c>
      <c r="C20" s="16" t="s">
        <v>166</v>
      </c>
      <c r="D20" s="16" t="s">
        <v>20</v>
      </c>
      <c r="E20" s="16"/>
      <c r="F20" s="16">
        <v>12</v>
      </c>
      <c r="G20" s="16">
        <f>9/15</f>
        <v>0.6</v>
      </c>
      <c r="H20" s="6">
        <f t="shared" si="0"/>
        <v>7.2</v>
      </c>
      <c r="I20" s="16"/>
    </row>
    <row r="21" spans="1:9">
      <c r="A21" s="14"/>
      <c r="B21" s="6" t="s">
        <v>100</v>
      </c>
      <c r="C21" s="6">
        <v>40</v>
      </c>
      <c r="D21" s="6" t="s">
        <v>20</v>
      </c>
      <c r="E21" s="6" t="s">
        <v>101</v>
      </c>
      <c r="F21" s="6">
        <v>4</v>
      </c>
      <c r="G21" s="18">
        <f>8.29/14</f>
        <v>0.592142857142857</v>
      </c>
      <c r="H21" s="19">
        <f t="shared" si="0"/>
        <v>2.36857142857143</v>
      </c>
      <c r="I21" s="16"/>
    </row>
    <row r="22" spans="1:9">
      <c r="A22" s="14"/>
      <c r="B22" s="6" t="s">
        <v>59</v>
      </c>
      <c r="C22" s="16" t="s">
        <v>133</v>
      </c>
      <c r="D22" s="15" t="s">
        <v>20</v>
      </c>
      <c r="E22" s="15" t="s">
        <v>61</v>
      </c>
      <c r="F22" s="16">
        <f>'Assembly BOM'!F93+'Assembly BOM'!F37</f>
        <v>3</v>
      </c>
      <c r="G22" s="16">
        <f>12.59/5</f>
        <v>2.518</v>
      </c>
      <c r="H22" s="6">
        <f t="shared" si="0"/>
        <v>7.554</v>
      </c>
      <c r="I22" s="16"/>
    </row>
    <row r="23" spans="1:9">
      <c r="A23" s="14"/>
      <c r="B23" s="6" t="s">
        <v>111</v>
      </c>
      <c r="C23" s="6" t="s">
        <v>112</v>
      </c>
      <c r="D23" s="6" t="s">
        <v>20</v>
      </c>
      <c r="E23" s="6"/>
      <c r="F23" s="6">
        <v>2</v>
      </c>
      <c r="G23" s="16">
        <f>10/4</f>
        <v>2.5</v>
      </c>
      <c r="H23" s="6">
        <f t="shared" si="0"/>
        <v>5</v>
      </c>
      <c r="I23" s="16"/>
    </row>
    <row r="24" spans="1:9">
      <c r="A24" s="14"/>
      <c r="B24" s="6" t="s">
        <v>102</v>
      </c>
      <c r="C24" s="6" t="s">
        <v>103</v>
      </c>
      <c r="D24" s="6" t="s">
        <v>20</v>
      </c>
      <c r="E24" s="6"/>
      <c r="F24" s="6">
        <v>1</v>
      </c>
      <c r="G24" s="16">
        <f>9/10</f>
        <v>0.9</v>
      </c>
      <c r="H24" s="6">
        <f t="shared" si="0"/>
        <v>0.9</v>
      </c>
      <c r="I24" s="16"/>
    </row>
    <row r="25" spans="1:9">
      <c r="A25" s="14"/>
      <c r="B25" s="6" t="s">
        <v>104</v>
      </c>
      <c r="C25" s="6" t="s">
        <v>105</v>
      </c>
      <c r="D25" s="6" t="s">
        <v>20</v>
      </c>
      <c r="E25" s="6"/>
      <c r="F25" s="6">
        <v>4</v>
      </c>
      <c r="G25" s="16">
        <f>8/10</f>
        <v>0.8</v>
      </c>
      <c r="H25" s="6">
        <f t="shared" si="0"/>
        <v>3.2</v>
      </c>
      <c r="I25" s="16"/>
    </row>
    <row r="26" spans="1:9">
      <c r="A26" s="14"/>
      <c r="B26" s="6" t="s">
        <v>70</v>
      </c>
      <c r="C26" s="16" t="s">
        <v>71</v>
      </c>
      <c r="D26" s="16"/>
      <c r="E26" s="16"/>
      <c r="F26" s="16">
        <f>'Assembly BOM'!F43</f>
        <v>42</v>
      </c>
      <c r="G26" s="16">
        <f>8/50</f>
        <v>0.16</v>
      </c>
      <c r="H26" s="6">
        <f t="shared" si="0"/>
        <v>6.72</v>
      </c>
      <c r="I26" s="16"/>
    </row>
    <row r="27" spans="1:9">
      <c r="A27" s="14"/>
      <c r="B27" s="6" t="s">
        <v>70</v>
      </c>
      <c r="C27" s="16" t="s">
        <v>72</v>
      </c>
      <c r="D27" s="16"/>
      <c r="E27" s="16"/>
      <c r="F27" s="16">
        <f>'Assembly BOM'!F44+'Assembly BOM'!F106</f>
        <v>82</v>
      </c>
      <c r="G27" s="16">
        <f>9/90</f>
        <v>0.1</v>
      </c>
      <c r="H27" s="6">
        <f t="shared" si="0"/>
        <v>8.2</v>
      </c>
      <c r="I27" s="16"/>
    </row>
    <row r="28" spans="1:9">
      <c r="A28" s="14"/>
      <c r="B28" s="6" t="s">
        <v>106</v>
      </c>
      <c r="C28" s="6" t="s">
        <v>107</v>
      </c>
      <c r="D28" s="16"/>
      <c r="E28" s="16"/>
      <c r="F28" s="16">
        <f>'Assembly BOM'!F68</f>
        <v>6</v>
      </c>
      <c r="G28" s="16">
        <f>7/10</f>
        <v>0.7</v>
      </c>
      <c r="H28" s="6">
        <f t="shared" si="0"/>
        <v>4.2</v>
      </c>
      <c r="I28" s="16"/>
    </row>
    <row r="29" spans="1:9">
      <c r="A29" s="14"/>
      <c r="B29" s="6" t="s">
        <v>114</v>
      </c>
      <c r="C29" s="6" t="s">
        <v>115</v>
      </c>
      <c r="D29" s="6"/>
      <c r="E29" s="6" t="s">
        <v>116</v>
      </c>
      <c r="F29" s="6">
        <f>'Assembly BOM'!F75+'Assembly BOM'!F86</f>
        <v>30</v>
      </c>
      <c r="G29" s="16">
        <f>8.9/100</f>
        <v>0.089</v>
      </c>
      <c r="H29" s="6">
        <f t="shared" si="0"/>
        <v>2.67</v>
      </c>
      <c r="I29" s="16"/>
    </row>
    <row r="30" spans="1:9">
      <c r="A30" s="14"/>
      <c r="B30" s="15" t="s">
        <v>81</v>
      </c>
      <c r="C30" s="15" t="s">
        <v>82</v>
      </c>
      <c r="D30" s="15" t="s">
        <v>20</v>
      </c>
      <c r="E30" s="15"/>
      <c r="F30" s="15">
        <v>2</v>
      </c>
      <c r="G30" s="14">
        <f>10/2</f>
        <v>5</v>
      </c>
      <c r="H30" s="6">
        <f t="shared" si="0"/>
        <v>10</v>
      </c>
      <c r="I30" s="16"/>
    </row>
    <row r="31" spans="1:9">
      <c r="A31" s="14"/>
      <c r="B31" s="6" t="s">
        <v>67</v>
      </c>
      <c r="C31" s="6" t="s">
        <v>29</v>
      </c>
      <c r="D31" s="16" t="s">
        <v>20</v>
      </c>
      <c r="E31" s="16"/>
      <c r="F31" s="16">
        <f>'Assembly BOM'!F40</f>
        <v>2</v>
      </c>
      <c r="G31" s="16">
        <f>7.98/5</f>
        <v>1.596</v>
      </c>
      <c r="H31" s="6">
        <f t="shared" si="0"/>
        <v>3.192</v>
      </c>
      <c r="I31" s="16"/>
    </row>
    <row r="32" spans="1:9">
      <c r="A32" s="14"/>
      <c r="B32" s="6" t="s">
        <v>28</v>
      </c>
      <c r="C32" s="6" t="s">
        <v>29</v>
      </c>
      <c r="D32" s="16" t="s">
        <v>20</v>
      </c>
      <c r="E32" s="16"/>
      <c r="F32" s="16">
        <f>'Assembly BOM'!F41+'Assembly BOM'!F13</f>
        <v>6</v>
      </c>
      <c r="G32" s="16">
        <f>9/5</f>
        <v>1.8</v>
      </c>
      <c r="H32" s="6">
        <f t="shared" si="0"/>
        <v>10.8</v>
      </c>
      <c r="I32" s="16"/>
    </row>
    <row r="33" spans="1:9">
      <c r="A33" s="14"/>
      <c r="B33" s="6" t="s">
        <v>28</v>
      </c>
      <c r="C33" s="6" t="s">
        <v>30</v>
      </c>
      <c r="D33" s="16" t="s">
        <v>20</v>
      </c>
      <c r="E33" s="16"/>
      <c r="F33" s="16">
        <f>'Assembly BOM'!F14</f>
        <v>2</v>
      </c>
      <c r="G33" s="16">
        <f>9/5</f>
        <v>1.8</v>
      </c>
      <c r="H33" s="6">
        <f t="shared" si="0"/>
        <v>3.6</v>
      </c>
      <c r="I33" s="16"/>
    </row>
    <row r="34" spans="1:9">
      <c r="A34" s="14"/>
      <c r="B34" s="6" t="s">
        <v>68</v>
      </c>
      <c r="C34" s="16" t="s">
        <v>69</v>
      </c>
      <c r="D34" s="16" t="s">
        <v>20</v>
      </c>
      <c r="E34" s="16"/>
      <c r="F34" s="16">
        <v>2</v>
      </c>
      <c r="G34" s="16">
        <f>15*2/10</f>
        <v>3</v>
      </c>
      <c r="H34" s="6">
        <f t="shared" si="0"/>
        <v>6</v>
      </c>
      <c r="I34" s="16"/>
    </row>
    <row r="35" spans="1:9">
      <c r="A35" s="14"/>
      <c r="B35" s="6" t="s">
        <v>52</v>
      </c>
      <c r="C35" s="6" t="s">
        <v>53</v>
      </c>
      <c r="D35" s="6" t="s">
        <v>20</v>
      </c>
      <c r="E35" s="6"/>
      <c r="F35" s="6">
        <v>4</v>
      </c>
      <c r="G35" s="16">
        <f>7/4</f>
        <v>1.75</v>
      </c>
      <c r="H35" s="6">
        <f t="shared" si="0"/>
        <v>7</v>
      </c>
      <c r="I35" s="16"/>
    </row>
    <row r="36" spans="1:9">
      <c r="A36" s="14"/>
      <c r="B36" s="16" t="s">
        <v>25</v>
      </c>
      <c r="C36" s="6" t="s">
        <v>51</v>
      </c>
      <c r="D36" s="16"/>
      <c r="E36" s="6" t="s">
        <v>116</v>
      </c>
      <c r="F36" s="16">
        <f>'Assembly BOM'!F31</f>
        <v>48</v>
      </c>
      <c r="G36" s="18">
        <f>13.19/100</f>
        <v>0.1319</v>
      </c>
      <c r="H36" s="19">
        <f t="shared" ref="H36:H67" si="1">G36*F36</f>
        <v>6.3312</v>
      </c>
      <c r="I36" s="16"/>
    </row>
    <row r="37" spans="1:9">
      <c r="A37" s="14"/>
      <c r="B37" s="14"/>
      <c r="C37" s="6" t="s">
        <v>45</v>
      </c>
      <c r="D37" s="16"/>
      <c r="E37" s="6" t="s">
        <v>116</v>
      </c>
      <c r="F37" s="16">
        <f>'Assembly BOM'!F26+'Assembly BOM'!F105</f>
        <v>26</v>
      </c>
      <c r="G37" s="18">
        <f>13.19/100</f>
        <v>0.1319</v>
      </c>
      <c r="H37" s="19">
        <f t="shared" si="1"/>
        <v>3.4294</v>
      </c>
      <c r="I37" s="16"/>
    </row>
    <row r="38" spans="1:9">
      <c r="A38" s="14"/>
      <c r="B38" s="14"/>
      <c r="C38" s="15" t="s">
        <v>88</v>
      </c>
      <c r="D38" s="16"/>
      <c r="E38" s="6" t="s">
        <v>116</v>
      </c>
      <c r="F38" s="16">
        <f>'Assembly BOM'!F58</f>
        <v>16</v>
      </c>
      <c r="G38" s="18">
        <f>13.96/100</f>
        <v>0.1396</v>
      </c>
      <c r="H38" s="19">
        <f t="shared" si="1"/>
        <v>2.2336</v>
      </c>
      <c r="I38" s="16"/>
    </row>
    <row r="39" spans="1:9">
      <c r="A39" s="14"/>
      <c r="B39" s="14"/>
      <c r="C39" s="6" t="s">
        <v>54</v>
      </c>
      <c r="D39" s="16"/>
      <c r="E39" s="6" t="s">
        <v>116</v>
      </c>
      <c r="F39" s="16">
        <f>'Assembly BOM'!F33</f>
        <v>4</v>
      </c>
      <c r="G39" s="18">
        <f>18.23/100</f>
        <v>0.1823</v>
      </c>
      <c r="H39" s="19">
        <f t="shared" si="1"/>
        <v>0.7292</v>
      </c>
      <c r="I39" s="16"/>
    </row>
    <row r="40" spans="1:9">
      <c r="A40" s="14"/>
      <c r="B40" s="14"/>
      <c r="C40" s="16" t="s">
        <v>167</v>
      </c>
      <c r="D40" s="6"/>
      <c r="E40" s="6" t="s">
        <v>116</v>
      </c>
      <c r="F40" s="6">
        <f>'Assembly BOM'!F27</f>
        <v>4</v>
      </c>
      <c r="G40" s="18">
        <f>10.99/50</f>
        <v>0.2198</v>
      </c>
      <c r="H40" s="19">
        <f t="shared" si="1"/>
        <v>0.8792</v>
      </c>
      <c r="I40" s="16"/>
    </row>
    <row r="41" spans="1:9">
      <c r="A41" s="14"/>
      <c r="B41" s="14"/>
      <c r="C41" s="6" t="s">
        <v>56</v>
      </c>
      <c r="D41" s="6"/>
      <c r="E41" s="6" t="s">
        <v>116</v>
      </c>
      <c r="F41" s="6">
        <f>'Assembly BOM'!F35+'Assembly BOM'!F70</f>
        <v>44</v>
      </c>
      <c r="G41" s="18">
        <f>8.89/100</f>
        <v>0.0889</v>
      </c>
      <c r="H41" s="19">
        <f t="shared" si="1"/>
        <v>3.9116</v>
      </c>
      <c r="I41" s="16"/>
    </row>
    <row r="42" spans="1:9">
      <c r="A42" s="14"/>
      <c r="B42" s="14"/>
      <c r="C42" s="6" t="s">
        <v>110</v>
      </c>
      <c r="D42" s="16"/>
      <c r="E42" s="6" t="s">
        <v>116</v>
      </c>
      <c r="F42" s="16">
        <f>'Assembly BOM'!F71</f>
        <v>8</v>
      </c>
      <c r="G42" s="18">
        <f>8.89/100</f>
        <v>0.0889</v>
      </c>
      <c r="H42" s="19">
        <f t="shared" si="1"/>
        <v>0.7112</v>
      </c>
      <c r="I42" s="16"/>
    </row>
    <row r="43" spans="1:9">
      <c r="A43" s="14"/>
      <c r="B43" s="14"/>
      <c r="C43" s="6" t="s">
        <v>47</v>
      </c>
      <c r="D43" s="16"/>
      <c r="E43" s="6" t="s">
        <v>116</v>
      </c>
      <c r="F43" s="16">
        <f>'Assembly BOM'!F12+'Assembly BOM'!F28</f>
        <v>4</v>
      </c>
      <c r="G43" s="18">
        <f>10.59/25</f>
        <v>0.4236</v>
      </c>
      <c r="H43" s="19">
        <f t="shared" si="1"/>
        <v>1.6944</v>
      </c>
      <c r="I43" s="16"/>
    </row>
    <row r="44" spans="1:9">
      <c r="A44" s="14"/>
      <c r="B44" s="14"/>
      <c r="C44" s="6" t="s">
        <v>26</v>
      </c>
      <c r="D44" s="16"/>
      <c r="E44" s="6" t="s">
        <v>116</v>
      </c>
      <c r="F44" s="16">
        <f>'Assembly BOM'!F11</f>
        <v>2</v>
      </c>
      <c r="G44" s="18">
        <f>12.5/20</f>
        <v>0.625</v>
      </c>
      <c r="H44" s="19">
        <f t="shared" si="1"/>
        <v>1.25</v>
      </c>
      <c r="I44" s="16"/>
    </row>
    <row r="45" spans="1:9">
      <c r="A45" s="14"/>
      <c r="B45" s="14"/>
      <c r="C45" s="16" t="s">
        <v>50</v>
      </c>
      <c r="D45" s="16"/>
      <c r="E45" s="6" t="s">
        <v>116</v>
      </c>
      <c r="F45" s="16">
        <f>'Assembly BOM'!F30</f>
        <v>8</v>
      </c>
      <c r="G45" s="18">
        <f>12.99/50</f>
        <v>0.2598</v>
      </c>
      <c r="H45" s="19">
        <f t="shared" si="1"/>
        <v>2.0784</v>
      </c>
      <c r="I45" s="16"/>
    </row>
    <row r="46" spans="1:9">
      <c r="A46" s="14"/>
      <c r="B46" s="14"/>
      <c r="C46" s="6"/>
      <c r="D46" s="6"/>
      <c r="E46" s="6"/>
      <c r="F46" s="6"/>
      <c r="G46" s="16"/>
      <c r="H46" s="6"/>
      <c r="I46" s="16"/>
    </row>
    <row r="47" spans="1:9">
      <c r="A47" s="14"/>
      <c r="B47" s="14" t="s">
        <v>65</v>
      </c>
      <c r="C47" s="15" t="s">
        <v>168</v>
      </c>
      <c r="D47" s="16"/>
      <c r="E47" s="6" t="s">
        <v>116</v>
      </c>
      <c r="F47" s="16">
        <f>'Assembly BOM'!F53+'Assembly BOM'!F90</f>
        <v>6</v>
      </c>
      <c r="G47" s="18">
        <f>7.59/60</f>
        <v>0.1265</v>
      </c>
      <c r="H47" s="19">
        <f t="shared" si="1"/>
        <v>0.759</v>
      </c>
      <c r="I47" s="16"/>
    </row>
    <row r="48" spans="1:9">
      <c r="A48" s="14"/>
      <c r="B48" s="14"/>
      <c r="C48" s="6" t="s">
        <v>129</v>
      </c>
      <c r="D48" s="16"/>
      <c r="E48" s="6" t="s">
        <v>116</v>
      </c>
      <c r="F48" s="16">
        <f>'Assembly BOM'!F87</f>
        <v>8</v>
      </c>
      <c r="G48" s="18">
        <f>5.49/60</f>
        <v>0.0915</v>
      </c>
      <c r="H48" s="19">
        <f t="shared" si="1"/>
        <v>0.732</v>
      </c>
      <c r="I48" s="16"/>
    </row>
    <row r="49" spans="1:9">
      <c r="A49" s="14"/>
      <c r="B49" s="14"/>
      <c r="C49" s="6" t="s">
        <v>66</v>
      </c>
      <c r="D49" s="16"/>
      <c r="E49" s="6" t="s">
        <v>116</v>
      </c>
      <c r="F49" s="16">
        <f>'Assembly BOM'!F39+'Assembly BOM'!F57+'Assembly BOM'!F94+'Assembly BOM'!F104</f>
        <v>24</v>
      </c>
      <c r="G49" s="18">
        <f t="shared" ref="G49:G51" si="2">6.99/50</f>
        <v>0.1398</v>
      </c>
      <c r="H49" s="19">
        <f t="shared" si="1"/>
        <v>3.3552</v>
      </c>
      <c r="I49" s="16"/>
    </row>
    <row r="50" spans="1:9">
      <c r="A50" s="14"/>
      <c r="B50" s="14"/>
      <c r="C50" s="16" t="s">
        <v>131</v>
      </c>
      <c r="D50" s="16"/>
      <c r="E50" s="6" t="s">
        <v>116</v>
      </c>
      <c r="F50" s="16">
        <f>'Assembly BOM'!F89</f>
        <v>4</v>
      </c>
      <c r="G50" s="18">
        <f t="shared" si="2"/>
        <v>0.1398</v>
      </c>
      <c r="H50" s="19">
        <f t="shared" si="1"/>
        <v>0.5592</v>
      </c>
      <c r="I50" s="16"/>
    </row>
    <row r="51" spans="1:9">
      <c r="A51" s="14"/>
      <c r="B51" s="14"/>
      <c r="C51" s="6" t="s">
        <v>113</v>
      </c>
      <c r="D51" s="6"/>
      <c r="E51" s="6" t="s">
        <v>116</v>
      </c>
      <c r="F51" s="6">
        <f>'Assembly BOM'!F74</f>
        <v>24</v>
      </c>
      <c r="G51" s="18">
        <f t="shared" si="2"/>
        <v>0.1398</v>
      </c>
      <c r="H51" s="19">
        <f t="shared" si="1"/>
        <v>3.3552</v>
      </c>
      <c r="I51" s="6"/>
    </row>
    <row r="52" spans="1:9">
      <c r="A52" s="14"/>
      <c r="B52" s="14"/>
      <c r="C52" s="6" t="s">
        <v>108</v>
      </c>
      <c r="D52" s="6"/>
      <c r="E52" s="6" t="s">
        <v>116</v>
      </c>
      <c r="F52" s="6">
        <f>'Assembly BOM'!F69+'Assembly BOM'!F88</f>
        <v>7</v>
      </c>
      <c r="G52" s="19">
        <f>7.99/30</f>
        <v>0.266333333333333</v>
      </c>
      <c r="H52" s="19">
        <f t="shared" si="1"/>
        <v>1.86433333333333</v>
      </c>
      <c r="I52" s="6"/>
    </row>
    <row r="53" spans="1:9">
      <c r="A53" s="14"/>
      <c r="B53" s="14"/>
      <c r="C53" s="6"/>
      <c r="D53" s="6"/>
      <c r="E53" s="6"/>
      <c r="F53" s="6"/>
      <c r="G53" s="6"/>
      <c r="H53" s="6"/>
      <c r="I53" s="6"/>
    </row>
    <row r="54" spans="1:9">
      <c r="A54" s="14"/>
      <c r="B54" s="14"/>
      <c r="C54" s="6"/>
      <c r="D54" s="6"/>
      <c r="E54" s="6"/>
      <c r="F54" s="6"/>
      <c r="G54" s="6"/>
      <c r="H54" s="6"/>
      <c r="I54" s="6"/>
    </row>
    <row r="55" spans="1:9">
      <c r="A55" s="13" t="s">
        <v>169</v>
      </c>
      <c r="B55" s="4" t="s">
        <v>57</v>
      </c>
      <c r="C55" s="4"/>
      <c r="D55" s="4"/>
      <c r="E55" s="4"/>
      <c r="F55" s="4">
        <f>'Assembly BOM'!F37+'Assembly BOM'!F55+'Assembly BOM'!F92</f>
        <v>5</v>
      </c>
      <c r="G55" s="4">
        <f>24/3</f>
        <v>8</v>
      </c>
      <c r="H55" s="4">
        <f t="shared" si="1"/>
        <v>40</v>
      </c>
      <c r="I55" s="4" t="s">
        <v>58</v>
      </c>
    </row>
    <row r="56" spans="1:9">
      <c r="A56" s="14"/>
      <c r="B56" s="6" t="s">
        <v>146</v>
      </c>
      <c r="C56" s="6"/>
      <c r="D56" s="6"/>
      <c r="E56" s="6"/>
      <c r="F56" s="6">
        <v>5</v>
      </c>
      <c r="G56" s="6">
        <f>20/5</f>
        <v>4</v>
      </c>
      <c r="H56" s="6">
        <f t="shared" si="1"/>
        <v>20</v>
      </c>
      <c r="I56" s="6" t="s">
        <v>147</v>
      </c>
    </row>
    <row r="57" spans="1:9">
      <c r="A57" s="14"/>
      <c r="B57" s="6" t="s">
        <v>62</v>
      </c>
      <c r="C57" s="6" t="s">
        <v>63</v>
      </c>
      <c r="D57" s="6"/>
      <c r="E57" s="6"/>
      <c r="F57" s="6">
        <f>'Assembly BOM'!F37+'Assembly BOM'!F54+'Assembly BOM'!F85</f>
        <v>5</v>
      </c>
      <c r="G57" s="6">
        <f>7/25</f>
        <v>0.28</v>
      </c>
      <c r="H57" s="6">
        <f t="shared" si="1"/>
        <v>1.4</v>
      </c>
      <c r="I57" s="6" t="s">
        <v>64</v>
      </c>
    </row>
    <row r="58" spans="1:9">
      <c r="A58" s="14"/>
      <c r="B58" s="6" t="s">
        <v>124</v>
      </c>
      <c r="C58" s="6" t="s">
        <v>125</v>
      </c>
      <c r="D58" s="6" t="s">
        <v>20</v>
      </c>
      <c r="E58" s="6"/>
      <c r="F58" s="6">
        <v>1</v>
      </c>
      <c r="G58" s="6">
        <f>14/2</f>
        <v>7</v>
      </c>
      <c r="H58" s="6">
        <f t="shared" si="1"/>
        <v>7</v>
      </c>
      <c r="I58" s="6" t="s">
        <v>126</v>
      </c>
    </row>
    <row r="59" spans="1:9">
      <c r="A59" s="14"/>
      <c r="B59" s="6" t="s">
        <v>127</v>
      </c>
      <c r="C59" s="6" t="s">
        <v>128</v>
      </c>
      <c r="D59" s="6" t="s">
        <v>20</v>
      </c>
      <c r="E59" s="6"/>
      <c r="F59" s="6">
        <v>2</v>
      </c>
      <c r="G59" s="6">
        <f>11/2</f>
        <v>5.5</v>
      </c>
      <c r="H59" s="6">
        <f t="shared" si="1"/>
        <v>11</v>
      </c>
      <c r="I59" s="6" t="s">
        <v>126</v>
      </c>
    </row>
    <row r="60" spans="1:9">
      <c r="A60" s="14"/>
      <c r="B60" s="6" t="s">
        <v>132</v>
      </c>
      <c r="C60" s="6"/>
      <c r="D60" s="6"/>
      <c r="E60" s="6"/>
      <c r="F60" s="6">
        <v>1</v>
      </c>
      <c r="G60" s="15">
        <v>14.98</v>
      </c>
      <c r="H60" s="6">
        <f t="shared" si="1"/>
        <v>14.98</v>
      </c>
      <c r="I60" s="6" t="s">
        <v>94</v>
      </c>
    </row>
    <row r="61" spans="1:9">
      <c r="A61" s="14"/>
      <c r="B61" s="6" t="s">
        <v>118</v>
      </c>
      <c r="C61" s="6"/>
      <c r="D61" s="6"/>
      <c r="E61" s="6"/>
      <c r="F61" s="6">
        <v>1</v>
      </c>
      <c r="G61" s="14">
        <v>15</v>
      </c>
      <c r="H61" s="6">
        <f t="shared" si="1"/>
        <v>15</v>
      </c>
      <c r="I61" s="6"/>
    </row>
    <row r="62" spans="1:9">
      <c r="A62" s="14"/>
      <c r="B62" s="6" t="s">
        <v>148</v>
      </c>
      <c r="C62" s="6" t="s">
        <v>149</v>
      </c>
      <c r="D62" s="6" t="s">
        <v>20</v>
      </c>
      <c r="E62" s="6" t="s">
        <v>150</v>
      </c>
      <c r="F62" s="6">
        <v>1</v>
      </c>
      <c r="G62" s="16">
        <v>11</v>
      </c>
      <c r="H62" s="6">
        <f t="shared" si="1"/>
        <v>11</v>
      </c>
      <c r="I62" s="6"/>
    </row>
    <row r="63" spans="1:9">
      <c r="A63" s="14"/>
      <c r="B63" s="6" t="s">
        <v>138</v>
      </c>
      <c r="C63" s="6" t="s">
        <v>139</v>
      </c>
      <c r="D63" s="6"/>
      <c r="E63" s="6"/>
      <c r="F63" s="6">
        <v>1</v>
      </c>
      <c r="G63" s="16">
        <v>7</v>
      </c>
      <c r="H63" s="6">
        <f t="shared" si="1"/>
        <v>7</v>
      </c>
      <c r="I63" s="6"/>
    </row>
    <row r="64" spans="1:9">
      <c r="A64" s="14"/>
      <c r="B64" s="6" t="s">
        <v>140</v>
      </c>
      <c r="C64" s="6" t="s">
        <v>141</v>
      </c>
      <c r="D64" s="6" t="s">
        <v>20</v>
      </c>
      <c r="E64" s="6"/>
      <c r="F64" s="6">
        <v>1</v>
      </c>
      <c r="G64" s="16">
        <v>16.39</v>
      </c>
      <c r="H64" s="6">
        <f t="shared" si="1"/>
        <v>16.39</v>
      </c>
      <c r="I64" s="6"/>
    </row>
    <row r="65" spans="1:9">
      <c r="A65" s="14"/>
      <c r="B65" s="6" t="s">
        <v>142</v>
      </c>
      <c r="C65" s="6"/>
      <c r="D65" s="6"/>
      <c r="E65" s="6"/>
      <c r="F65" s="6">
        <v>1</v>
      </c>
      <c r="G65" s="16">
        <v>32.99</v>
      </c>
      <c r="H65" s="6">
        <f t="shared" si="1"/>
        <v>32.99</v>
      </c>
      <c r="I65" s="6" t="s">
        <v>143</v>
      </c>
    </row>
    <row r="66" spans="1:9">
      <c r="A66" s="14"/>
      <c r="B66" s="6" t="s">
        <v>144</v>
      </c>
      <c r="C66" s="6" t="s">
        <v>145</v>
      </c>
      <c r="D66" s="6"/>
      <c r="E66" s="6"/>
      <c r="F66" s="6">
        <v>1</v>
      </c>
      <c r="G66" s="16">
        <v>30</v>
      </c>
      <c r="H66" s="6">
        <f t="shared" si="1"/>
        <v>30</v>
      </c>
      <c r="I66" s="6"/>
    </row>
    <row r="67" spans="1:9">
      <c r="A67" s="14"/>
      <c r="B67" s="6"/>
      <c r="C67" s="16"/>
      <c r="D67" s="16"/>
      <c r="E67" s="16"/>
      <c r="F67" s="16"/>
      <c r="G67" s="16"/>
      <c r="H67" s="6"/>
      <c r="I67" s="6"/>
    </row>
    <row r="68" spans="1:9">
      <c r="A68" s="21"/>
      <c r="B68" s="21"/>
      <c r="C68" s="21"/>
      <c r="D68" s="21"/>
      <c r="E68" s="21"/>
      <c r="F68" s="21"/>
      <c r="G68" s="22" t="s">
        <v>170</v>
      </c>
      <c r="H68" s="21">
        <f>SUM(H3:H66)</f>
        <v>725.279704761905</v>
      </c>
      <c r="I68" s="21"/>
    </row>
    <row r="69" spans="1:9">
      <c r="A69" s="23"/>
      <c r="B69" s="24"/>
      <c r="C69" s="24"/>
      <c r="D69" s="24"/>
      <c r="E69" s="24"/>
      <c r="F69" s="24"/>
      <c r="G69" s="24"/>
      <c r="H69" s="24"/>
      <c r="I69"/>
    </row>
    <row r="70" spans="9:9">
      <c r="I70"/>
    </row>
    <row r="71" spans="9:9">
      <c r="I71"/>
    </row>
    <row r="72" spans="9:9">
      <c r="I72"/>
    </row>
    <row r="73" spans="9:9">
      <c r="I73"/>
    </row>
    <row r="74" spans="9:9">
      <c r="I74"/>
    </row>
  </sheetData>
  <mergeCells count="8">
    <mergeCell ref="A1:I1"/>
    <mergeCell ref="A3:A16"/>
    <mergeCell ref="A17:A54"/>
    <mergeCell ref="A55:A67"/>
    <mergeCell ref="B3:B5"/>
    <mergeCell ref="B6:B8"/>
    <mergeCell ref="B36:B46"/>
    <mergeCell ref="B47:B53"/>
  </mergeCells>
  <pageMargins left="0.7" right="0.7" top="0.75" bottom="0.75" header="0.3" footer="0.3"/>
  <pageSetup paperSize="9" scale="7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6" sqref="C16"/>
    </sheetView>
  </sheetViews>
  <sheetFormatPr defaultColWidth="9" defaultRowHeight="13.75" outlineLevelCol="5"/>
  <cols>
    <col min="1" max="1" width="49.5454545454545" customWidth="1"/>
    <col min="2" max="2" width="24.3636363636364" customWidth="1"/>
    <col min="3" max="3" width="10.6363636363636" customWidth="1"/>
    <col min="4" max="4" width="13.7272727272727" customWidth="1"/>
    <col min="5" max="5" width="14.5" customWidth="1"/>
  </cols>
  <sheetData>
    <row r="1" ht="29.25" spans="1:5">
      <c r="A1" s="1" t="s">
        <v>171</v>
      </c>
      <c r="B1" s="2"/>
      <c r="C1" s="2"/>
      <c r="D1" s="2"/>
      <c r="E1" s="2"/>
    </row>
    <row r="2" spans="1:5">
      <c r="A2" s="3" t="s">
        <v>172</v>
      </c>
      <c r="B2" s="3" t="s">
        <v>11</v>
      </c>
      <c r="C2" s="3" t="s">
        <v>12</v>
      </c>
      <c r="D2" s="3" t="s">
        <v>13</v>
      </c>
      <c r="E2" s="3" t="s">
        <v>14</v>
      </c>
    </row>
    <row r="3" ht="22.25" spans="1:6">
      <c r="A3" s="4" t="s">
        <v>173</v>
      </c>
      <c r="B3" s="4" t="s">
        <v>174</v>
      </c>
      <c r="C3" s="4" t="s">
        <v>20</v>
      </c>
      <c r="D3" s="4" t="s">
        <v>175</v>
      </c>
      <c r="E3" s="4">
        <v>1</v>
      </c>
      <c r="F3" s="5"/>
    </row>
    <row r="4" spans="1:5">
      <c r="A4" s="6" t="s">
        <v>176</v>
      </c>
      <c r="B4" s="6" t="s">
        <v>177</v>
      </c>
      <c r="C4" s="6" t="s">
        <v>20</v>
      </c>
      <c r="D4" s="6" t="s">
        <v>21</v>
      </c>
      <c r="E4" s="6">
        <v>1</v>
      </c>
    </row>
    <row r="5" spans="1:5">
      <c r="A5" s="6" t="s">
        <v>178</v>
      </c>
      <c r="B5" s="6">
        <v>1.75</v>
      </c>
      <c r="C5" s="6" t="s">
        <v>20</v>
      </c>
      <c r="D5" s="6" t="s">
        <v>179</v>
      </c>
      <c r="E5" s="6">
        <v>1</v>
      </c>
    </row>
    <row r="6" spans="1:5">
      <c r="A6" s="6" t="s">
        <v>180</v>
      </c>
      <c r="B6" s="6"/>
      <c r="C6" s="6"/>
      <c r="D6" s="6"/>
      <c r="E6" s="6">
        <v>1</v>
      </c>
    </row>
    <row r="7" spans="1:5">
      <c r="A7" s="6" t="s">
        <v>181</v>
      </c>
      <c r="B7" s="6" t="s">
        <v>174</v>
      </c>
      <c r="C7" s="6" t="s">
        <v>20</v>
      </c>
      <c r="D7" s="6" t="s">
        <v>101</v>
      </c>
      <c r="E7" s="6">
        <v>1</v>
      </c>
    </row>
    <row r="8" spans="1:5">
      <c r="A8" s="6" t="s">
        <v>182</v>
      </c>
      <c r="B8" s="6" t="s">
        <v>183</v>
      </c>
      <c r="C8" s="6"/>
      <c r="D8" s="6"/>
      <c r="E8" s="6">
        <v>2</v>
      </c>
    </row>
    <row r="9" spans="1:5">
      <c r="A9" s="6" t="s">
        <v>184</v>
      </c>
      <c r="B9" s="6" t="s">
        <v>185</v>
      </c>
      <c r="C9" s="6" t="s">
        <v>20</v>
      </c>
      <c r="D9" s="6"/>
      <c r="E9" s="6">
        <v>1</v>
      </c>
    </row>
    <row r="10" spans="1:5">
      <c r="A10" s="6" t="s">
        <v>186</v>
      </c>
      <c r="B10" s="6" t="s">
        <v>187</v>
      </c>
      <c r="C10" s="6" t="s">
        <v>188</v>
      </c>
      <c r="D10" s="6"/>
      <c r="E10" s="6">
        <v>2</v>
      </c>
    </row>
    <row r="11" spans="1:5">
      <c r="A11" s="7" t="s">
        <v>189</v>
      </c>
      <c r="B11" s="7" t="s">
        <v>190</v>
      </c>
      <c r="C11" s="7"/>
      <c r="D11" s="7"/>
      <c r="E11" s="7">
        <v>1</v>
      </c>
    </row>
  </sheetData>
  <mergeCells count="1">
    <mergeCell ref="A1:E1"/>
  </mergeCell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 BOM</vt:lpstr>
      <vt:lpstr>Purchase BOM</vt:lpstr>
      <vt:lpstr>Hot End 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jiayao pang</dc:creator>
  <cp:lastModifiedBy>壳久</cp:lastModifiedBy>
  <dcterms:created xsi:type="dcterms:W3CDTF">2023-01-29T20:01:00Z</dcterms:created>
  <dcterms:modified xsi:type="dcterms:W3CDTF">2023-02-01T01:30:23Z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8EEFC43784AF4E28821E3571C6D2BC2D</vt:lpwstr>
  </property>
  <property fmtid="{D5CDD505-2E9C-101B-9397-08002B2CF9AE}" pid="3" name="KSOProductBuildVer">
    <vt:lpwstr>2052-11.1.0.12980</vt:lpwstr>
  </property>
</Properties>
</file>