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打卡系統\static\"/>
    </mc:Choice>
  </mc:AlternateContent>
  <xr:revisionPtr revIDLastSave="0" documentId="13_ncr:1_{D883F9C3-ED90-4E17-8B74-79A8799939B3}" xr6:coauthVersionLast="47" xr6:coauthVersionMax="47" xr10:uidLastSave="{00000000-0000-0000-0000-000000000000}"/>
  <bookViews>
    <workbookView xWindow="-108" yWindow="-108" windowWidth="23256" windowHeight="12576" firstSheet="4" activeTab="11" xr2:uid="{5C900366-C476-4DB7-8336-A75939658F36}"/>
  </bookViews>
  <sheets>
    <sheet name="財112年英業達特休計算" sheetId="53" r:id="rId1"/>
    <sheet name="特休" sheetId="20" r:id="rId2"/>
    <sheet name="薪資總額" sheetId="31" r:id="rId3"/>
    <sheet name="辦公室" sheetId="32" r:id="rId4"/>
    <sheet name="工廠" sheetId="7" r:id="rId5"/>
    <sheet name="欣鮮-艾克爾" sheetId="9" r:id="rId6"/>
    <sheet name="欣鮮6月薪" sheetId="60" r:id="rId7"/>
    <sheet name="欣鮮6薪資條" sheetId="61" r:id="rId8"/>
    <sheet name="亦傑6月薪" sheetId="63" r:id="rId9"/>
    <sheet name="亦傑6薪資條" sheetId="62" r:id="rId10"/>
    <sheet name="換現金" sheetId="64" r:id="rId11"/>
    <sheet name="外勞薪資" sheetId="65" r:id="rId12"/>
  </sheets>
  <definedNames>
    <definedName name="_xlnm.Print_Titles" localSheetId="4">工廠!$1:$2</definedName>
    <definedName name="_xlnm.Print_Titles" localSheetId="5">'欣鮮-艾克爾'!$1:$2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23" i="61" l="1"/>
  <c r="DI14" i="61"/>
  <c r="DL6" i="61"/>
  <c r="DJ3" i="61"/>
  <c r="DI24" i="61" l="1"/>
  <c r="EE7" i="61" l="1"/>
  <c r="EG11" i="65" l="1"/>
  <c r="EG12" i="65"/>
  <c r="EG10" i="65"/>
  <c r="BS11" i="65"/>
  <c r="CD16" i="65"/>
  <c r="BS10" i="65"/>
  <c r="Q37" i="64"/>
  <c r="P37" i="64"/>
  <c r="G46" i="9"/>
  <c r="P15" i="64"/>
  <c r="ER10" i="65"/>
  <c r="ER11" i="65"/>
  <c r="EG9" i="65"/>
  <c r="DV9" i="65"/>
  <c r="BL5" i="65"/>
  <c r="Z20" i="63"/>
  <c r="Q19" i="60" l="1"/>
  <c r="M19" i="60"/>
  <c r="L19" i="60"/>
  <c r="K19" i="60"/>
  <c r="T54" i="9"/>
  <c r="U54" i="9" s="1"/>
  <c r="T30" i="9"/>
  <c r="T26" i="9"/>
  <c r="AL9" i="65" l="1"/>
  <c r="E14" i="65"/>
  <c r="CL6" i="62"/>
  <c r="CL7" i="62" s="1"/>
  <c r="CL18" i="62"/>
  <c r="CL17" i="62"/>
  <c r="CL24" i="62" s="1"/>
  <c r="CO12" i="62"/>
  <c r="CO11" i="62"/>
  <c r="CL8" i="62"/>
  <c r="AT7" i="62"/>
  <c r="CF6" i="62"/>
  <c r="CF7" i="62" s="1"/>
  <c r="CF15" i="62" s="1"/>
  <c r="CF24" i="62"/>
  <c r="CF18" i="62"/>
  <c r="CF17" i="62"/>
  <c r="CI12" i="62"/>
  <c r="CI11" i="62"/>
  <c r="CF8" i="62"/>
  <c r="CD10" i="61"/>
  <c r="CF10" i="61" s="1"/>
  <c r="CD6" i="61"/>
  <c r="CF6" i="61" s="1"/>
  <c r="BW7" i="61"/>
  <c r="AJ27" i="60"/>
  <c r="D30" i="60"/>
  <c r="E30" i="60"/>
  <c r="F30" i="60"/>
  <c r="G30" i="60"/>
  <c r="H30" i="60"/>
  <c r="K30" i="60"/>
  <c r="L30" i="60"/>
  <c r="M30" i="60"/>
  <c r="N30" i="60"/>
  <c r="O30" i="60"/>
  <c r="N28" i="63"/>
  <c r="P28" i="63"/>
  <c r="Q28" i="63"/>
  <c r="R28" i="63"/>
  <c r="F27" i="63"/>
  <c r="G27" i="63"/>
  <c r="H27" i="63"/>
  <c r="I27" i="63"/>
  <c r="J27" i="63"/>
  <c r="K27" i="63"/>
  <c r="L27" i="63"/>
  <c r="M27" i="63"/>
  <c r="E27" i="63"/>
  <c r="H19" i="63"/>
  <c r="I19" i="63"/>
  <c r="J19" i="63"/>
  <c r="N19" i="63"/>
  <c r="O19" i="63"/>
  <c r="O28" i="63" s="1"/>
  <c r="P19" i="63"/>
  <c r="Q19" i="63"/>
  <c r="R19" i="63"/>
  <c r="M26" i="63"/>
  <c r="CL15" i="62" l="1"/>
  <c r="CL25" i="62" s="1"/>
  <c r="CF25" i="62"/>
  <c r="T27" i="63" l="1"/>
  <c r="AJ10" i="63"/>
  <c r="AJ4" i="63"/>
  <c r="T26" i="63"/>
  <c r="V26" i="63" s="1"/>
  <c r="S4" i="63"/>
  <c r="U30" i="60"/>
  <c r="S5" i="63"/>
  <c r="S6" i="63"/>
  <c r="S7" i="63"/>
  <c r="S8" i="63"/>
  <c r="S13" i="63"/>
  <c r="S15" i="63"/>
  <c r="S16" i="63"/>
  <c r="S18" i="63"/>
  <c r="S19" i="63" s="1"/>
  <c r="S28" i="63" s="1"/>
  <c r="P29" i="60"/>
  <c r="T18" i="63" l="1"/>
  <c r="V33" i="63"/>
  <c r="P9" i="60" l="1"/>
  <c r="P10" i="60"/>
  <c r="P11" i="60"/>
  <c r="P13" i="60"/>
  <c r="P14" i="60"/>
  <c r="P15" i="60"/>
  <c r="P16" i="60"/>
  <c r="P17" i="60"/>
  <c r="P18" i="60"/>
  <c r="P19" i="60"/>
  <c r="P20" i="60"/>
  <c r="P22" i="60"/>
  <c r="P23" i="60"/>
  <c r="P24" i="60"/>
  <c r="P25" i="60"/>
  <c r="P26" i="60"/>
  <c r="P27" i="60"/>
  <c r="P28" i="60"/>
  <c r="Q29" i="60"/>
  <c r="S29" i="60" s="1"/>
  <c r="V29" i="60" s="1"/>
  <c r="P8" i="60"/>
  <c r="I20" i="60"/>
  <c r="C19" i="60"/>
  <c r="F25" i="9"/>
  <c r="G25" i="9"/>
  <c r="G11" i="31"/>
  <c r="G10" i="31"/>
  <c r="G7" i="31"/>
  <c r="M18" i="63"/>
  <c r="J11" i="7"/>
  <c r="F34" i="9"/>
  <c r="G34" i="9" s="1"/>
  <c r="K46" i="9"/>
  <c r="G28" i="9"/>
  <c r="G52" i="9"/>
  <c r="P52" i="9" s="1"/>
  <c r="F35" i="9"/>
  <c r="G30" i="9"/>
  <c r="F9" i="9"/>
  <c r="F7" i="9"/>
  <c r="L11" i="7"/>
  <c r="G7" i="32"/>
  <c r="H7" i="7"/>
  <c r="H8" i="7"/>
  <c r="R10" i="7"/>
  <c r="Q10" i="7"/>
  <c r="F22" i="9"/>
  <c r="F5" i="9"/>
  <c r="F12" i="9"/>
  <c r="F13" i="9"/>
  <c r="F10" i="9"/>
  <c r="F21" i="9"/>
  <c r="P30" i="60" l="1"/>
  <c r="V18" i="63"/>
  <c r="W29" i="60"/>
  <c r="L46" i="9"/>
  <c r="G26" i="9"/>
  <c r="N27" i="63"/>
  <c r="O27" i="63"/>
  <c r="P27" i="63"/>
  <c r="Q27" i="63"/>
  <c r="R27" i="63"/>
  <c r="O31" i="9" l="1"/>
  <c r="N31" i="9" s="1"/>
  <c r="F31" i="9"/>
  <c r="S10" i="63"/>
  <c r="T10" i="63" s="1"/>
  <c r="M10" i="63"/>
  <c r="AH10" i="7"/>
  <c r="W10" i="63" l="1"/>
  <c r="T7" i="32" l="1"/>
  <c r="E7" i="32"/>
  <c r="M7" i="32" s="1"/>
  <c r="F7" i="31"/>
  <c r="F10" i="31"/>
  <c r="F11" i="31" s="1"/>
  <c r="L12" i="60"/>
  <c r="P12" i="60" s="1"/>
  <c r="N33" i="9" l="1"/>
  <c r="G27" i="9"/>
  <c r="P27" i="9" s="1"/>
  <c r="F37" i="9"/>
  <c r="CZ10" i="65"/>
  <c r="F20" i="9" l="1"/>
  <c r="AI20" i="60"/>
  <c r="F16" i="9" l="1"/>
  <c r="F8" i="9"/>
  <c r="U30" i="9" l="1"/>
  <c r="EE23" i="61"/>
  <c r="EE14" i="61"/>
  <c r="DY23" i="61"/>
  <c r="EB7" i="61"/>
  <c r="DY14" i="61" s="1"/>
  <c r="DY24" i="61" s="1"/>
  <c r="DV7" i="61"/>
  <c r="DS14" i="61" s="1"/>
  <c r="DS23" i="61"/>
  <c r="L21" i="60"/>
  <c r="P21" i="60" s="1"/>
  <c r="CC17" i="61"/>
  <c r="CC16" i="61"/>
  <c r="U31" i="9"/>
  <c r="O14" i="63"/>
  <c r="EE24" i="61" l="1"/>
  <c r="DS24" i="61"/>
  <c r="O17" i="63" l="1"/>
  <c r="AM9" i="62" l="1"/>
  <c r="AM8" i="62"/>
  <c r="Q11" i="62" l="1"/>
  <c r="K11" i="62"/>
  <c r="O8" i="61" l="1"/>
  <c r="G32" i="9" l="1"/>
  <c r="C22" i="60" s="1"/>
  <c r="J22" i="60" s="1"/>
  <c r="Q22" i="60" s="1"/>
  <c r="S22" i="60" s="1"/>
  <c r="V22" i="60" l="1"/>
  <c r="W22" i="60" s="1"/>
  <c r="AG16" i="61"/>
  <c r="F43" i="9" l="1"/>
  <c r="E8" i="32"/>
  <c r="H8" i="32"/>
  <c r="G43" i="9" l="1"/>
  <c r="AW11" i="65"/>
  <c r="G31" i="9"/>
  <c r="P31" i="9" l="1"/>
  <c r="C21" i="60" s="1"/>
  <c r="J21" i="60" s="1"/>
  <c r="Q21" i="60" s="1"/>
  <c r="F55" i="9"/>
  <c r="S21" i="60" l="1"/>
  <c r="V21" i="60" s="1"/>
  <c r="W21" i="60" s="1"/>
  <c r="G17" i="63"/>
  <c r="F17" i="63"/>
  <c r="N17" i="63"/>
  <c r="AT9" i="62"/>
  <c r="AM7" i="62"/>
  <c r="S17" i="63" l="1"/>
  <c r="AM17" i="62"/>
  <c r="AM24" i="62" s="1"/>
  <c r="E17" i="63"/>
  <c r="AO14" i="62" l="1"/>
  <c r="AP14" i="62" s="1"/>
  <c r="CC23" i="61" l="1"/>
  <c r="CC7" i="61"/>
  <c r="CK3" i="61"/>
  <c r="P32" i="9"/>
  <c r="CC14" i="61" l="1"/>
  <c r="CC24" i="61" s="1"/>
  <c r="AP12" i="62" l="1"/>
  <c r="AO11" i="62" l="1"/>
  <c r="AP11" i="62" s="1"/>
  <c r="AA8" i="62"/>
  <c r="BX6" i="61" l="1"/>
  <c r="AJ9" i="63" l="1"/>
  <c r="AJ8" i="63"/>
  <c r="AJ7" i="63"/>
  <c r="AJ6" i="63"/>
  <c r="BZ10" i="61" l="1"/>
  <c r="BZ8" i="61"/>
  <c r="BZ6" i="61"/>
  <c r="BW18" i="61"/>
  <c r="BW17" i="61"/>
  <c r="BW16" i="61"/>
  <c r="J20" i="60"/>
  <c r="O18" i="62"/>
  <c r="O17" i="62"/>
  <c r="O6" i="62"/>
  <c r="O19" i="62"/>
  <c r="BW23" i="61" l="1"/>
  <c r="O24" i="62"/>
  <c r="BW14" i="61"/>
  <c r="Q20" i="60"/>
  <c r="V20" i="60" s="1"/>
  <c r="BW24" i="61" l="1"/>
  <c r="AJ20" i="60"/>
  <c r="F13" i="63"/>
  <c r="G13" i="63"/>
  <c r="O9" i="62" s="1"/>
  <c r="E13" i="63"/>
  <c r="T17" i="20"/>
  <c r="U17" i="20" s="1"/>
  <c r="T20" i="20"/>
  <c r="U20" i="20" s="1"/>
  <c r="T21" i="20"/>
  <c r="U21" i="20" s="1"/>
  <c r="O8" i="62" l="1"/>
  <c r="F19" i="63"/>
  <c r="W20" i="60"/>
  <c r="O7" i="62"/>
  <c r="R14" i="63" l="1"/>
  <c r="S14" i="63" l="1"/>
  <c r="DK14" i="65"/>
  <c r="F44" i="9" l="1"/>
  <c r="G44" i="9" s="1"/>
  <c r="BA14" i="65" l="1"/>
  <c r="AW14" i="65" s="1"/>
  <c r="F11" i="9" l="1"/>
  <c r="V7" i="9" l="1"/>
  <c r="T7" i="9"/>
  <c r="R7" i="9"/>
  <c r="AI28" i="60"/>
  <c r="U7" i="9" l="1"/>
  <c r="DV11" i="65"/>
  <c r="O12" i="63"/>
  <c r="S12" i="63" s="1"/>
  <c r="O11" i="63" l="1"/>
  <c r="S11" i="63" l="1"/>
  <c r="D25" i="60"/>
  <c r="H24" i="60"/>
  <c r="H25" i="60"/>
  <c r="G25" i="60"/>
  <c r="G24" i="60"/>
  <c r="E24" i="60"/>
  <c r="D24" i="60"/>
  <c r="E10" i="61"/>
  <c r="H17" i="60" l="1"/>
  <c r="H16" i="60"/>
  <c r="H15" i="60"/>
  <c r="H13" i="60"/>
  <c r="H11" i="60"/>
  <c r="H10" i="60"/>
  <c r="T15" i="20" l="1"/>
  <c r="U15" i="20" s="1"/>
  <c r="H3" i="20" l="1"/>
  <c r="T33" i="20" l="1"/>
  <c r="U33" i="20" s="1"/>
  <c r="T32" i="20"/>
  <c r="U32" i="20" s="1"/>
  <c r="T27" i="20" l="1"/>
  <c r="U27" i="20" s="1"/>
  <c r="T28" i="20"/>
  <c r="U28" i="20" s="1"/>
  <c r="T29" i="20"/>
  <c r="U29" i="20" s="1"/>
  <c r="T30" i="20"/>
  <c r="U30" i="20" s="1"/>
  <c r="T31" i="20"/>
  <c r="U31" i="20" s="1"/>
  <c r="T34" i="20"/>
  <c r="U34" i="20" s="1"/>
  <c r="T35" i="20"/>
  <c r="U35" i="20" s="1"/>
  <c r="T3" i="20"/>
  <c r="U3" i="20" s="1"/>
  <c r="G13" i="9" l="1"/>
  <c r="AC8" i="61"/>
  <c r="L5" i="9"/>
  <c r="H8" i="60" l="1"/>
  <c r="AE3" i="7"/>
  <c r="U55" i="9"/>
  <c r="U46" i="9"/>
  <c r="U39" i="9"/>
  <c r="U33" i="9"/>
  <c r="N59" i="9"/>
  <c r="N51" i="9"/>
  <c r="H60" i="9" l="1"/>
  <c r="E6" i="61" l="1"/>
  <c r="BQ7" i="61" l="1"/>
  <c r="G8" i="63"/>
  <c r="AI19" i="60"/>
  <c r="BQ23" i="61"/>
  <c r="E25" i="60"/>
  <c r="U26" i="9"/>
  <c r="P26" i="9" l="1"/>
  <c r="BQ14" i="61"/>
  <c r="BQ24" i="61" s="1"/>
  <c r="J19" i="60" l="1"/>
  <c r="V19" i="60" s="1"/>
  <c r="W19" i="60" l="1"/>
  <c r="S19" i="60"/>
  <c r="F56" i="9"/>
  <c r="G56" i="9" l="1"/>
  <c r="DV10" i="65"/>
  <c r="N66" i="20"/>
  <c r="N67" i="20"/>
  <c r="M67" i="20"/>
  <c r="M66" i="20"/>
  <c r="F10" i="60"/>
  <c r="BK17" i="61"/>
  <c r="BK16" i="61"/>
  <c r="M68" i="20" l="1"/>
  <c r="AI27" i="60"/>
  <c r="AI26" i="60"/>
  <c r="AI25" i="60"/>
  <c r="AI24" i="60"/>
  <c r="AJ24" i="60" s="1"/>
  <c r="AI23" i="60"/>
  <c r="CQ3" i="61" l="1"/>
  <c r="CP6" i="61"/>
  <c r="CP7" i="61"/>
  <c r="CJ14" i="61"/>
  <c r="CJ23" i="61"/>
  <c r="CJ24" i="61" l="1"/>
  <c r="M8" i="32"/>
  <c r="R8" i="32" l="1"/>
  <c r="P8" i="32"/>
  <c r="P1" i="65"/>
  <c r="P33" i="65"/>
  <c r="U20" i="62"/>
  <c r="R5" i="9" l="1"/>
  <c r="V5" i="9"/>
  <c r="F23" i="9" l="1"/>
  <c r="F24" i="9"/>
  <c r="N5" i="9"/>
  <c r="BL10" i="61" l="1"/>
  <c r="BN10" i="61" s="1"/>
  <c r="G23" i="9"/>
  <c r="N22" i="9"/>
  <c r="G24" i="9"/>
  <c r="BL8" i="61"/>
  <c r="I18" i="60" l="1"/>
  <c r="BL6" i="61" l="1"/>
  <c r="T14" i="20" l="1"/>
  <c r="U14" i="20" s="1"/>
  <c r="T13" i="20"/>
  <c r="U13" i="20" s="1"/>
  <c r="T12" i="20"/>
  <c r="U12" i="20" s="1"/>
  <c r="BA9" i="65" l="1"/>
  <c r="AA18" i="62"/>
  <c r="U18" i="62"/>
  <c r="I18" i="62"/>
  <c r="I17" i="62"/>
  <c r="BE18" i="61" l="1"/>
  <c r="BK23" i="61"/>
  <c r="BN8" i="61"/>
  <c r="BN6" i="61"/>
  <c r="C6" i="62" l="1"/>
  <c r="BE16" i="61" l="1"/>
  <c r="G55" i="9" l="1"/>
  <c r="H3" i="7"/>
  <c r="K12" i="9" l="1"/>
  <c r="C28" i="60"/>
  <c r="G12" i="9"/>
  <c r="AA9" i="62"/>
  <c r="I7" i="62" l="1"/>
  <c r="R17" i="9"/>
  <c r="AZ8" i="61" l="1"/>
  <c r="BB8" i="61" s="1"/>
  <c r="G20" i="9"/>
  <c r="AA17" i="62"/>
  <c r="U17" i="62"/>
  <c r="I4" i="63" l="1"/>
  <c r="G6" i="9" l="1"/>
  <c r="P6" i="9" s="1"/>
  <c r="E12" i="63" l="1"/>
  <c r="E19" i="63" s="1"/>
  <c r="E28" i="63" s="1"/>
  <c r="I9" i="62" l="1"/>
  <c r="G12" i="63"/>
  <c r="G19" i="63" s="1"/>
  <c r="I24" i="62" l="1"/>
  <c r="BE23" i="61"/>
  <c r="AY23" i="61"/>
  <c r="AY7" i="61"/>
  <c r="AS23" i="61"/>
  <c r="AS7" i="61"/>
  <c r="R21" i="9" l="1"/>
  <c r="U21" i="9" s="1"/>
  <c r="G22" i="9" l="1"/>
  <c r="BK5" i="61" s="1"/>
  <c r="BK7" i="61" s="1"/>
  <c r="BK14" i="61" s="1"/>
  <c r="N55" i="9"/>
  <c r="P22" i="9" l="1"/>
  <c r="C18" i="60"/>
  <c r="J18" i="60" s="1"/>
  <c r="T16" i="20"/>
  <c r="U16" i="20" s="1"/>
  <c r="Q18" i="60" l="1"/>
  <c r="BK24" i="61"/>
  <c r="M60" i="9"/>
  <c r="S18" i="60" l="1"/>
  <c r="V18" i="60"/>
  <c r="O50" i="9"/>
  <c r="N50" i="9" s="1"/>
  <c r="R18" i="9"/>
  <c r="U18" i="9" s="1"/>
  <c r="R19" i="9"/>
  <c r="U19" i="9" s="1"/>
  <c r="F58" i="9" l="1"/>
  <c r="DV15" i="65" s="1"/>
  <c r="W18" i="60"/>
  <c r="BF10" i="61"/>
  <c r="BH10" i="61" s="1"/>
  <c r="BH6" i="61"/>
  <c r="BE6" i="61" l="1"/>
  <c r="BE7" i="61" s="1"/>
  <c r="BE14" i="61" s="1"/>
  <c r="BE24" i="61" s="1"/>
  <c r="G21" i="9"/>
  <c r="N21" i="9"/>
  <c r="I17" i="60" s="1"/>
  <c r="P21" i="9" l="1"/>
  <c r="C17" i="60"/>
  <c r="J17" i="60" s="1"/>
  <c r="Q17" i="60" s="1"/>
  <c r="N58" i="9" l="1"/>
  <c r="F57" i="9"/>
  <c r="V17" i="60"/>
  <c r="W17" i="60" s="1"/>
  <c r="S17" i="60"/>
  <c r="BZ24" i="62"/>
  <c r="BT24" i="62"/>
  <c r="BN24" i="62"/>
  <c r="BH24" i="62"/>
  <c r="BB24" i="62"/>
  <c r="AT24" i="62"/>
  <c r="AG24" i="62"/>
  <c r="AA24" i="62"/>
  <c r="U24" i="62"/>
  <c r="C24" i="62"/>
  <c r="BT15" i="62"/>
  <c r="BN15" i="62"/>
  <c r="BN25" i="62" s="1"/>
  <c r="CC11" i="62"/>
  <c r="BZ15" i="62" s="1"/>
  <c r="BZ25" i="62" s="1"/>
  <c r="BK11" i="62"/>
  <c r="BH15" i="62" s="1"/>
  <c r="BH25" i="62" s="1"/>
  <c r="BE11" i="62"/>
  <c r="BB15" i="62" s="1"/>
  <c r="BB25" i="62" s="1"/>
  <c r="AT15" i="62"/>
  <c r="AT25" i="62" s="1"/>
  <c r="CA3" i="62"/>
  <c r="BU3" i="62"/>
  <c r="BO3" i="62"/>
  <c r="V13" i="7"/>
  <c r="W13" i="7"/>
  <c r="BT25" i="62" l="1"/>
  <c r="DV12" i="65"/>
  <c r="G57" i="9"/>
  <c r="FC33" i="65"/>
  <c r="ER33" i="65"/>
  <c r="EG33" i="65"/>
  <c r="DV33" i="65"/>
  <c r="DK33" i="65"/>
  <c r="CZ33" i="65"/>
  <c r="CO33" i="65"/>
  <c r="CD33" i="65"/>
  <c r="BS33" i="65"/>
  <c r="BH33" i="65"/>
  <c r="AW33" i="65"/>
  <c r="AL33" i="65"/>
  <c r="AA33" i="65"/>
  <c r="E33" i="65"/>
  <c r="FC12" i="65"/>
  <c r="ER12" i="65"/>
  <c r="EG16" i="65"/>
  <c r="AL12" i="65"/>
  <c r="FC11" i="65"/>
  <c r="AL11" i="65"/>
  <c r="FC10" i="65"/>
  <c r="FC16" i="65" s="1"/>
  <c r="FC34" i="65" s="1"/>
  <c r="BL9" i="65"/>
  <c r="ET5" i="65"/>
  <c r="AC5" i="65"/>
  <c r="EI5" i="65" s="1"/>
  <c r="FE5" i="65" s="1"/>
  <c r="ES1" i="65"/>
  <c r="EH1" i="65"/>
  <c r="FD1" i="65" s="1"/>
  <c r="EF1" i="65"/>
  <c r="EQ1" i="65" s="1"/>
  <c r="FB1" i="65" s="1"/>
  <c r="EG34" i="65" l="1"/>
  <c r="ER16" i="65"/>
  <c r="ER34" i="65" s="1"/>
  <c r="AL5" i="65"/>
  <c r="BH5" i="65" s="1"/>
  <c r="CD5" i="65" s="1"/>
  <c r="CZ5" i="65" s="1"/>
  <c r="DV5" i="65" s="1"/>
  <c r="ER5" i="65" s="1"/>
  <c r="AA5" i="65"/>
  <c r="AW5" i="65" s="1"/>
  <c r="BS5" i="65" s="1"/>
  <c r="CO5" i="65" s="1"/>
  <c r="DK5" i="65" s="1"/>
  <c r="EG5" i="65" s="1"/>
  <c r="FC5" i="65" s="1"/>
  <c r="AP5" i="65"/>
  <c r="CH5" i="65" s="1"/>
  <c r="DD5" i="65" s="1"/>
  <c r="DZ5" i="65" s="1"/>
  <c r="EV5" i="65" s="1"/>
  <c r="AE5" i="65"/>
  <c r="BA5" i="65" s="1"/>
  <c r="BW5" i="65" s="1"/>
  <c r="CS5" i="65" s="1"/>
  <c r="DO5" i="65" s="1"/>
  <c r="EK5" i="65" s="1"/>
  <c r="FG5" i="65" s="1"/>
  <c r="L12" i="9" l="1"/>
  <c r="L60" i="9" l="1"/>
  <c r="G58" i="9" l="1"/>
  <c r="I9" i="7" l="1"/>
  <c r="F19" i="9" l="1"/>
  <c r="AZ6" i="61" s="1"/>
  <c r="BB6" i="61" s="1"/>
  <c r="AY14" i="61" s="1"/>
  <c r="G19" i="9" l="1"/>
  <c r="P19" i="9" s="1"/>
  <c r="AY24" i="61"/>
  <c r="AU6" i="61"/>
  <c r="G18" i="9"/>
  <c r="P18" i="9" s="1"/>
  <c r="C16" i="60" l="1"/>
  <c r="J16" i="60"/>
  <c r="Q16" i="60" s="1"/>
  <c r="S16" i="60" s="1"/>
  <c r="C15" i="60"/>
  <c r="J15" i="60" s="1"/>
  <c r="Q15" i="60" s="1"/>
  <c r="V16" i="60" l="1"/>
  <c r="W16" i="60" s="1"/>
  <c r="S15" i="60"/>
  <c r="V15" i="60" s="1"/>
  <c r="W15" i="60" s="1"/>
  <c r="I3" i="7"/>
  <c r="AJ23" i="63" l="1"/>
  <c r="AK23" i="63" s="1"/>
  <c r="AJ22" i="63"/>
  <c r="T11" i="20" l="1"/>
  <c r="U11" i="20" s="1"/>
  <c r="E4" i="63" l="1"/>
  <c r="AA9" i="61" l="1"/>
  <c r="CV6" i="61"/>
  <c r="I4" i="7" l="1"/>
  <c r="R12" i="7"/>
  <c r="Q12" i="7"/>
  <c r="AH12" i="7"/>
  <c r="I12" i="7"/>
  <c r="AF13" i="7" l="1"/>
  <c r="AI13" i="7"/>
  <c r="M13" i="7" l="1"/>
  <c r="N13" i="7"/>
  <c r="AG11" i="7"/>
  <c r="AG13" i="7" s="1"/>
  <c r="C7" i="61" l="1"/>
  <c r="T18" i="20" l="1"/>
  <c r="U18" i="20" s="1"/>
  <c r="K3" i="7" l="1"/>
  <c r="G4" i="63" l="1"/>
  <c r="K11" i="7" l="1"/>
  <c r="K13" i="7" s="1"/>
  <c r="J13" i="7"/>
  <c r="G25" i="64"/>
  <c r="DB6" i="61" l="1"/>
  <c r="I11" i="63"/>
  <c r="C10" i="62" s="1"/>
  <c r="G11" i="63"/>
  <c r="C9" i="62" s="1"/>
  <c r="AA6" i="61" l="1"/>
  <c r="AA5" i="61"/>
  <c r="AM18" i="61"/>
  <c r="AM17" i="61"/>
  <c r="AM16" i="61"/>
  <c r="AM7" i="61"/>
  <c r="R16" i="9"/>
  <c r="U16" i="9" s="1"/>
  <c r="AV6" i="61"/>
  <c r="AS14" i="61" s="1"/>
  <c r="AM23" i="61" l="1"/>
  <c r="AS24" i="61"/>
  <c r="AN6" i="61"/>
  <c r="AP6" i="61" s="1"/>
  <c r="G16" i="9"/>
  <c r="P16" i="9" l="1"/>
  <c r="C14" i="60" s="1"/>
  <c r="J14" i="60" s="1"/>
  <c r="Q14" i="60" s="1"/>
  <c r="V14" i="60" s="1"/>
  <c r="AM14" i="61"/>
  <c r="AM24" i="61" s="1"/>
  <c r="E5" i="63"/>
  <c r="S14" i="60" l="1"/>
  <c r="W14" i="60"/>
  <c r="F36" i="9" l="1"/>
  <c r="G35" i="9" l="1"/>
  <c r="O36" i="9"/>
  <c r="N36" i="9" s="1"/>
  <c r="G36" i="9"/>
  <c r="CZ14" i="65"/>
  <c r="U17" i="9"/>
  <c r="G37" i="9" l="1"/>
  <c r="CZ12" i="65"/>
  <c r="F39" i="9"/>
  <c r="G39" i="9" s="1"/>
  <c r="F4" i="9"/>
  <c r="F3" i="9"/>
  <c r="F15" i="63" l="1"/>
  <c r="F16" i="63"/>
  <c r="AI5" i="60"/>
  <c r="AI4" i="60"/>
  <c r="AJ4" i="60" l="1"/>
  <c r="AH3" i="60"/>
  <c r="F14" i="63"/>
  <c r="C23" i="60"/>
  <c r="C25" i="60" l="1"/>
  <c r="P9" i="63" l="1"/>
  <c r="S9" i="63" l="1"/>
  <c r="AG18" i="61"/>
  <c r="AG17" i="61"/>
  <c r="AA18" i="61"/>
  <c r="U18" i="61"/>
  <c r="U16" i="61"/>
  <c r="O18" i="61"/>
  <c r="O17" i="61"/>
  <c r="O16" i="61"/>
  <c r="C18" i="61"/>
  <c r="C17" i="61"/>
  <c r="C16" i="61"/>
  <c r="I18" i="61"/>
  <c r="Z3" i="61" l="1"/>
  <c r="T3" i="61"/>
  <c r="N3" i="61"/>
  <c r="H3" i="61"/>
  <c r="B3" i="61"/>
  <c r="E13" i="60" l="1"/>
  <c r="F13" i="60"/>
  <c r="G13" i="60"/>
  <c r="I13" i="60"/>
  <c r="D13" i="60"/>
  <c r="D26" i="60"/>
  <c r="H26" i="60"/>
  <c r="E23" i="60"/>
  <c r="F23" i="60"/>
  <c r="G23" i="60"/>
  <c r="H23" i="60"/>
  <c r="D23" i="60"/>
  <c r="D11" i="60"/>
  <c r="U8" i="61" s="1"/>
  <c r="E11" i="60"/>
  <c r="U9" i="61" s="1"/>
  <c r="F11" i="60"/>
  <c r="U10" i="61" s="1"/>
  <c r="G11" i="60"/>
  <c r="D12" i="60"/>
  <c r="AA8" i="61" s="1"/>
  <c r="E12" i="60"/>
  <c r="G10" i="60"/>
  <c r="O9" i="61" s="1"/>
  <c r="D10" i="60"/>
  <c r="D7" i="60"/>
  <c r="F7" i="60"/>
  <c r="G7" i="60"/>
  <c r="H7" i="60"/>
  <c r="I7" i="60"/>
  <c r="D9" i="60"/>
  <c r="I8" i="61" s="1"/>
  <c r="E9" i="60"/>
  <c r="I9" i="61" s="1"/>
  <c r="F9" i="60"/>
  <c r="I10" i="61" s="1"/>
  <c r="G9" i="60"/>
  <c r="H9" i="60"/>
  <c r="I9" i="60"/>
  <c r="E6" i="60"/>
  <c r="H6" i="60"/>
  <c r="I6" i="60"/>
  <c r="D6" i="60"/>
  <c r="T9" i="9"/>
  <c r="U9" i="9" s="1"/>
  <c r="AO36" i="64" l="1"/>
  <c r="AN36" i="64"/>
  <c r="AI36" i="64"/>
  <c r="AH36" i="64"/>
  <c r="AC36" i="64"/>
  <c r="AB36" i="64"/>
  <c r="W36" i="64"/>
  <c r="V36" i="64"/>
  <c r="K36" i="64"/>
  <c r="J36" i="64"/>
  <c r="E36" i="64"/>
  <c r="D36" i="64"/>
  <c r="AM35" i="64"/>
  <c r="AK35" i="64"/>
  <c r="AG35" i="64"/>
  <c r="AE35" i="64"/>
  <c r="AA35" i="64"/>
  <c r="Y35" i="64"/>
  <c r="U35" i="64"/>
  <c r="S35" i="64"/>
  <c r="I35" i="64"/>
  <c r="G35" i="64"/>
  <c r="C35" i="64"/>
  <c r="A35" i="64"/>
  <c r="AM34" i="64"/>
  <c r="AK34" i="64"/>
  <c r="AG34" i="64"/>
  <c r="AE34" i="64"/>
  <c r="AA34" i="64"/>
  <c r="Y34" i="64"/>
  <c r="U34" i="64"/>
  <c r="S34" i="64"/>
  <c r="I34" i="64"/>
  <c r="G34" i="64"/>
  <c r="C34" i="64"/>
  <c r="A34" i="64"/>
  <c r="AM33" i="64"/>
  <c r="AK33" i="64"/>
  <c r="AG33" i="64"/>
  <c r="AE33" i="64"/>
  <c r="AA33" i="64"/>
  <c r="Y33" i="64"/>
  <c r="U33" i="64"/>
  <c r="S33" i="64"/>
  <c r="I33" i="64"/>
  <c r="G33" i="64"/>
  <c r="C33" i="64"/>
  <c r="A33" i="64"/>
  <c r="AM32" i="64"/>
  <c r="AK32" i="64"/>
  <c r="AG32" i="64"/>
  <c r="AE32" i="64"/>
  <c r="AA32" i="64"/>
  <c r="Y32" i="64"/>
  <c r="U32" i="64"/>
  <c r="S32" i="64"/>
  <c r="I32" i="64"/>
  <c r="G32" i="64"/>
  <c r="C32" i="64"/>
  <c r="A32" i="64"/>
  <c r="AM31" i="64"/>
  <c r="AK31" i="64"/>
  <c r="AG31" i="64"/>
  <c r="AE31" i="64"/>
  <c r="AA31" i="64"/>
  <c r="Y31" i="64"/>
  <c r="U31" i="64"/>
  <c r="S31" i="64"/>
  <c r="O31" i="64"/>
  <c r="M31" i="64"/>
  <c r="I31" i="64"/>
  <c r="G31" i="64"/>
  <c r="C31" i="64"/>
  <c r="A31" i="64"/>
  <c r="AM30" i="64"/>
  <c r="AK30" i="64"/>
  <c r="AG30" i="64"/>
  <c r="AE30" i="64"/>
  <c r="AA30" i="64"/>
  <c r="Y30" i="64"/>
  <c r="U30" i="64"/>
  <c r="S30" i="64"/>
  <c r="O30" i="64"/>
  <c r="M30" i="64"/>
  <c r="I30" i="64"/>
  <c r="G30" i="64"/>
  <c r="C30" i="64"/>
  <c r="A30" i="64"/>
  <c r="AM29" i="64"/>
  <c r="AK29" i="64"/>
  <c r="AK36" i="64" s="1"/>
  <c r="AG29" i="64"/>
  <c r="AE29" i="64"/>
  <c r="AE36" i="64" s="1"/>
  <c r="AA29" i="64"/>
  <c r="Y29" i="64"/>
  <c r="Y36" i="64" s="1"/>
  <c r="U29" i="64"/>
  <c r="S29" i="64"/>
  <c r="S36" i="64" s="1"/>
  <c r="O29" i="64"/>
  <c r="M29" i="64"/>
  <c r="I29" i="64"/>
  <c r="G29" i="64"/>
  <c r="G36" i="64" s="1"/>
  <c r="C29" i="64"/>
  <c r="A29" i="64"/>
  <c r="A36" i="64" s="1"/>
  <c r="AO17" i="64"/>
  <c r="AM17" i="64"/>
  <c r="AI17" i="64"/>
  <c r="AG17" i="64"/>
  <c r="AC17" i="64"/>
  <c r="AA17" i="64"/>
  <c r="W17" i="64"/>
  <c r="U17" i="64"/>
  <c r="Q17" i="64"/>
  <c r="K17" i="64"/>
  <c r="I17" i="64"/>
  <c r="C17" i="64"/>
  <c r="AO11" i="64"/>
  <c r="AN11" i="64"/>
  <c r="AI11" i="64"/>
  <c r="AH11" i="64"/>
  <c r="AC11" i="64"/>
  <c r="AB11" i="64"/>
  <c r="W11" i="64"/>
  <c r="V11" i="64"/>
  <c r="K11" i="64"/>
  <c r="J11" i="64"/>
  <c r="E11" i="64"/>
  <c r="D11" i="64"/>
  <c r="AM6" i="64"/>
  <c r="AK6" i="64"/>
  <c r="AG6" i="64"/>
  <c r="AE6" i="64"/>
  <c r="AA6" i="64"/>
  <c r="Y6" i="64"/>
  <c r="U6" i="64"/>
  <c r="S6" i="64"/>
  <c r="I6" i="64"/>
  <c r="G6" i="64"/>
  <c r="C6" i="64"/>
  <c r="A6" i="64"/>
  <c r="AM5" i="64"/>
  <c r="AK5" i="64"/>
  <c r="AG5" i="64"/>
  <c r="AE5" i="64"/>
  <c r="AA5" i="64"/>
  <c r="Y5" i="64"/>
  <c r="U5" i="64"/>
  <c r="S5" i="64"/>
  <c r="I5" i="64"/>
  <c r="G5" i="64"/>
  <c r="C5" i="64"/>
  <c r="A5" i="64"/>
  <c r="AM4" i="64"/>
  <c r="AK4" i="64"/>
  <c r="AK11" i="64" s="1"/>
  <c r="AG4" i="64"/>
  <c r="AE4" i="64"/>
  <c r="AE11" i="64" s="1"/>
  <c r="AA4" i="64"/>
  <c r="Y4" i="64"/>
  <c r="Y11" i="64" s="1"/>
  <c r="U4" i="64"/>
  <c r="S4" i="64"/>
  <c r="S11" i="64" s="1"/>
  <c r="I4" i="64"/>
  <c r="G4" i="64"/>
  <c r="G11" i="64" s="1"/>
  <c r="C4" i="64"/>
  <c r="A4" i="64"/>
  <c r="A11" i="64" s="1"/>
  <c r="M24" i="63"/>
  <c r="T24" i="63" s="1"/>
  <c r="V24" i="63" s="1"/>
  <c r="M23" i="63"/>
  <c r="W22" i="63"/>
  <c r="W27" i="63" s="1"/>
  <c r="M22" i="63"/>
  <c r="J28" i="63"/>
  <c r="I28" i="63"/>
  <c r="AI3" i="63"/>
  <c r="AA9" i="63" s="1"/>
  <c r="Y9" i="63" s="1"/>
  <c r="P35" i="64" s="1"/>
  <c r="AH3" i="63"/>
  <c r="AA8" i="63" s="1"/>
  <c r="AG3" i="63"/>
  <c r="AA7" i="63" s="1"/>
  <c r="AF3" i="63"/>
  <c r="AE3" i="63"/>
  <c r="AA5" i="63" s="1"/>
  <c r="AD3" i="63"/>
  <c r="AK22" i="63" l="1"/>
  <c r="T23" i="63"/>
  <c r="AA4" i="63"/>
  <c r="P5" i="64" s="1"/>
  <c r="AA6" i="63"/>
  <c r="Y6" i="63" s="1"/>
  <c r="Y5" i="63"/>
  <c r="P6" i="64"/>
  <c r="Y7" i="63"/>
  <c r="P33" i="64"/>
  <c r="Y8" i="63"/>
  <c r="P34" i="64"/>
  <c r="A25" i="64"/>
  <c r="D17" i="64"/>
  <c r="J17" i="64"/>
  <c r="S25" i="64"/>
  <c r="V17" i="64"/>
  <c r="Y25" i="64"/>
  <c r="AB17" i="64"/>
  <c r="AE25" i="64"/>
  <c r="AH17" i="64"/>
  <c r="AK25" i="64"/>
  <c r="AN17" i="64"/>
  <c r="D26" i="64"/>
  <c r="D15" i="64"/>
  <c r="E26" i="64"/>
  <c r="D16" i="64"/>
  <c r="J26" i="64"/>
  <c r="J15" i="64"/>
  <c r="K26" i="64"/>
  <c r="J16" i="64"/>
  <c r="V26" i="64"/>
  <c r="V15" i="64"/>
  <c r="W26" i="64"/>
  <c r="V16" i="64"/>
  <c r="AB26" i="64"/>
  <c r="AB15" i="64"/>
  <c r="AC26" i="64"/>
  <c r="AB16" i="64"/>
  <c r="AH26" i="64"/>
  <c r="AH15" i="64"/>
  <c r="AI26" i="64"/>
  <c r="AH16" i="64"/>
  <c r="AN26" i="64"/>
  <c r="AN15" i="64"/>
  <c r="AO26" i="64"/>
  <c r="AN16" i="64"/>
  <c r="E17" i="64"/>
  <c r="T22" i="63"/>
  <c r="S25" i="63"/>
  <c r="S27" i="63" s="1"/>
  <c r="P32" i="64" l="1"/>
  <c r="P36" i="64" s="1"/>
  <c r="Y4" i="63"/>
  <c r="DB23" i="61" l="1"/>
  <c r="CV23" i="61"/>
  <c r="CP23" i="61"/>
  <c r="AG23" i="61"/>
  <c r="U23" i="61"/>
  <c r="O23" i="61"/>
  <c r="I23" i="61"/>
  <c r="C23" i="61"/>
  <c r="CV14" i="61"/>
  <c r="CP14" i="61"/>
  <c r="AJ11" i="61"/>
  <c r="AD11" i="61"/>
  <c r="X10" i="61"/>
  <c r="L10" i="61"/>
  <c r="DB7" i="61"/>
  <c r="DB14" i="61" s="1"/>
  <c r="AI7" i="61"/>
  <c r="DE6" i="61"/>
  <c r="AD6" i="61"/>
  <c r="F6" i="61"/>
  <c r="DC3" i="61"/>
  <c r="CW3" i="61"/>
  <c r="AA17" i="61"/>
  <c r="P7" i="60"/>
  <c r="P6" i="60"/>
  <c r="P5" i="60"/>
  <c r="W4" i="60"/>
  <c r="P4" i="60"/>
  <c r="Z4" i="60"/>
  <c r="AG3" i="60"/>
  <c r="Z5" i="60" s="1"/>
  <c r="AF3" i="60"/>
  <c r="Z6" i="60" s="1"/>
  <c r="AE3" i="60"/>
  <c r="AD3" i="60"/>
  <c r="Z8" i="60" s="1"/>
  <c r="AC3" i="60"/>
  <c r="AB3" i="60"/>
  <c r="CV24" i="61" l="1"/>
  <c r="Z9" i="60"/>
  <c r="X9" i="60" s="1"/>
  <c r="AI3" i="60"/>
  <c r="DB24" i="61"/>
  <c r="CP24" i="61"/>
  <c r="Z7" i="60"/>
  <c r="Q32" i="64" s="1"/>
  <c r="AA16" i="61"/>
  <c r="AA23" i="61" s="1"/>
  <c r="X4" i="60"/>
  <c r="Q35" i="64"/>
  <c r="X5" i="60"/>
  <c r="Q34" i="64"/>
  <c r="O34" i="64" s="1"/>
  <c r="M34" i="64" s="1"/>
  <c r="X6" i="60"/>
  <c r="Q33" i="64"/>
  <c r="O33" i="64" s="1"/>
  <c r="M33" i="64" s="1"/>
  <c r="X8" i="60"/>
  <c r="Q6" i="64"/>
  <c r="Q5" i="64"/>
  <c r="O5" i="64" s="1"/>
  <c r="M5" i="64" s="1"/>
  <c r="Z10" i="60"/>
  <c r="P6" i="32"/>
  <c r="R4" i="32"/>
  <c r="Q4" i="32"/>
  <c r="Q9" i="32" s="1"/>
  <c r="P4" i="32"/>
  <c r="S3" i="32"/>
  <c r="S9" i="32" s="1"/>
  <c r="R3" i="32"/>
  <c r="R9" i="32" s="1"/>
  <c r="P3" i="32"/>
  <c r="P9" i="32" s="1"/>
  <c r="E5" i="32"/>
  <c r="E3" i="32"/>
  <c r="F9" i="32"/>
  <c r="G9" i="32"/>
  <c r="H9" i="32"/>
  <c r="I9" i="32"/>
  <c r="J9" i="32"/>
  <c r="K9" i="32"/>
  <c r="L9" i="32"/>
  <c r="E9" i="32"/>
  <c r="T8" i="32"/>
  <c r="E25" i="63"/>
  <c r="O6" i="64" l="1"/>
  <c r="M6" i="64" s="1"/>
  <c r="Q11" i="64"/>
  <c r="P16" i="64" s="1"/>
  <c r="T9" i="32"/>
  <c r="X7" i="60"/>
  <c r="BL3" i="61"/>
  <c r="M25" i="63"/>
  <c r="O35" i="64"/>
  <c r="M35" i="64" s="1"/>
  <c r="Q36" i="64"/>
  <c r="O32" i="64"/>
  <c r="M32" i="64" s="1"/>
  <c r="M36" i="64" s="1"/>
  <c r="X10" i="60"/>
  <c r="Q4" i="64"/>
  <c r="C26" i="60" l="1"/>
  <c r="T25" i="63"/>
  <c r="G33" i="9"/>
  <c r="V25" i="63" l="1"/>
  <c r="V27" i="63" s="1"/>
  <c r="F17" i="9"/>
  <c r="AG6" i="61" s="1"/>
  <c r="AG7" i="61" s="1"/>
  <c r="AG14" i="61" s="1"/>
  <c r="AG24" i="61" s="1"/>
  <c r="Q26" i="64"/>
  <c r="C7" i="60"/>
  <c r="J7" i="60" s="1"/>
  <c r="Q7" i="60" s="1"/>
  <c r="S7" i="60" s="1"/>
  <c r="V7" i="60" s="1"/>
  <c r="W7" i="60" l="1"/>
  <c r="G17" i="9"/>
  <c r="P17" i="9" s="1"/>
  <c r="G16" i="63"/>
  <c r="G15" i="63"/>
  <c r="I8" i="7"/>
  <c r="I7" i="7"/>
  <c r="I6" i="7"/>
  <c r="I5" i="7"/>
  <c r="S11" i="7"/>
  <c r="U7" i="62" l="1"/>
  <c r="E15" i="63"/>
  <c r="AA7" i="62"/>
  <c r="E16" i="63"/>
  <c r="AG7" i="62"/>
  <c r="H11" i="63"/>
  <c r="C11" i="62" s="1"/>
  <c r="L13" i="7"/>
  <c r="E14" i="63"/>
  <c r="G14" i="63"/>
  <c r="G28" i="63" s="1"/>
  <c r="C13" i="60"/>
  <c r="J13" i="60" s="1"/>
  <c r="Q13" i="60" s="1"/>
  <c r="H28" i="63" l="1"/>
  <c r="V13" i="60"/>
  <c r="S13" i="60"/>
  <c r="W13" i="60" l="1"/>
  <c r="F11" i="63" l="1"/>
  <c r="D11" i="7"/>
  <c r="I11" i="7" s="1"/>
  <c r="I13" i="7" l="1"/>
  <c r="C7" i="62"/>
  <c r="C15" i="62" s="1"/>
  <c r="C25" i="62" s="1"/>
  <c r="F28" i="63"/>
  <c r="E11" i="63"/>
  <c r="N15" i="9" l="1"/>
  <c r="I11" i="60" s="1"/>
  <c r="G8" i="9" l="1"/>
  <c r="F10" i="61"/>
  <c r="N10" i="9"/>
  <c r="AH9" i="7" l="1"/>
  <c r="T6" i="32" l="1"/>
  <c r="M6" i="32" l="1"/>
  <c r="G5" i="9" l="1"/>
  <c r="C6" i="60" s="1"/>
  <c r="J6" i="60" s="1"/>
  <c r="Q6" i="60" s="1"/>
  <c r="S6" i="60" s="1"/>
  <c r="V6" i="60" l="1"/>
  <c r="F14" i="9"/>
  <c r="J4" i="53"/>
  <c r="G7" i="53"/>
  <c r="G8" i="53" s="1"/>
  <c r="G9" i="53" s="1"/>
  <c r="G10" i="53" s="1"/>
  <c r="G11" i="53" s="1"/>
  <c r="G12" i="53" s="1"/>
  <c r="G13" i="53" s="1"/>
  <c r="G14" i="53" s="1"/>
  <c r="G15" i="53" s="1"/>
  <c r="G16" i="53" s="1"/>
  <c r="J5" i="53"/>
  <c r="J6" i="53" s="1"/>
  <c r="J7" i="53" s="1"/>
  <c r="J8" i="53" s="1"/>
  <c r="J9" i="53" s="1"/>
  <c r="J10" i="53" s="1"/>
  <c r="J11" i="53" s="1"/>
  <c r="J12" i="53" s="1"/>
  <c r="J13" i="53" s="1"/>
  <c r="J14" i="53" s="1"/>
  <c r="J15" i="53" s="1"/>
  <c r="J16" i="53" s="1"/>
  <c r="J18" i="53" s="1"/>
  <c r="J19" i="53" s="1"/>
  <c r="J20" i="53" s="1"/>
  <c r="J3" i="53"/>
  <c r="G14" i="9" l="1"/>
  <c r="C12" i="60" s="1"/>
  <c r="AC9" i="61"/>
  <c r="W6" i="60"/>
  <c r="N14" i="9"/>
  <c r="N12" i="9"/>
  <c r="P12" i="9" l="1"/>
  <c r="AD9" i="61"/>
  <c r="I12" i="60"/>
  <c r="AD8" i="61"/>
  <c r="AA14" i="61" s="1"/>
  <c r="AE8" i="7"/>
  <c r="AH8" i="7" s="1"/>
  <c r="AA24" i="61" l="1"/>
  <c r="AH3" i="7"/>
  <c r="AE13" i="7"/>
  <c r="J12" i="60"/>
  <c r="R12" i="9"/>
  <c r="Q12" i="60" l="1"/>
  <c r="V12" i="60" s="1"/>
  <c r="W12" i="60" s="1"/>
  <c r="F13" i="7"/>
  <c r="R15" i="9"/>
  <c r="S12" i="60" l="1"/>
  <c r="S12" i="7" l="1"/>
  <c r="P12" i="7" s="1"/>
  <c r="S5" i="9"/>
  <c r="S60" i="9" s="1"/>
  <c r="T12" i="7" l="1"/>
  <c r="F40" i="9" l="1"/>
  <c r="T12" i="9"/>
  <c r="U12" i="9" s="1"/>
  <c r="T15" i="9"/>
  <c r="U15" i="9" s="1"/>
  <c r="G40" i="9" l="1"/>
  <c r="P10" i="7"/>
  <c r="T10" i="7" s="1"/>
  <c r="X10" i="7" s="1"/>
  <c r="F38" i="9"/>
  <c r="G7" i="9"/>
  <c r="CZ11" i="65" l="1"/>
  <c r="O34" i="9"/>
  <c r="N34" i="9" s="1"/>
  <c r="I23" i="60" s="1"/>
  <c r="P7" i="9"/>
  <c r="S9" i="7"/>
  <c r="AA12" i="65"/>
  <c r="R9" i="7"/>
  <c r="DK11" i="65" s="1"/>
  <c r="Q9" i="7"/>
  <c r="DK10" i="65" s="1"/>
  <c r="X12" i="62"/>
  <c r="I6" i="61"/>
  <c r="I7" i="61" s="1"/>
  <c r="I14" i="61" s="1"/>
  <c r="I24" i="61" s="1"/>
  <c r="G9" i="9"/>
  <c r="P9" i="7" l="1"/>
  <c r="T9" i="7" s="1"/>
  <c r="I24" i="60"/>
  <c r="I60" i="9"/>
  <c r="J60" i="9"/>
  <c r="K60" i="9"/>
  <c r="P9" i="9"/>
  <c r="P33" i="9"/>
  <c r="C9" i="60"/>
  <c r="C30" i="60" s="1"/>
  <c r="DK12" i="65" l="1"/>
  <c r="DK16" i="65" s="1"/>
  <c r="DK34" i="65" s="1"/>
  <c r="J9" i="60"/>
  <c r="Q9" i="60" s="1"/>
  <c r="V9" i="60" s="1"/>
  <c r="V30" i="60" s="1"/>
  <c r="U31" i="60" s="1"/>
  <c r="O16" i="64" s="1"/>
  <c r="L9" i="63"/>
  <c r="C10" i="61"/>
  <c r="C9" i="61"/>
  <c r="C8" i="61"/>
  <c r="F47" i="9"/>
  <c r="O45" i="9"/>
  <c r="O44" i="9" l="1"/>
  <c r="G47" i="9"/>
  <c r="S9" i="60"/>
  <c r="S30" i="60" s="1"/>
  <c r="W9" i="60"/>
  <c r="N46" i="9"/>
  <c r="M9" i="63"/>
  <c r="T9" i="63" l="1"/>
  <c r="W9" i="63" s="1"/>
  <c r="AK9" i="63" s="1"/>
  <c r="N44" i="9"/>
  <c r="AW10" i="65"/>
  <c r="T6" i="9" l="1"/>
  <c r="R6" i="9"/>
  <c r="T5" i="9"/>
  <c r="U5" i="9" s="1"/>
  <c r="P5" i="9"/>
  <c r="T60" i="9" l="1"/>
  <c r="V60" i="9"/>
  <c r="R60" i="9"/>
  <c r="U6" i="9"/>
  <c r="D4" i="53" l="1"/>
  <c r="D3" i="53"/>
  <c r="F45" i="9" l="1"/>
  <c r="G45" i="9" l="1"/>
  <c r="J23" i="60" l="1"/>
  <c r="P4" i="9" l="1"/>
  <c r="C5" i="60"/>
  <c r="J5" i="60" s="1"/>
  <c r="Q5" i="60" s="1"/>
  <c r="Q11" i="7"/>
  <c r="P11" i="7" s="1"/>
  <c r="AO13" i="62"/>
  <c r="L17" i="63" l="1"/>
  <c r="AP13" i="62"/>
  <c r="AM15" i="62" s="1"/>
  <c r="AM25" i="62" s="1"/>
  <c r="T5" i="60"/>
  <c r="AJ5" i="60" s="1"/>
  <c r="W11" i="62" l="1"/>
  <c r="X11" i="62" s="1"/>
  <c r="U15" i="62" s="1"/>
  <c r="U25" i="62" s="1"/>
  <c r="M17" i="63"/>
  <c r="W5" i="60"/>
  <c r="L14" i="63"/>
  <c r="M14" i="63" s="1"/>
  <c r="T14" i="63" s="1"/>
  <c r="T17" i="63" l="1"/>
  <c r="V17" i="63" s="1"/>
  <c r="V14" i="63"/>
  <c r="F49" i="9" l="1"/>
  <c r="BS12" i="65" l="1"/>
  <c r="BS16" i="65" s="1"/>
  <c r="G50" i="9"/>
  <c r="P50" i="9" s="1"/>
  <c r="G49" i="9"/>
  <c r="Q23" i="60" l="1"/>
  <c r="T23" i="60" s="1"/>
  <c r="AJ23" i="60" s="1"/>
  <c r="X9" i="7"/>
  <c r="G38" i="9" l="1"/>
  <c r="P38" i="9" l="1"/>
  <c r="U3" i="7" s="1"/>
  <c r="C24" i="60"/>
  <c r="W23" i="60"/>
  <c r="R11" i="7" l="1"/>
  <c r="F41" i="9" l="1"/>
  <c r="Q5" i="7"/>
  <c r="CD10" i="65" s="1"/>
  <c r="F42" i="9"/>
  <c r="G42" i="9" s="1"/>
  <c r="AW12" i="65"/>
  <c r="Q8" i="7"/>
  <c r="AD11" i="62"/>
  <c r="Q3" i="7"/>
  <c r="I10" i="65" s="1"/>
  <c r="G41" i="9" l="1"/>
  <c r="AW16" i="65"/>
  <c r="E10" i="65"/>
  <c r="P10" i="65"/>
  <c r="Q11" i="61" l="1"/>
  <c r="R11" i="61" s="1"/>
  <c r="L12" i="62" l="1"/>
  <c r="R11" i="62"/>
  <c r="J8" i="60"/>
  <c r="Q8" i="60" s="1"/>
  <c r="L11" i="62"/>
  <c r="I15" i="62" s="1"/>
  <c r="I25" i="62" s="1"/>
  <c r="F51" i="9"/>
  <c r="R12" i="62" l="1"/>
  <c r="O15" i="62" s="1"/>
  <c r="O25" i="62" s="1"/>
  <c r="AD12" i="62"/>
  <c r="AA15" i="62" s="1"/>
  <c r="AA25" i="62" s="1"/>
  <c r="C14" i="61"/>
  <c r="C24" i="61" s="1"/>
  <c r="L12" i="63"/>
  <c r="M12" i="63" s="1"/>
  <c r="CO14" i="65"/>
  <c r="V8" i="60"/>
  <c r="S8" i="60"/>
  <c r="Z21" i="63" l="1"/>
  <c r="T12" i="63"/>
  <c r="V12" i="63" s="1"/>
  <c r="U7" i="7"/>
  <c r="K8" i="63" s="1"/>
  <c r="K19" i="63" s="1"/>
  <c r="I27" i="60"/>
  <c r="J27" i="60" s="1"/>
  <c r="Q27" i="60" s="1"/>
  <c r="L13" i="63"/>
  <c r="L15" i="63"/>
  <c r="M15" i="63" s="1"/>
  <c r="T15" i="63" s="1"/>
  <c r="W8" i="60"/>
  <c r="V15" i="63" l="1"/>
  <c r="M13" i="63"/>
  <c r="T13" i="63" s="1"/>
  <c r="AH4" i="7"/>
  <c r="AH5" i="7"/>
  <c r="AH6" i="7"/>
  <c r="AH7" i="7"/>
  <c r="AH11" i="7"/>
  <c r="Z13" i="7"/>
  <c r="AA13" i="7"/>
  <c r="AB13" i="7"/>
  <c r="AD13" i="7"/>
  <c r="W27" i="60" l="1"/>
  <c r="AH13" i="7"/>
  <c r="V13" i="63" l="1"/>
  <c r="G3" i="9"/>
  <c r="P3" i="9" l="1"/>
  <c r="C4" i="60"/>
  <c r="J4" i="60" s="1"/>
  <c r="O3" i="7"/>
  <c r="Q4" i="60" l="1"/>
  <c r="O13" i="7"/>
  <c r="S6" i="7" l="1"/>
  <c r="S5" i="7"/>
  <c r="CD12" i="65" s="1"/>
  <c r="BH12" i="65" l="1"/>
  <c r="N45" i="9"/>
  <c r="P39" i="9" s="1"/>
  <c r="I25" i="60" l="1"/>
  <c r="J25" i="60" l="1"/>
  <c r="D5" i="53"/>
  <c r="D6" i="53" s="1"/>
  <c r="D7" i="53" s="1"/>
  <c r="D8" i="53" s="1"/>
  <c r="D9" i="53" s="1"/>
  <c r="A7" i="53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Q25" i="60" l="1"/>
  <c r="T25" i="60" s="1"/>
  <c r="D10" i="53"/>
  <c r="T7" i="20"/>
  <c r="U7" i="20" s="1"/>
  <c r="T8" i="20"/>
  <c r="U8" i="20" s="1"/>
  <c r="T9" i="20"/>
  <c r="U9" i="20" s="1"/>
  <c r="AJ25" i="60" l="1"/>
  <c r="W25" i="60"/>
  <c r="D11" i="53"/>
  <c r="D12" i="53" s="1"/>
  <c r="D13" i="53" s="1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R6" i="7"/>
  <c r="BH11" i="65" s="1"/>
  <c r="BH16" i="65" s="1"/>
  <c r="Q6" i="7"/>
  <c r="BH10" i="65" l="1"/>
  <c r="P6" i="7"/>
  <c r="L7" i="63" s="1"/>
  <c r="M7" i="63" s="1"/>
  <c r="BH34" i="65"/>
  <c r="T7" i="63" l="1"/>
  <c r="W7" i="63" s="1"/>
  <c r="AK7" i="63" s="1"/>
  <c r="T6" i="7"/>
  <c r="X6" i="7" s="1"/>
  <c r="T6" i="20" l="1"/>
  <c r="U6" i="20" s="1"/>
  <c r="U10" i="9" l="1"/>
  <c r="U60" i="9" s="1"/>
  <c r="G11" i="9"/>
  <c r="I10" i="60" s="1"/>
  <c r="I30" i="60" s="1"/>
  <c r="G10" i="9" l="1"/>
  <c r="O6" i="61"/>
  <c r="O7" i="61" s="1"/>
  <c r="O14" i="61" s="1"/>
  <c r="J24" i="60"/>
  <c r="Q24" i="60" s="1"/>
  <c r="T33" i="60" l="1"/>
  <c r="P10" i="9"/>
  <c r="C10" i="60"/>
  <c r="O24" i="61"/>
  <c r="W24" i="60"/>
  <c r="J10" i="60" l="1"/>
  <c r="Q10" i="60" s="1"/>
  <c r="V10" i="60" l="1"/>
  <c r="S10" i="60"/>
  <c r="W10" i="60" l="1"/>
  <c r="S7" i="7" l="1"/>
  <c r="Q7" i="7"/>
  <c r="CO10" i="65" s="1"/>
  <c r="CO12" i="65" l="1"/>
  <c r="R3" i="7"/>
  <c r="I11" i="65" s="1"/>
  <c r="E11" i="65" s="1"/>
  <c r="S3" i="7"/>
  <c r="R7" i="7"/>
  <c r="R4" i="7"/>
  <c r="S4" i="7"/>
  <c r="Q4" i="7"/>
  <c r="P11" i="65" l="1"/>
  <c r="P3" i="7"/>
  <c r="P4" i="7"/>
  <c r="CO11" i="65"/>
  <c r="CO16" i="65" s="1"/>
  <c r="P7" i="7"/>
  <c r="L8" i="63" s="1"/>
  <c r="M8" i="63" s="1"/>
  <c r="E12" i="65"/>
  <c r="E16" i="65" s="1"/>
  <c r="E34" i="65" s="1"/>
  <c r="Q13" i="7"/>
  <c r="S13" i="7"/>
  <c r="L5" i="63"/>
  <c r="T8" i="63" l="1"/>
  <c r="W8" i="63" s="1"/>
  <c r="AK8" i="63" s="1"/>
  <c r="AL10" i="65"/>
  <c r="P12" i="65"/>
  <c r="P16" i="65" s="1"/>
  <c r="P34" i="65" s="1"/>
  <c r="T7" i="7"/>
  <c r="X7" i="7" s="1"/>
  <c r="L4" i="63"/>
  <c r="T3" i="7"/>
  <c r="X3" i="7" s="1"/>
  <c r="M5" i="63"/>
  <c r="T4" i="7"/>
  <c r="X4" i="7" s="1"/>
  <c r="R8" i="7"/>
  <c r="W4" i="63" l="1"/>
  <c r="W19" i="63" s="1"/>
  <c r="W32" i="63" s="1"/>
  <c r="AK3" i="63" s="1"/>
  <c r="L19" i="63"/>
  <c r="M4" i="63"/>
  <c r="AL16" i="65"/>
  <c r="AL34" i="65" s="1"/>
  <c r="T5" i="63"/>
  <c r="P8" i="7"/>
  <c r="AK4" i="63" l="1"/>
  <c r="Z19" i="63"/>
  <c r="M19" i="63"/>
  <c r="M28" i="63" s="1"/>
  <c r="T4" i="63"/>
  <c r="T19" i="63" s="1"/>
  <c r="T28" i="63" s="1"/>
  <c r="V5" i="63"/>
  <c r="T8" i="7"/>
  <c r="X8" i="7" s="1"/>
  <c r="V4" i="63" l="1"/>
  <c r="V19" i="63" s="1"/>
  <c r="AI11" i="62"/>
  <c r="V32" i="63" l="1"/>
  <c r="V34" i="63" s="1"/>
  <c r="O15" i="64" s="1"/>
  <c r="V28" i="63"/>
  <c r="Z23" i="63"/>
  <c r="Z24" i="63" s="1"/>
  <c r="AJ11" i="62"/>
  <c r="AJ12" i="62"/>
  <c r="AG15" i="62" l="1"/>
  <c r="AG25" i="62" s="1"/>
  <c r="T4" i="20"/>
  <c r="U4" i="20" s="1"/>
  <c r="T5" i="20"/>
  <c r="U5" i="20" s="1"/>
  <c r="T10" i="20"/>
  <c r="U10" i="20" s="1"/>
  <c r="T19" i="20"/>
  <c r="U19" i="20" s="1"/>
  <c r="L16" i="63" l="1"/>
  <c r="M16" i="63" s="1"/>
  <c r="T16" i="63" s="1"/>
  <c r="V16" i="63" l="1"/>
  <c r="T11" i="7" l="1"/>
  <c r="X11" i="7" s="1"/>
  <c r="L11" i="63"/>
  <c r="R5" i="7"/>
  <c r="P5" i="7" s="1"/>
  <c r="Y13" i="7"/>
  <c r="AC13" i="7"/>
  <c r="T5" i="32"/>
  <c r="R13" i="7" l="1"/>
  <c r="P13" i="7"/>
  <c r="T4" i="32"/>
  <c r="T3" i="32"/>
  <c r="CD11" i="65" l="1"/>
  <c r="CD34" i="65" s="1"/>
  <c r="L6" i="63"/>
  <c r="T5" i="7"/>
  <c r="T13" i="7" s="1"/>
  <c r="E7" i="31" s="1"/>
  <c r="M6" i="63" l="1"/>
  <c r="T6" i="63" s="1"/>
  <c r="L28" i="63"/>
  <c r="X5" i="7"/>
  <c r="W6" i="63" l="1"/>
  <c r="AK6" i="63" s="1"/>
  <c r="D7" i="31" l="1"/>
  <c r="B7" i="31" l="1"/>
  <c r="C7" i="31"/>
  <c r="N6" i="31" l="1"/>
  <c r="M4" i="32"/>
  <c r="M5" i="32"/>
  <c r="M3" i="32" l="1"/>
  <c r="M9" i="32" s="1"/>
  <c r="N3" i="31" l="1"/>
  <c r="N5" i="31" l="1"/>
  <c r="N4" i="31"/>
  <c r="N7" i="31" l="1"/>
  <c r="F15" i="9" l="1"/>
  <c r="G15" i="9" s="1"/>
  <c r="P15" i="9" s="1"/>
  <c r="U6" i="61" l="1"/>
  <c r="U7" i="61" s="1"/>
  <c r="U14" i="61" s="1"/>
  <c r="U24" i="61" s="1"/>
  <c r="C11" i="60"/>
  <c r="J11" i="60" s="1"/>
  <c r="Q11" i="60" l="1"/>
  <c r="S11" i="60" l="1"/>
  <c r="V11" i="60"/>
  <c r="W11" i="60" l="1"/>
  <c r="Y12" i="60" l="1"/>
  <c r="F48" i="9"/>
  <c r="BS14" i="65" l="1"/>
  <c r="G48" i="9"/>
  <c r="P46" i="9" s="1"/>
  <c r="O60" i="9"/>
  <c r="I26" i="60" l="1"/>
  <c r="N60" i="9"/>
  <c r="J26" i="60" l="1"/>
  <c r="Q26" i="60" l="1"/>
  <c r="Q30" i="60" s="1"/>
  <c r="P31" i="60" s="1"/>
  <c r="J30" i="60"/>
  <c r="T26" i="60" l="1"/>
  <c r="AJ26" i="60"/>
  <c r="T30" i="60"/>
  <c r="W26" i="60"/>
  <c r="W30" i="60" s="1"/>
  <c r="S31" i="60" l="1"/>
  <c r="Y11" i="60"/>
  <c r="AA16" i="65"/>
  <c r="AA34" i="65" s="1"/>
  <c r="CZ16" i="65" l="1"/>
  <c r="CZ34" i="65" s="1"/>
  <c r="AW34" i="65"/>
  <c r="BS34" i="65"/>
  <c r="CO34" i="65"/>
  <c r="F59" i="9" l="1"/>
  <c r="DV14" i="65" s="1"/>
  <c r="DV16" i="65" s="1"/>
  <c r="DV34" i="65" s="1"/>
  <c r="G59" i="9" l="1"/>
  <c r="P55" i="9" s="1"/>
  <c r="P60" i="9" s="1"/>
  <c r="E10" i="31"/>
  <c r="E11" i="31" s="1"/>
  <c r="I28" i="60" l="1"/>
  <c r="G60" i="9"/>
  <c r="C10" i="31"/>
  <c r="C11" i="31" s="1"/>
  <c r="D10" i="31"/>
  <c r="D11" i="31" s="1"/>
  <c r="M11" i="63"/>
  <c r="T11" i="63" s="1"/>
  <c r="B10" i="31"/>
  <c r="B11" i="31" s="1"/>
  <c r="J28" i="60" l="1"/>
  <c r="Q28" i="60" s="1"/>
  <c r="T28" i="60" s="1"/>
  <c r="AJ28" i="60" s="1"/>
  <c r="N8" i="31"/>
  <c r="N10" i="31" s="1"/>
  <c r="K28" i="63"/>
  <c r="V11" i="63" l="1"/>
  <c r="Y13" i="60"/>
  <c r="W28" i="60"/>
  <c r="N11" i="31"/>
  <c r="J33" i="60"/>
  <c r="X12" i="7"/>
  <c r="X13" i="7" s="1"/>
  <c r="U13" i="7"/>
  <c r="O17" i="64" l="1"/>
  <c r="Z15" i="63" l="1"/>
  <c r="AC3" i="63"/>
  <c r="AA3" i="63" s="1"/>
  <c r="Y3" i="63" l="1"/>
  <c r="Z11" i="63" s="1"/>
  <c r="P4" i="64"/>
  <c r="AJ3" i="63"/>
  <c r="P11" i="64" l="1"/>
  <c r="O4" i="64"/>
  <c r="M4" i="64" s="1"/>
  <c r="M11" i="64" s="1"/>
  <c r="M25" i="64" s="1"/>
  <c r="P17" i="64" l="1"/>
  <c r="P26" i="64"/>
</calcChain>
</file>

<file path=xl/sharedStrings.xml><?xml version="1.0" encoding="utf-8"?>
<sst xmlns="http://schemas.openxmlformats.org/spreadsheetml/2006/main" count="2501" uniqueCount="678">
  <si>
    <t>編號</t>
    <phoneticPr fontId="2" type="noConversion"/>
  </si>
  <si>
    <t>姓名</t>
    <phoneticPr fontId="2" type="noConversion"/>
  </si>
  <si>
    <t>全勤</t>
    <phoneticPr fontId="2" type="noConversion"/>
  </si>
  <si>
    <t>陳大維</t>
    <phoneticPr fontId="2" type="noConversion"/>
  </si>
  <si>
    <t>備註</t>
    <phoneticPr fontId="2" type="noConversion"/>
  </si>
  <si>
    <t>月薪
(時薪)</t>
    <phoneticPr fontId="2" type="noConversion"/>
  </si>
  <si>
    <t>加班費     合計(元)</t>
    <phoneticPr fontId="2" type="noConversion"/>
  </si>
  <si>
    <t>工廠</t>
  </si>
  <si>
    <t>應領合計</t>
    <phoneticPr fontId="2" type="noConversion"/>
  </si>
  <si>
    <t>薪資明細表</t>
    <phoneticPr fontId="2" type="noConversion"/>
  </si>
  <si>
    <t>合計</t>
    <phoneticPr fontId="2" type="noConversion"/>
  </si>
  <si>
    <t>績效
獎金</t>
    <phoneticPr fontId="2" type="noConversion"/>
  </si>
  <si>
    <t>欣鮮</t>
    <phoneticPr fontId="2" type="noConversion"/>
  </si>
  <si>
    <t>劉添財</t>
    <phoneticPr fontId="2" type="noConversion"/>
  </si>
  <si>
    <t>陳阿莉</t>
    <phoneticPr fontId="2" type="noConversion"/>
  </si>
  <si>
    <t>勞保</t>
    <phoneticPr fontId="2" type="noConversion"/>
  </si>
  <si>
    <t>健保</t>
    <phoneticPr fontId="2" type="noConversion"/>
  </si>
  <si>
    <t>退休金</t>
    <phoneticPr fontId="2" type="noConversion"/>
  </si>
  <si>
    <t>黃家容</t>
    <phoneticPr fontId="2" type="noConversion"/>
  </si>
  <si>
    <t>1月</t>
    <phoneticPr fontId="2" type="noConversion"/>
  </si>
  <si>
    <t>加保金額</t>
    <phoneticPr fontId="2" type="noConversion"/>
  </si>
  <si>
    <t>勞.健.退休合計</t>
    <phoneticPr fontId="2" type="noConversion"/>
  </si>
  <si>
    <t>意外險不扣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</si>
  <si>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</si>
  <si>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</si>
  <si>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</si>
  <si>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</si>
  <si>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</si>
  <si>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</si>
  <si>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</si>
  <si>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</si>
  <si>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</si>
  <si>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</si>
  <si>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</si>
  <si>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P棟</t>
    <phoneticPr fontId="2" type="noConversion"/>
  </si>
  <si>
    <t>英業達</t>
    <phoneticPr fontId="2" type="noConversion"/>
  </si>
  <si>
    <t>小計</t>
    <phoneticPr fontId="2" type="noConversion"/>
  </si>
  <si>
    <t>欣鮮艾克爾</t>
    <phoneticPr fontId="2" type="noConversion"/>
  </si>
  <si>
    <t>到職日</t>
    <phoneticPr fontId="2" type="noConversion"/>
  </si>
  <si>
    <t>欣鮮小計</t>
    <phoneticPr fontId="2" type="noConversion"/>
  </si>
  <si>
    <t>年</t>
    <phoneticPr fontId="2" type="noConversion"/>
  </si>
  <si>
    <t>請特休按比例請,若有離職,按比例扣回,請特休的錢</t>
    <phoneticPr fontId="2" type="noConversion"/>
  </si>
  <si>
    <t>2月</t>
    <phoneticPr fontId="2" type="noConversion"/>
  </si>
  <si>
    <t>唐德文</t>
    <phoneticPr fontId="2" type="noConversion"/>
  </si>
  <si>
    <t>鄒琇如</t>
    <phoneticPr fontId="2" type="noConversion"/>
  </si>
  <si>
    <t>郵局</t>
    <phoneticPr fontId="2" type="noConversion"/>
  </si>
  <si>
    <t>郵局</t>
    <phoneticPr fontId="2" type="noConversion"/>
  </si>
  <si>
    <t>現金</t>
    <phoneticPr fontId="2" type="noConversion"/>
  </si>
  <si>
    <t>余富美</t>
    <phoneticPr fontId="2" type="noConversion"/>
  </si>
  <si>
    <t>加班時數</t>
    <phoneticPr fontId="2" type="noConversion"/>
  </si>
  <si>
    <t>到職日</t>
    <phoneticPr fontId="2" type="noConversion"/>
  </si>
  <si>
    <t>陳沅承</t>
    <phoneticPr fontId="2" type="noConversion"/>
  </si>
  <si>
    <t>1月</t>
  </si>
  <si>
    <t>區域/月份</t>
    <phoneticPr fontId="2" type="noConversion"/>
  </si>
  <si>
    <t>辨公室</t>
    <phoneticPr fontId="2" type="noConversion"/>
  </si>
  <si>
    <t>工廠</t>
    <phoneticPr fontId="2" type="noConversion"/>
  </si>
  <si>
    <t>亦傑小計</t>
    <phoneticPr fontId="2" type="noConversion"/>
  </si>
  <si>
    <t>亦傑+欣鮮</t>
    <phoneticPr fontId="2" type="noConversion"/>
  </si>
  <si>
    <t>月</t>
    <phoneticPr fontId="2" type="noConversion"/>
  </si>
  <si>
    <t>工作
時(日)數</t>
    <phoneticPr fontId="2" type="noConversion"/>
  </si>
  <si>
    <t>全勤
獎金</t>
    <phoneticPr fontId="2" type="noConversion"/>
  </si>
  <si>
    <t>艾克爾</t>
    <phoneticPr fontId="2" type="noConversion"/>
  </si>
  <si>
    <t>宵夜</t>
    <phoneticPr fontId="2" type="noConversion"/>
  </si>
  <si>
    <t>加班費</t>
    <phoneticPr fontId="2" type="noConversion"/>
  </si>
  <si>
    <t>欣鮮-艾克爾</t>
    <phoneticPr fontId="2" type="noConversion"/>
  </si>
  <si>
    <t>班別</t>
    <phoneticPr fontId="2" type="noConversion"/>
  </si>
  <si>
    <t>黃杏梅</t>
    <phoneticPr fontId="2" type="noConversion"/>
  </si>
  <si>
    <t>特休天數</t>
    <phoneticPr fontId="2" type="noConversion"/>
  </si>
  <si>
    <t>特休天數</t>
  </si>
  <si>
    <t>12月</t>
    <phoneticPr fontId="2" type="noConversion"/>
  </si>
  <si>
    <t>合計</t>
    <phoneticPr fontId="2" type="noConversion"/>
  </si>
  <si>
    <t>月份薪資紀錄    工作區: 辦公室</t>
  </si>
  <si>
    <t>到職</t>
    <phoneticPr fontId="2" type="noConversion"/>
  </si>
  <si>
    <t>104/11/05</t>
    <phoneticPr fontId="2" type="noConversion"/>
  </si>
  <si>
    <t>劉寶治</t>
    <phoneticPr fontId="2" type="noConversion"/>
  </si>
  <si>
    <t>陳淑愛</t>
    <phoneticPr fontId="2" type="noConversion"/>
  </si>
  <si>
    <t>獎金預留</t>
    <phoneticPr fontId="2" type="noConversion"/>
  </si>
  <si>
    <t xml:space="preserve"> </t>
    <phoneticPr fontId="2" type="noConversion"/>
  </si>
  <si>
    <t>林嘉虹</t>
    <phoneticPr fontId="2" type="noConversion"/>
  </si>
  <si>
    <t>亦傑公司</t>
    <phoneticPr fontId="2" type="noConversion"/>
  </si>
  <si>
    <t>黃家容</t>
  </si>
  <si>
    <t>備註</t>
    <phoneticPr fontId="2" type="noConversion"/>
  </si>
  <si>
    <t>阿利平</t>
    <phoneticPr fontId="2" type="noConversion"/>
  </si>
  <si>
    <t>假日班</t>
    <phoneticPr fontId="2" type="noConversion"/>
  </si>
  <si>
    <t>加班費     合計(元)</t>
  </si>
  <si>
    <t>H</t>
    <phoneticPr fontId="2" type="noConversion"/>
  </si>
  <si>
    <t>備註</t>
    <phoneticPr fontId="2" type="noConversion"/>
  </si>
  <si>
    <t>加保    金額</t>
    <phoneticPr fontId="2" type="noConversion"/>
  </si>
  <si>
    <t>截圖</t>
    <phoneticPr fontId="2" type="noConversion"/>
  </si>
  <si>
    <t>艾克爾      (上工天數)</t>
  </si>
  <si>
    <t>加總(時數)</t>
    <phoneticPr fontId="2" type="noConversion"/>
  </si>
  <si>
    <t>時數</t>
    <phoneticPr fontId="2" type="noConversion"/>
  </si>
  <si>
    <t>有扣特休跟不足時數的,補寫特休及假單</t>
    <phoneticPr fontId="2" type="noConversion"/>
  </si>
  <si>
    <t>勞.健.退  合計</t>
    <phoneticPr fontId="2" type="noConversion"/>
  </si>
  <si>
    <t>英業達</t>
    <phoneticPr fontId="2" type="noConversion"/>
  </si>
  <si>
    <t>英業達</t>
    <phoneticPr fontId="2" type="noConversion"/>
  </si>
  <si>
    <t>早餐/日</t>
    <phoneticPr fontId="2" type="noConversion"/>
  </si>
  <si>
    <t>P棟</t>
  </si>
  <si>
    <t>P棟</t>
    <phoneticPr fontId="2" type="noConversion"/>
  </si>
  <si>
    <t>上6天給1天假日</t>
    <phoneticPr fontId="2" type="noConversion"/>
  </si>
  <si>
    <t>加班</t>
    <phoneticPr fontId="2" type="noConversion"/>
  </si>
  <si>
    <t>天數</t>
    <phoneticPr fontId="2" type="noConversion"/>
  </si>
  <si>
    <t>要給翻譯的薪資表</t>
    <phoneticPr fontId="2" type="noConversion"/>
  </si>
  <si>
    <t>薪資 合計</t>
    <phoneticPr fontId="2" type="noConversion"/>
  </si>
  <si>
    <t xml:space="preserve">  亦傑    時數</t>
    <phoneticPr fontId="2" type="noConversion"/>
  </si>
  <si>
    <t xml:space="preserve"> 艾克爾     時數</t>
    <phoneticPr fontId="2" type="noConversion"/>
  </si>
  <si>
    <t>亦傑上工天數(時數)</t>
    <phoneticPr fontId="2" type="noConversion"/>
  </si>
  <si>
    <t xml:space="preserve">  加班   時數</t>
    <phoneticPr fontId="2" type="noConversion"/>
  </si>
  <si>
    <t>職務    津貼</t>
    <phoneticPr fontId="2" type="noConversion"/>
  </si>
  <si>
    <t>績效      獎金</t>
    <phoneticPr fontId="2" type="noConversion"/>
  </si>
  <si>
    <t>薪資小計</t>
    <phoneticPr fontId="2" type="noConversion"/>
  </si>
  <si>
    <t>薪資        小計</t>
    <phoneticPr fontId="2" type="noConversion"/>
  </si>
  <si>
    <t>欣鮮特休     天數</t>
    <phoneticPr fontId="2" type="noConversion"/>
  </si>
  <si>
    <t>亦傑特休天數</t>
    <phoneticPr fontId="2" type="noConversion"/>
  </si>
  <si>
    <t>喪假</t>
    <phoneticPr fontId="2" type="noConversion"/>
  </si>
  <si>
    <r>
      <t>特休</t>
    </r>
    <r>
      <rPr>
        <b/>
        <sz val="14"/>
        <color rgb="FFFF0000"/>
        <rFont val="新細明體"/>
        <family val="1"/>
        <charset val="136"/>
      </rPr>
      <t>時數</t>
    </r>
    <phoneticPr fontId="2" type="noConversion"/>
  </si>
  <si>
    <t>劉玉華</t>
  </si>
  <si>
    <t xml:space="preserve"> 計算      (天) 數</t>
    <phoneticPr fontId="2" type="noConversion"/>
  </si>
  <si>
    <t>假日/時</t>
    <phoneticPr fontId="2" type="noConversion"/>
  </si>
  <si>
    <t>平日班</t>
    <phoneticPr fontId="2" type="noConversion"/>
  </si>
  <si>
    <t>2月病假</t>
    <phoneticPr fontId="2" type="noConversion"/>
  </si>
  <si>
    <r>
      <t>其他請假( 婚喪喜慶.病假.生理假)</t>
    </r>
    <r>
      <rPr>
        <b/>
        <sz val="14"/>
        <color rgb="FFFF0000"/>
        <rFont val="新細明體"/>
        <family val="1"/>
        <charset val="136"/>
      </rPr>
      <t>天數</t>
    </r>
    <phoneticPr fontId="2" type="noConversion"/>
  </si>
  <si>
    <r>
      <t xml:space="preserve">其他請假( 婚喪喜慶.病假.生理假)   </t>
    </r>
    <r>
      <rPr>
        <b/>
        <sz val="14"/>
        <color rgb="FFFF0000"/>
        <rFont val="新細明體"/>
        <family val="1"/>
        <charset val="136"/>
      </rPr>
      <t>時數</t>
    </r>
    <r>
      <rPr>
        <b/>
        <sz val="14"/>
        <rFont val="新細明體"/>
        <family val="1"/>
        <charset val="136"/>
      </rPr>
      <t>(以天數計算.旁邊會註記.其餘都是時數)</t>
    </r>
    <phoneticPr fontId="2" type="noConversion"/>
  </si>
  <si>
    <t>1月  事假</t>
    <phoneticPr fontId="2" type="noConversion"/>
  </si>
  <si>
    <t>2月  事假</t>
    <phoneticPr fontId="2" type="noConversion"/>
  </si>
  <si>
    <t>5月  病假</t>
    <phoneticPr fontId="2" type="noConversion"/>
  </si>
  <si>
    <t>5月  事假</t>
    <phoneticPr fontId="2" type="noConversion"/>
  </si>
  <si>
    <t>6月  事假</t>
    <phoneticPr fontId="2" type="noConversion"/>
  </si>
  <si>
    <t>3月    事假</t>
    <phoneticPr fontId="2" type="noConversion"/>
  </si>
  <si>
    <t>6月  病假</t>
    <phoneticPr fontId="2" type="noConversion"/>
  </si>
  <si>
    <t>4月    事假</t>
    <phoneticPr fontId="2" type="noConversion"/>
  </si>
  <si>
    <t>宵/時</t>
    <phoneticPr fontId="2" type="noConversion"/>
  </si>
  <si>
    <t>來上班時已說明是6+1,或5+2的薪資</t>
    <phoneticPr fontId="2" type="noConversion"/>
  </si>
  <si>
    <t>上6天給1天假日,</t>
    <phoneticPr fontId="2" type="noConversion"/>
  </si>
  <si>
    <t xml:space="preserve">   應領      小計</t>
    <phoneticPr fontId="2" type="noConversion"/>
  </si>
  <si>
    <t>鍾美金</t>
    <phoneticPr fontId="2" type="noConversion"/>
  </si>
  <si>
    <t xml:space="preserve"> 職務       津貼</t>
    <phoneticPr fontId="2" type="noConversion"/>
  </si>
  <si>
    <t>7月  事假</t>
    <phoneticPr fontId="2" type="noConversion"/>
  </si>
  <si>
    <t>7月  病假</t>
    <phoneticPr fontId="2" type="noConversion"/>
  </si>
  <si>
    <t>鍾美金</t>
    <phoneticPr fontId="2" type="noConversion"/>
  </si>
  <si>
    <t>煮菜   獎金</t>
    <phoneticPr fontId="2" type="noConversion"/>
  </si>
  <si>
    <t>單尼爾</t>
    <phoneticPr fontId="2" type="noConversion"/>
  </si>
  <si>
    <t>3月   病假</t>
    <phoneticPr fontId="2" type="noConversion"/>
  </si>
  <si>
    <t>8月  事假</t>
    <phoneticPr fontId="2" type="noConversion"/>
  </si>
  <si>
    <t>8月  病假</t>
    <phoneticPr fontId="2" type="noConversion"/>
  </si>
  <si>
    <t>8月   喪假</t>
    <phoneticPr fontId="2" type="noConversion"/>
  </si>
  <si>
    <t>轉帳</t>
    <phoneticPr fontId="2" type="noConversion"/>
  </si>
  <si>
    <t>轉</t>
    <phoneticPr fontId="2" type="noConversion"/>
  </si>
  <si>
    <t>4月    病假</t>
    <phoneticPr fontId="2" type="noConversion"/>
  </si>
  <si>
    <t>9月  病假</t>
    <phoneticPr fontId="2" type="noConversion"/>
  </si>
  <si>
    <t>9月  事假</t>
    <phoneticPr fontId="2" type="noConversion"/>
  </si>
  <si>
    <t>10月  病假</t>
    <phoneticPr fontId="2" type="noConversion"/>
  </si>
  <si>
    <t>黃明娟</t>
    <phoneticPr fontId="2" type="noConversion"/>
  </si>
  <si>
    <t>劉寶治</t>
    <phoneticPr fontId="2" type="noConversion"/>
  </si>
  <si>
    <t>仲介費</t>
    <phoneticPr fontId="2" type="noConversion"/>
  </si>
  <si>
    <t>給績效獎金1000元為炸油鍋</t>
    <phoneticPr fontId="2" type="noConversion"/>
  </si>
  <si>
    <t>11月  事假</t>
    <phoneticPr fontId="2" type="noConversion"/>
  </si>
  <si>
    <t>1-11事假(天數)</t>
    <phoneticPr fontId="2" type="noConversion"/>
  </si>
  <si>
    <t>1-11病假(天數)</t>
    <phoneticPr fontId="2" type="noConversion"/>
  </si>
  <si>
    <t>1-11防疫假(天數)</t>
    <phoneticPr fontId="2" type="noConversion"/>
  </si>
  <si>
    <t>1-11喪假(天數)</t>
    <phoneticPr fontId="2" type="noConversion"/>
  </si>
  <si>
    <t>亦</t>
    <phoneticPr fontId="2" type="noConversion"/>
  </si>
  <si>
    <t>12月  病假</t>
    <phoneticPr fontId="2" type="noConversion"/>
  </si>
  <si>
    <t>12月  事假</t>
    <phoneticPr fontId="2" type="noConversion"/>
  </si>
  <si>
    <t>1-12事假(天數)</t>
    <phoneticPr fontId="2" type="noConversion"/>
  </si>
  <si>
    <t>1-12病假(天數)</t>
    <phoneticPr fontId="2" type="noConversion"/>
  </si>
  <si>
    <t>1-12防疫假(天數)</t>
    <phoneticPr fontId="2" type="noConversion"/>
  </si>
  <si>
    <t>1-12喪假(天數)</t>
    <phoneticPr fontId="2" type="noConversion"/>
  </si>
  <si>
    <t>合計  請假天數</t>
    <phoneticPr fontId="2" type="noConversion"/>
  </si>
  <si>
    <t>請假照比例扣職務跟績效煮菜獎金</t>
    <phoneticPr fontId="2" type="noConversion"/>
  </si>
  <si>
    <t>黃景恆</t>
  </si>
  <si>
    <t>威卡</t>
    <phoneticPr fontId="2" type="noConversion"/>
  </si>
  <si>
    <t>欣-26400亦-11100</t>
    <phoneticPr fontId="2" type="noConversion"/>
  </si>
  <si>
    <t>黃景恆</t>
    <phoneticPr fontId="2" type="noConversion"/>
  </si>
  <si>
    <t>單尼爾</t>
  </si>
  <si>
    <t>威卡</t>
  </si>
  <si>
    <t>財-跟老闆買機車 ,每月扣1500</t>
    <phoneticPr fontId="2" type="noConversion"/>
  </si>
  <si>
    <t>尚欠款</t>
    <phoneticPr fontId="2" type="noConversion"/>
  </si>
  <si>
    <t>總額</t>
    <phoneticPr fontId="2" type="noConversion"/>
  </si>
  <si>
    <t>償還</t>
    <phoneticPr fontId="2" type="noConversion"/>
  </si>
  <si>
    <t>財機車分期-1500</t>
    <phoneticPr fontId="2" type="noConversion"/>
  </si>
  <si>
    <t>住宿不扣</t>
    <phoneticPr fontId="2" type="noConversion"/>
  </si>
  <si>
    <t>1月病假</t>
    <phoneticPr fontId="2" type="noConversion"/>
  </si>
  <si>
    <t>姓名</t>
    <phoneticPr fontId="2" type="noConversion"/>
  </si>
  <si>
    <t>到職日</t>
    <phoneticPr fontId="2" type="noConversion"/>
  </si>
  <si>
    <t>可休特休</t>
    <phoneticPr fontId="2" type="noConversion"/>
  </si>
  <si>
    <t>已休特休</t>
    <phoneticPr fontId="2" type="noConversion"/>
  </si>
  <si>
    <t>勞保加保日</t>
    <phoneticPr fontId="2" type="noConversion"/>
  </si>
  <si>
    <t>大溪</t>
    <phoneticPr fontId="2" type="noConversion"/>
  </si>
  <si>
    <t>龜山</t>
    <phoneticPr fontId="2" type="noConversion"/>
  </si>
  <si>
    <t>另補特休</t>
    <phoneticPr fontId="2" type="noConversion"/>
  </si>
  <si>
    <t>宵幫/時薪</t>
    <phoneticPr fontId="2" type="noConversion"/>
  </si>
  <si>
    <t>明道</t>
    <phoneticPr fontId="2" type="noConversion"/>
  </si>
  <si>
    <t>(日.時.月)  薪</t>
    <phoneticPr fontId="2" type="noConversion"/>
  </si>
  <si>
    <t>3月    喪假</t>
    <phoneticPr fontId="2" type="noConversion"/>
  </si>
  <si>
    <t>月業積    達成獎金</t>
    <phoneticPr fontId="2" type="noConversion"/>
  </si>
  <si>
    <t>素食     獎金</t>
    <phoneticPr fontId="2" type="noConversion"/>
  </si>
  <si>
    <t>宵夜/時薪</t>
    <phoneticPr fontId="2" type="noConversion"/>
  </si>
  <si>
    <t>加班費</t>
    <phoneticPr fontId="2" type="noConversion"/>
  </si>
  <si>
    <t>加班　　　時數</t>
    <phoneticPr fontId="2" type="noConversion"/>
  </si>
  <si>
    <t>勞.健.退休　　　　合計</t>
    <phoneticPr fontId="2" type="noConversion"/>
  </si>
  <si>
    <t>3/3進住 4/6 加團險</t>
    <phoneticPr fontId="2" type="noConversion"/>
  </si>
  <si>
    <t>薪資       小計</t>
    <phoneticPr fontId="2" type="noConversion"/>
  </si>
  <si>
    <t>彭順達</t>
    <phoneticPr fontId="2" type="noConversion"/>
  </si>
  <si>
    <t>4月    喪假</t>
    <phoneticPr fontId="2" type="noConversion"/>
  </si>
  <si>
    <t>日班/時薪</t>
  </si>
  <si>
    <t>績效  獎金</t>
    <phoneticPr fontId="2" type="noConversion"/>
  </si>
  <si>
    <t>特休      結算天數</t>
    <phoneticPr fontId="2" type="noConversion"/>
  </si>
  <si>
    <t>特休     金額</t>
    <phoneticPr fontId="2" type="noConversion"/>
  </si>
  <si>
    <t>7</t>
    <phoneticPr fontId="2" type="noConversion"/>
  </si>
  <si>
    <t>劉添財-2</t>
    <phoneticPr fontId="2" type="noConversion"/>
  </si>
  <si>
    <t>劉添財-1</t>
    <phoneticPr fontId="2" type="noConversion"/>
  </si>
  <si>
    <t>業積獎金</t>
    <phoneticPr fontId="2" type="noConversion"/>
  </si>
  <si>
    <t>凃淑雅</t>
    <phoneticPr fontId="2" type="noConversion"/>
  </si>
  <si>
    <t>黃成泰</t>
    <phoneticPr fontId="2" type="noConversion"/>
  </si>
  <si>
    <t>退休金</t>
    <phoneticPr fontId="2" type="noConversion"/>
  </si>
  <si>
    <t>轉</t>
    <phoneticPr fontId="2" type="noConversion"/>
  </si>
  <si>
    <t>黃成泰-2</t>
    <phoneticPr fontId="2" type="noConversion"/>
  </si>
  <si>
    <t>陳嘉佑</t>
    <phoneticPr fontId="2" type="noConversion"/>
  </si>
  <si>
    <t>第三責任險</t>
    <phoneticPr fontId="2" type="noConversion"/>
  </si>
  <si>
    <t>5/4 保職災</t>
    <phoneticPr fontId="2" type="noConversion"/>
  </si>
  <si>
    <t>秦卉晉</t>
    <phoneticPr fontId="2" type="noConversion"/>
  </si>
  <si>
    <t>欣T6</t>
    <phoneticPr fontId="2" type="noConversion"/>
  </si>
  <si>
    <t>英業達給的特休</t>
    <phoneticPr fontId="2" type="noConversion"/>
  </si>
  <si>
    <t>生日假</t>
    <phoneticPr fontId="2" type="noConversion"/>
  </si>
  <si>
    <t>8/3結算14天,去年多給1天以26400元</t>
    <phoneticPr fontId="2" type="noConversion"/>
  </si>
  <si>
    <t>1120725已離職</t>
    <phoneticPr fontId="2" type="noConversion"/>
  </si>
  <si>
    <t>亦傑1120701調保$16500</t>
    <phoneticPr fontId="2" type="noConversion"/>
  </si>
  <si>
    <t>亦-11100</t>
    <phoneticPr fontId="2" type="noConversion"/>
  </si>
  <si>
    <t>9月  喪假</t>
    <phoneticPr fontId="2" type="noConversion"/>
  </si>
  <si>
    <t>7/15到職 亦11100 欣33300(10/1調)</t>
    <phoneticPr fontId="2" type="noConversion"/>
  </si>
  <si>
    <t>蘇秀育</t>
    <phoneticPr fontId="2" type="noConversion"/>
  </si>
  <si>
    <t>轉帳</t>
  </si>
  <si>
    <t>洪桂華</t>
    <phoneticPr fontId="2" type="noConversion"/>
  </si>
  <si>
    <t>日班/月薪</t>
    <phoneticPr fontId="2" type="noConversion"/>
  </si>
  <si>
    <t>上5天給2天假日,</t>
    <phoneticPr fontId="2" type="noConversion"/>
  </si>
  <si>
    <t>11月  病假</t>
    <phoneticPr fontId="2" type="noConversion"/>
  </si>
  <si>
    <t>T6/司機</t>
    <phoneticPr fontId="2" type="noConversion"/>
  </si>
  <si>
    <t>113年</t>
    <phoneticPr fontId="2" type="noConversion"/>
  </si>
  <si>
    <t>陳嘉佑</t>
    <phoneticPr fontId="2" type="noConversion"/>
  </si>
  <si>
    <t>111/1210</t>
    <phoneticPr fontId="2" type="noConversion"/>
  </si>
  <si>
    <t>112/1/10</t>
    <phoneticPr fontId="2" type="noConversion"/>
  </si>
  <si>
    <t>112/2/10</t>
    <phoneticPr fontId="2" type="noConversion"/>
  </si>
  <si>
    <t>112/3/10</t>
    <phoneticPr fontId="2" type="noConversion"/>
  </si>
  <si>
    <t>112/4/10</t>
    <phoneticPr fontId="2" type="noConversion"/>
  </si>
  <si>
    <t>112/5/10</t>
    <phoneticPr fontId="2" type="noConversion"/>
  </si>
  <si>
    <t>112/6/10</t>
    <phoneticPr fontId="2" type="noConversion"/>
  </si>
  <si>
    <t>112/7/10</t>
    <phoneticPr fontId="2" type="noConversion"/>
  </si>
  <si>
    <t>112/8/10</t>
    <phoneticPr fontId="2" type="noConversion"/>
  </si>
  <si>
    <t>112/9/10</t>
    <phoneticPr fontId="2" type="noConversion"/>
  </si>
  <si>
    <t>112/10/10</t>
    <phoneticPr fontId="2" type="noConversion"/>
  </si>
  <si>
    <t>112/11/10</t>
    <phoneticPr fontId="2" type="noConversion"/>
  </si>
  <si>
    <t>112/12/10</t>
    <phoneticPr fontId="2" type="noConversion"/>
  </si>
  <si>
    <t>扣款日期</t>
    <phoneticPr fontId="2" type="noConversion"/>
  </si>
  <si>
    <t>112/2/10未扣</t>
    <phoneticPr fontId="2" type="noConversion"/>
  </si>
  <si>
    <t>112/3/10未扣</t>
    <phoneticPr fontId="2" type="noConversion"/>
  </si>
  <si>
    <t>112/4/10未扣</t>
    <phoneticPr fontId="2" type="noConversion"/>
  </si>
  <si>
    <t>未扣款</t>
    <phoneticPr fontId="2" type="noConversion"/>
  </si>
  <si>
    <r>
      <t xml:space="preserve">財-跟老闆買機車 ,每月扣1500 -    </t>
    </r>
    <r>
      <rPr>
        <sz val="12"/>
        <rFont val="新細明體"/>
        <family val="1"/>
        <charset val="136"/>
      </rPr>
      <t>1130121制</t>
    </r>
    <phoneticPr fontId="2" type="noConversion"/>
  </si>
  <si>
    <t>明道-2</t>
    <phoneticPr fontId="2" type="noConversion"/>
  </si>
  <si>
    <t>彭順達</t>
    <phoneticPr fontId="2" type="noConversion"/>
  </si>
  <si>
    <t>財,美金  (薪資表列-不扣2500                                111年7月份開始住宿費不扣已外宿</t>
    <phoneticPr fontId="2" type="noConversion"/>
  </si>
  <si>
    <t>113年特休</t>
    <phoneticPr fontId="2" type="noConversion"/>
  </si>
  <si>
    <t>蕭沅多</t>
    <phoneticPr fontId="2" type="noConversion"/>
  </si>
  <si>
    <t>尹多曼</t>
    <phoneticPr fontId="2" type="noConversion"/>
  </si>
  <si>
    <t>尹多曼</t>
    <phoneticPr fontId="2" type="noConversion"/>
  </si>
  <si>
    <t>過年值班薪資計算,領月薪再加上班多少小時</t>
    <phoneticPr fontId="2" type="noConversion"/>
  </si>
  <si>
    <t>亦傑</t>
    <phoneticPr fontId="2" type="noConversion"/>
  </si>
  <si>
    <t>賴淑惠</t>
    <phoneticPr fontId="2" type="noConversion"/>
  </si>
  <si>
    <t>天</t>
    <phoneticPr fontId="2" type="noConversion"/>
  </si>
  <si>
    <t>天</t>
    <phoneticPr fontId="2" type="noConversion"/>
  </si>
  <si>
    <t>賴姿伶</t>
    <phoneticPr fontId="2" type="noConversion"/>
  </si>
  <si>
    <t xml:space="preserve">年 </t>
    <phoneticPr fontId="2" type="noConversion"/>
  </si>
  <si>
    <t>月份  欣鮮薪資表</t>
    <phoneticPr fontId="2" type="noConversion"/>
  </si>
  <si>
    <t>應發放明細</t>
    <phoneticPr fontId="2" type="noConversion"/>
  </si>
  <si>
    <t>應扣明細</t>
    <phoneticPr fontId="2" type="noConversion"/>
  </si>
  <si>
    <t xml:space="preserve">   姓名</t>
  </si>
  <si>
    <t>本薪</t>
  </si>
  <si>
    <t>全勤獎金</t>
  </si>
  <si>
    <t>職務津貼</t>
    <phoneticPr fontId="2" type="noConversion"/>
  </si>
  <si>
    <t>績效獎金</t>
  </si>
  <si>
    <t>業務   獎金</t>
    <phoneticPr fontId="2" type="noConversion"/>
  </si>
  <si>
    <t>月業積  達成獎金</t>
    <phoneticPr fontId="2" type="noConversion"/>
  </si>
  <si>
    <t xml:space="preserve">    應領   
  合計</t>
    <phoneticPr fontId="2" type="noConversion"/>
  </si>
  <si>
    <t>勞保費</t>
    <phoneticPr fontId="2" type="noConversion"/>
  </si>
  <si>
    <t>健保費</t>
    <phoneticPr fontId="2" type="noConversion"/>
  </si>
  <si>
    <t>意外險</t>
    <phoneticPr fontId="2" type="noConversion"/>
  </si>
  <si>
    <t>借支</t>
    <phoneticPr fontId="2" type="noConversion"/>
  </si>
  <si>
    <t>食宿費  (代扣6%)</t>
    <phoneticPr fontId="2" type="noConversion"/>
  </si>
  <si>
    <t>應扣</t>
    <phoneticPr fontId="60" type="noConversion"/>
  </si>
  <si>
    <t>實領</t>
    <phoneticPr fontId="60" type="noConversion"/>
  </si>
  <si>
    <t>薪轉戶</t>
    <phoneticPr fontId="2" type="noConversion"/>
  </si>
  <si>
    <t>亦傑匯款</t>
    <phoneticPr fontId="2" type="noConversion"/>
  </si>
  <si>
    <t>欣鮮匯款</t>
    <phoneticPr fontId="2" type="noConversion"/>
  </si>
  <si>
    <t>總計</t>
    <phoneticPr fontId="2" type="noConversion"/>
  </si>
  <si>
    <t>合計</t>
    <phoneticPr fontId="60" type="noConversion"/>
  </si>
  <si>
    <t>金額</t>
    <phoneticPr fontId="60" type="noConversion"/>
  </si>
  <si>
    <t>陳大維</t>
  </si>
  <si>
    <t>鄒琇如</t>
  </si>
  <si>
    <t>總額</t>
  </si>
  <si>
    <t>單位/元</t>
  </si>
  <si>
    <t>張數</t>
  </si>
  <si>
    <t>陳沅承</t>
  </si>
  <si>
    <t>1120524加職保不健保</t>
    <phoneticPr fontId="2" type="noConversion"/>
  </si>
  <si>
    <t>領現</t>
    <phoneticPr fontId="2" type="noConversion"/>
  </si>
  <si>
    <t>黃景恆-2</t>
  </si>
  <si>
    <t>TOTAL(1)</t>
  </si>
  <si>
    <t>欣鮮企業有限公司</t>
    <phoneticPr fontId="2" type="noConversion"/>
  </si>
  <si>
    <t>年度薪資表</t>
    <phoneticPr fontId="2" type="noConversion"/>
  </si>
  <si>
    <t>5.姓名</t>
    <phoneticPr fontId="2" type="noConversion"/>
  </si>
  <si>
    <t>工作區:</t>
    <phoneticPr fontId="2" type="noConversion"/>
  </si>
  <si>
    <t>月份</t>
    <phoneticPr fontId="2" type="noConversion"/>
  </si>
  <si>
    <t>領薪方式</t>
    <phoneticPr fontId="2" type="noConversion"/>
  </si>
  <si>
    <t>6.姓名</t>
    <phoneticPr fontId="2" type="noConversion"/>
  </si>
  <si>
    <t>7.姓名</t>
    <phoneticPr fontId="2" type="noConversion"/>
  </si>
  <si>
    <t>8.姓名</t>
    <phoneticPr fontId="2" type="noConversion"/>
  </si>
  <si>
    <t>13.姓名</t>
    <phoneticPr fontId="2" type="noConversion"/>
  </si>
  <si>
    <t>14.姓名</t>
    <phoneticPr fontId="2" type="noConversion"/>
  </si>
  <si>
    <t>18.姓名</t>
    <phoneticPr fontId="2" type="noConversion"/>
  </si>
  <si>
    <t>1.姓名</t>
    <phoneticPr fontId="2" type="noConversion"/>
  </si>
  <si>
    <t>2.姓名</t>
    <phoneticPr fontId="2" type="noConversion"/>
  </si>
  <si>
    <t>3.姓名</t>
    <phoneticPr fontId="2" type="noConversion"/>
  </si>
  <si>
    <t>4.姓名</t>
    <phoneticPr fontId="2" type="noConversion"/>
  </si>
  <si>
    <t>薪資包括內容:</t>
  </si>
  <si>
    <t>薪資包括內容:</t>
    <phoneticPr fontId="2" type="noConversion"/>
  </si>
  <si>
    <t>基本薪資</t>
    <phoneticPr fontId="2" type="noConversion"/>
  </si>
  <si>
    <t>宵夜/日薪</t>
  </si>
  <si>
    <t>金額</t>
    <phoneticPr fontId="2" type="noConversion"/>
  </si>
  <si>
    <t>時薪</t>
    <phoneticPr fontId="2" type="noConversion"/>
  </si>
  <si>
    <t>早餐/日薪</t>
    <phoneticPr fontId="2" type="noConversion"/>
  </si>
  <si>
    <t>日薪</t>
    <phoneticPr fontId="2" type="noConversion"/>
  </si>
  <si>
    <t>日班時薪</t>
    <phoneticPr fontId="2" type="noConversion"/>
  </si>
  <si>
    <t>計薪日</t>
  </si>
  <si>
    <t>日/時薪</t>
    <phoneticPr fontId="2" type="noConversion"/>
  </si>
  <si>
    <t>小時</t>
    <phoneticPr fontId="2" type="noConversion"/>
  </si>
  <si>
    <t>全勤獎金</t>
    <phoneticPr fontId="2" type="noConversion"/>
  </si>
  <si>
    <t>職務獎金</t>
    <phoneticPr fontId="2" type="noConversion"/>
  </si>
  <si>
    <t>績效獎金</t>
    <phoneticPr fontId="2" type="noConversion"/>
  </si>
  <si>
    <t>加班時薪</t>
    <phoneticPr fontId="2" type="noConversion"/>
  </si>
  <si>
    <t>業務獎金</t>
    <phoneticPr fontId="2" type="noConversion"/>
  </si>
  <si>
    <t>月業積          達成獎金</t>
    <phoneticPr fontId="2" type="noConversion"/>
  </si>
  <si>
    <t>應領總額</t>
    <phoneticPr fontId="2" type="noConversion"/>
  </si>
  <si>
    <t>扣除額</t>
    <phoneticPr fontId="2" type="noConversion"/>
  </si>
  <si>
    <t>健保費*3</t>
    <phoneticPr fontId="2" type="noConversion"/>
  </si>
  <si>
    <t>食宿費</t>
    <phoneticPr fontId="2" type="noConversion"/>
  </si>
  <si>
    <t>應扣總額</t>
    <phoneticPr fontId="2" type="noConversion"/>
  </si>
  <si>
    <t>本月實領金額</t>
    <phoneticPr fontId="2" type="noConversion"/>
  </si>
  <si>
    <t>亦傑有限公司</t>
    <phoneticPr fontId="2" type="noConversion"/>
  </si>
  <si>
    <t>領薪方式</t>
    <phoneticPr fontId="77" type="noConversion"/>
  </si>
  <si>
    <t>黃杏梅</t>
  </si>
  <si>
    <t>劉寶治</t>
    <phoneticPr fontId="77" type="noConversion"/>
  </si>
  <si>
    <t>陳淑愛</t>
  </si>
  <si>
    <t>.姓名</t>
    <phoneticPr fontId="2" type="noConversion"/>
  </si>
  <si>
    <t>賴淑惠</t>
    <phoneticPr fontId="77" type="noConversion"/>
  </si>
  <si>
    <t>工作區</t>
    <phoneticPr fontId="77" type="noConversion"/>
  </si>
  <si>
    <t>轉帳</t>
    <phoneticPr fontId="77" type="noConversion"/>
  </si>
  <si>
    <t>英業達-龜山</t>
    <phoneticPr fontId="77" type="noConversion"/>
  </si>
  <si>
    <t>現金</t>
    <phoneticPr fontId="77" type="noConversion"/>
  </si>
  <si>
    <t>英業達-大溪</t>
    <phoneticPr fontId="77" type="noConversion"/>
  </si>
  <si>
    <r>
      <t>轉帳+</t>
    </r>
    <r>
      <rPr>
        <b/>
        <sz val="18"/>
        <color rgb="FFFF0000"/>
        <rFont val="新細明體"/>
        <family val="1"/>
        <charset val="136"/>
        <scheme val="minor"/>
      </rPr>
      <t>現金</t>
    </r>
    <phoneticPr fontId="77" type="noConversion"/>
  </si>
  <si>
    <t>時薪</t>
    <phoneticPr fontId="77" type="noConversion"/>
  </si>
  <si>
    <t>底薪</t>
    <phoneticPr fontId="2" type="noConversion"/>
  </si>
  <si>
    <t>時數</t>
    <phoneticPr fontId="77" type="noConversion"/>
  </si>
  <si>
    <t>計薪日</t>
    <phoneticPr fontId="77" type="noConversion"/>
  </si>
  <si>
    <t>加班費</t>
    <phoneticPr fontId="77" type="noConversion"/>
  </si>
  <si>
    <t>加班計算</t>
    <phoneticPr fontId="77" type="noConversion"/>
  </si>
  <si>
    <t>金額</t>
    <phoneticPr fontId="77" type="noConversion"/>
  </si>
  <si>
    <t>職務津貼</t>
    <phoneticPr fontId="77" type="noConversion"/>
  </si>
  <si>
    <t>煮菜獎金</t>
    <phoneticPr fontId="77" type="noConversion"/>
  </si>
  <si>
    <t>勞保費</t>
  </si>
  <si>
    <t>勞保(職保)</t>
    <phoneticPr fontId="77" type="noConversion"/>
  </si>
  <si>
    <t>健保費</t>
  </si>
  <si>
    <t>健保費</t>
    <phoneticPr fontId="77" type="noConversion"/>
  </si>
  <si>
    <t>備註</t>
    <phoneticPr fontId="77" type="noConversion"/>
  </si>
  <si>
    <t>轉帳：25,000  現金：10,000</t>
    <phoneticPr fontId="77" type="noConversion"/>
  </si>
  <si>
    <t>月   亦傑薪資表</t>
    <phoneticPr fontId="2" type="noConversion"/>
  </si>
  <si>
    <t>工作</t>
    <phoneticPr fontId="2" type="noConversion"/>
  </si>
  <si>
    <t>薪資</t>
    <phoneticPr fontId="77" type="noConversion"/>
  </si>
  <si>
    <t>洗碗(煮菜)</t>
    <phoneticPr fontId="2" type="noConversion"/>
  </si>
  <si>
    <t>職務津貼</t>
  </si>
  <si>
    <t>考績獎金</t>
    <phoneticPr fontId="77" type="noConversion"/>
  </si>
  <si>
    <t xml:space="preserve">仲介費   托盤清洗 </t>
    <phoneticPr fontId="77" type="noConversion"/>
  </si>
  <si>
    <t>應領     
合計</t>
    <phoneticPr fontId="2" type="noConversion"/>
  </si>
  <si>
    <t>代扣</t>
    <phoneticPr fontId="77" type="noConversion"/>
  </si>
  <si>
    <t xml:space="preserve"> 應扣     合計</t>
    <phoneticPr fontId="2" type="noConversion"/>
  </si>
  <si>
    <t>匯款</t>
  </si>
  <si>
    <t>單位/元</t>
    <phoneticPr fontId="2" type="noConversion"/>
  </si>
  <si>
    <t>張數</t>
    <phoneticPr fontId="2" type="noConversion"/>
  </si>
  <si>
    <t>代號</t>
    <phoneticPr fontId="2" type="noConversion"/>
  </si>
  <si>
    <t>區域</t>
    <phoneticPr fontId="2" type="noConversion"/>
  </si>
  <si>
    <t>工廠</t>
    <phoneticPr fontId="77" type="noConversion"/>
  </si>
  <si>
    <t>劉添財-1</t>
  </si>
  <si>
    <t>威卡-1</t>
    <phoneticPr fontId="77" type="noConversion"/>
  </si>
  <si>
    <t>鍾美金</t>
  </si>
  <si>
    <t>明道</t>
    <phoneticPr fontId="77" type="noConversion"/>
  </si>
  <si>
    <t>尹多曼</t>
    <phoneticPr fontId="77" type="noConversion"/>
  </si>
  <si>
    <t>工廠-辦</t>
    <phoneticPr fontId="2" type="noConversion"/>
  </si>
  <si>
    <t>轉</t>
    <phoneticPr fontId="77" type="noConversion"/>
  </si>
  <si>
    <t>英-龜</t>
    <phoneticPr fontId="77" type="noConversion"/>
  </si>
  <si>
    <t>英-大</t>
    <phoneticPr fontId="2" type="noConversion"/>
  </si>
  <si>
    <t>劉寶治</t>
  </si>
  <si>
    <t>合計(1)</t>
    <phoneticPr fontId="2" type="noConversion"/>
  </si>
  <si>
    <t>姓名</t>
  </si>
  <si>
    <t>本薪</t>
    <phoneticPr fontId="60" type="noConversion"/>
  </si>
  <si>
    <t>合計</t>
  </si>
  <si>
    <t>辦</t>
    <phoneticPr fontId="2" type="noConversion"/>
  </si>
  <si>
    <t>公</t>
    <phoneticPr fontId="2" type="noConversion"/>
  </si>
  <si>
    <t>042</t>
    <phoneticPr fontId="2" type="noConversion"/>
  </si>
  <si>
    <t>室</t>
    <phoneticPr fontId="2" type="noConversion"/>
  </si>
  <si>
    <t>唐德文</t>
  </si>
  <si>
    <t>合計(2)</t>
    <phoneticPr fontId="2" type="noConversion"/>
  </si>
  <si>
    <t>(1)+(2)</t>
  </si>
  <si>
    <t>匯款</t>
    <phoneticPr fontId="77" type="noConversion"/>
  </si>
  <si>
    <t>亦傑</t>
    <phoneticPr fontId="77" type="noConversion"/>
  </si>
  <si>
    <t>轉欣鮮兼職薪資</t>
    <phoneticPr fontId="77" type="noConversion"/>
  </si>
  <si>
    <t>合計</t>
    <phoneticPr fontId="77" type="noConversion"/>
  </si>
  <si>
    <t>領現薪資-11302</t>
    <phoneticPr fontId="2" type="noConversion"/>
  </si>
  <si>
    <t>領現薪資-11303</t>
    <phoneticPr fontId="2" type="noConversion"/>
  </si>
  <si>
    <t>領現薪資-11208</t>
    <phoneticPr fontId="2" type="noConversion"/>
  </si>
  <si>
    <t>領現薪資-11209</t>
    <phoneticPr fontId="2" type="noConversion"/>
  </si>
  <si>
    <t>領現薪資-11210</t>
    <phoneticPr fontId="2" type="noConversion"/>
  </si>
  <si>
    <t>領現薪資-11212</t>
    <phoneticPr fontId="2" type="noConversion"/>
  </si>
  <si>
    <t>合計張數</t>
    <phoneticPr fontId="2" type="noConversion"/>
  </si>
  <si>
    <t>薪資轉帳</t>
    <phoneticPr fontId="2" type="noConversion"/>
  </si>
  <si>
    <t>現金提領</t>
    <phoneticPr fontId="77" type="noConversion"/>
  </si>
  <si>
    <t>零用金支出</t>
    <phoneticPr fontId="2" type="noConversion"/>
  </si>
  <si>
    <t>領現薪資-11207</t>
    <phoneticPr fontId="2" type="noConversion"/>
  </si>
  <si>
    <t>薪資             小計</t>
    <phoneticPr fontId="2" type="noConversion"/>
  </si>
  <si>
    <t>平日班-工廠</t>
    <phoneticPr fontId="2" type="noConversion"/>
  </si>
  <si>
    <t>11304從工廠改至艾克爾</t>
    <phoneticPr fontId="2" type="noConversion"/>
  </si>
  <si>
    <t>送便當獎金</t>
    <phoneticPr fontId="2" type="noConversion"/>
  </si>
  <si>
    <t>113/5/13退老婆眷屬,另保亦傑兼職;亦11100 欣40100(112/10/1調)加老婆眷屬保</t>
    <phoneticPr fontId="2" type="noConversion"/>
  </si>
  <si>
    <t>徐秀宜</t>
  </si>
  <si>
    <t>莊秀櫻</t>
  </si>
  <si>
    <t>莊秀櫻</t>
    <phoneticPr fontId="2" type="noConversion"/>
  </si>
  <si>
    <t>蕭沅多</t>
  </si>
  <si>
    <t>蘇秀育</t>
  </si>
  <si>
    <t>11小時後*1.67      (時數)</t>
    <phoneticPr fontId="2" type="noConversion"/>
  </si>
  <si>
    <t>早餐</t>
    <phoneticPr fontId="2" type="noConversion"/>
  </si>
  <si>
    <t>T6中午顧餐</t>
    <phoneticPr fontId="2" type="noConversion"/>
  </si>
  <si>
    <t>5/3加保,6/3退健保</t>
    <phoneticPr fontId="2" type="noConversion"/>
  </si>
  <si>
    <t>宵夜師傅送便當每次100元</t>
    <phoneticPr fontId="2" type="noConversion"/>
  </si>
  <si>
    <t>1130401上班4H</t>
    <phoneticPr fontId="2" type="noConversion"/>
  </si>
  <si>
    <t>何志平</t>
    <phoneticPr fontId="2" type="noConversion"/>
  </si>
  <si>
    <t>何志平</t>
    <phoneticPr fontId="2" type="noConversion"/>
  </si>
  <si>
    <t>年tahun</t>
    <phoneticPr fontId="2" type="noConversion"/>
  </si>
  <si>
    <t>月bulan</t>
    <phoneticPr fontId="2" type="noConversion"/>
  </si>
  <si>
    <t>薪 資 明 細 表 daftar gaji</t>
    <phoneticPr fontId="2" type="noConversion"/>
  </si>
  <si>
    <t>外國人姓名nama Tki</t>
    <phoneticPr fontId="2" type="noConversion"/>
  </si>
  <si>
    <t>護照號碼No paspor</t>
    <phoneticPr fontId="2" type="noConversion"/>
  </si>
  <si>
    <t>B1884022</t>
    <phoneticPr fontId="2" type="noConversion"/>
  </si>
  <si>
    <t>工資給付日期tangal gajian</t>
    <phoneticPr fontId="2" type="noConversion"/>
  </si>
  <si>
    <t>日hari</t>
    <phoneticPr fontId="2" type="noConversion"/>
  </si>
  <si>
    <t>項目project</t>
    <phoneticPr fontId="2" type="noConversion"/>
  </si>
  <si>
    <t>金額uang（幣別）NT/Rp</t>
    <phoneticPr fontId="2" type="noConversion"/>
  </si>
  <si>
    <t>□新臺幣NT$</t>
  </si>
  <si>
    <t xml:space="preserve">應領金額
Gaji yang harus di terima
</t>
    <phoneticPr fontId="2" type="noConversion"/>
  </si>
  <si>
    <t>工資gaji</t>
    <phoneticPr fontId="2" type="noConversion"/>
  </si>
  <si>
    <t>加班費lembur (時薪1/3)</t>
    <phoneticPr fontId="2" type="noConversion"/>
  </si>
  <si>
    <t>加班費lembur (時薪2/3)</t>
    <phoneticPr fontId="2" type="noConversion"/>
  </si>
  <si>
    <t>加班費(國定假日)         lembur(Hari Raya)</t>
    <phoneticPr fontId="2" type="noConversion"/>
  </si>
  <si>
    <t xml:space="preserve">其他  （請註明）
lain（penjelasan）  
</t>
  </si>
  <si>
    <t>合計jumlah</t>
    <phoneticPr fontId="2" type="noConversion"/>
  </si>
  <si>
    <t xml:space="preserve">扣款金額potongan
</t>
    <phoneticPr fontId="2" type="noConversion"/>
  </si>
  <si>
    <t xml:space="preserve">全民健康保險費 
askes
</t>
    <phoneticPr fontId="2" type="noConversion"/>
  </si>
  <si>
    <t xml:space="preserve">勞工保險費 
asuransi
</t>
    <phoneticPr fontId="2" type="noConversion"/>
  </si>
  <si>
    <t>膳宿費uang tempat tingal</t>
    <phoneticPr fontId="2" type="noConversion"/>
  </si>
  <si>
    <t>還款    melunasi pinjaman</t>
    <phoneticPr fontId="2" type="noConversion"/>
  </si>
  <si>
    <t xml:space="preserve">依法院或行政執行機關之扣押命令所扣押之金額pemperintah menganjurkan hutang uang yang ada surat dari pemerintah bisa di potong di sini
</t>
    <phoneticPr fontId="2" type="noConversion"/>
  </si>
  <si>
    <t>合計jumplah</t>
    <phoneticPr fontId="2" type="noConversion"/>
  </si>
  <si>
    <r>
      <t>實領金額Sô</t>
    </r>
    <r>
      <rPr>
        <sz val="12"/>
        <rFont val="Times New Roman"/>
        <family val="1"/>
      </rPr>
      <t>́</t>
    </r>
    <r>
      <rPr>
        <sz val="12"/>
        <rFont val="標楷體"/>
        <family val="4"/>
        <charset val="136"/>
      </rPr>
      <t xml:space="preserve"> tiê</t>
    </r>
    <r>
      <rPr>
        <sz val="12"/>
        <rFont val="Times New Roman"/>
        <family val="1"/>
      </rPr>
      <t>̀</t>
    </r>
    <r>
      <rPr>
        <sz val="12"/>
        <rFont val="標楷體"/>
        <family val="4"/>
        <charset val="136"/>
      </rPr>
      <t>n thực li</t>
    </r>
    <r>
      <rPr>
        <sz val="12"/>
        <rFont val="Times New Roman"/>
        <family val="1"/>
      </rPr>
      <t>̃</t>
    </r>
    <r>
      <rPr>
        <sz val="12"/>
        <rFont val="標楷體"/>
        <family val="4"/>
        <charset val="136"/>
      </rPr>
      <t>nh</t>
    </r>
    <phoneticPr fontId="2" type="noConversion"/>
  </si>
  <si>
    <t>工資給付方式cara mengasih gaji</t>
    <phoneticPr fontId="2" type="noConversion"/>
  </si>
  <si>
    <t xml:space="preserve">□現金 cas (uang)
□票據（匯票、支票、本票）bon(bank,cek,bon bank)
■其他方式 （請註明）cara lain (penjelasan) 
</t>
    <phoneticPr fontId="2" type="noConversion"/>
  </si>
  <si>
    <t xml:space="preserve">外國人簽名nama Tki      :                            </t>
    <phoneticPr fontId="2" type="noConversion"/>
  </si>
  <si>
    <t xml:space="preserve">雇主名稱nama majikan    :                                 </t>
    <phoneticPr fontId="2" type="noConversion"/>
  </si>
  <si>
    <t>預支薪水 Memprediksi gaji</t>
    <phoneticPr fontId="2" type="noConversion"/>
  </si>
  <si>
    <t>意外險 Kecelakaan kimia</t>
    <phoneticPr fontId="2" type="noConversion"/>
  </si>
  <si>
    <t xml:space="preserve">扣款金額  potongan
</t>
    <phoneticPr fontId="2" type="noConversion"/>
  </si>
  <si>
    <t>C7380359</t>
    <phoneticPr fontId="2" type="noConversion"/>
  </si>
  <si>
    <r>
      <rPr>
        <sz val="12"/>
        <rFont val="新細明體"/>
        <family val="1"/>
        <charset val="136"/>
      </rPr>
      <t>□</t>
    </r>
    <r>
      <rPr>
        <sz val="12"/>
        <rFont val="標楷體"/>
        <family val="4"/>
        <charset val="136"/>
      </rPr>
      <t xml:space="preserve">現金 cas (uang)
□票據（匯票、支票、本票）bon(bank,cek,bon bank)
■其他方式 （請註明）cara lain (penjelasan) 
</t>
    </r>
    <phoneticPr fontId="2" type="noConversion"/>
  </si>
  <si>
    <t>還款  melunasi pinjaman</t>
    <phoneticPr fontId="2" type="noConversion"/>
  </si>
  <si>
    <t>C6797166</t>
    <phoneticPr fontId="2" type="noConversion"/>
  </si>
  <si>
    <t>C9271687</t>
    <phoneticPr fontId="2" type="noConversion"/>
  </si>
  <si>
    <t>黃成泰 (HERI GUNAWAN EU)</t>
    <phoneticPr fontId="2" type="noConversion"/>
  </si>
  <si>
    <t>E3161022</t>
    <phoneticPr fontId="2" type="noConversion"/>
  </si>
  <si>
    <t>C9271890</t>
    <phoneticPr fontId="2" type="noConversion"/>
  </si>
  <si>
    <t>C8424625</t>
    <phoneticPr fontId="2" type="noConversion"/>
  </si>
  <si>
    <t>E6634113</t>
    <phoneticPr fontId="2" type="noConversion"/>
  </si>
  <si>
    <t>AU479714</t>
    <phoneticPr fontId="2" type="noConversion"/>
  </si>
  <si>
    <t>明道</t>
    <phoneticPr fontId="2" type="noConversion"/>
  </si>
  <si>
    <t xml:space="preserve">亦傑現金 </t>
    <phoneticPr fontId="2" type="noConversion"/>
  </si>
  <si>
    <r>
      <rPr>
        <sz val="12"/>
        <rFont val="新細明體"/>
        <family val="1"/>
        <charset val="136"/>
      </rPr>
      <t>■</t>
    </r>
    <r>
      <rPr>
        <sz val="12"/>
        <rFont val="標楷體"/>
        <family val="4"/>
        <charset val="136"/>
      </rPr>
      <t xml:space="preserve">現金 cas (uang)
□票據（匯票、支票、本票）bon(bank,cek,bon bank)
□其他方式 （請註明）cara lain (penjelasan) 
</t>
    </r>
    <phoneticPr fontId="2" type="noConversion"/>
  </si>
  <si>
    <t>賴淑惠</t>
    <phoneticPr fontId="2" type="noConversion"/>
  </si>
  <si>
    <t>1130801調漲至20,008; 113/4/18退保;113/3/18加保至15800</t>
    <phoneticPr fontId="2" type="noConversion"/>
  </si>
  <si>
    <t>何志平</t>
    <phoneticPr fontId="2" type="noConversion"/>
  </si>
  <si>
    <t>110 7月開始不住宿        1120422轉中階 調勞健保</t>
    <phoneticPr fontId="2" type="noConversion"/>
  </si>
  <si>
    <t>1130806調漲40100(原31800)</t>
    <phoneticPr fontId="2" type="noConversion"/>
  </si>
  <si>
    <t>何志平</t>
    <phoneticPr fontId="2" type="noConversion"/>
  </si>
  <si>
    <t>8/19起至艾克爾上早餐與宵夜</t>
    <phoneticPr fontId="2" type="noConversion"/>
  </si>
  <si>
    <t>早班</t>
    <phoneticPr fontId="2" type="noConversion"/>
  </si>
  <si>
    <t>楊雅霖</t>
    <phoneticPr fontId="2" type="noConversion"/>
  </si>
  <si>
    <t>黃秀琴</t>
    <phoneticPr fontId="2" type="noConversion"/>
  </si>
  <si>
    <t>楊雅霖</t>
  </si>
  <si>
    <t>黃秀琴</t>
  </si>
  <si>
    <t>黃利平</t>
    <phoneticPr fontId="77" type="noConversion"/>
  </si>
  <si>
    <t>黃利平</t>
    <phoneticPr fontId="2" type="noConversion"/>
  </si>
  <si>
    <t>113/9/24到職</t>
    <phoneticPr fontId="2" type="noConversion"/>
  </si>
  <si>
    <t>陳阿莉</t>
    <phoneticPr fontId="77" type="noConversion"/>
  </si>
  <si>
    <t>1130614調降至21009 ;8/10加健保眷屬*2,          8/22調高40100,9 月份</t>
    <phoneticPr fontId="2" type="noConversion"/>
  </si>
  <si>
    <t>葉松本</t>
    <phoneticPr fontId="2" type="noConversion"/>
  </si>
  <si>
    <t>葉松本</t>
    <phoneticPr fontId="2" type="noConversion"/>
  </si>
  <si>
    <t>1-5上班,假日加班*183,  獎金給2000元(因現在没有幫廚)</t>
    <phoneticPr fontId="2" type="noConversion"/>
  </si>
  <si>
    <t>王駿森</t>
    <phoneticPr fontId="2" type="noConversion"/>
  </si>
  <si>
    <t>假日班-工廠</t>
    <phoneticPr fontId="2" type="noConversion"/>
  </si>
  <si>
    <t>余富美</t>
    <phoneticPr fontId="2" type="noConversion"/>
  </si>
  <si>
    <t>葉松本</t>
    <phoneticPr fontId="2" type="noConversion"/>
  </si>
  <si>
    <t>王駿森</t>
    <phoneticPr fontId="2" type="noConversion"/>
  </si>
  <si>
    <t>10月  事假</t>
    <phoneticPr fontId="2" type="noConversion"/>
  </si>
  <si>
    <t>宵夜/廚師</t>
    <phoneticPr fontId="2" type="noConversion"/>
  </si>
  <si>
    <t>日/月薪</t>
    <phoneticPr fontId="2" type="noConversion"/>
  </si>
  <si>
    <t>匯至女兒呂侑思郵局帳戶</t>
    <phoneticPr fontId="2" type="noConversion"/>
  </si>
  <si>
    <t>宵夜算時薪,平日算月薪,假日算時薪</t>
    <phoneticPr fontId="2" type="noConversion"/>
  </si>
  <si>
    <t>獎金</t>
    <phoneticPr fontId="2" type="noConversion"/>
  </si>
  <si>
    <t xml:space="preserve">其他  （請註明）宵
lain（penjelasan）  
</t>
    <phoneticPr fontId="2" type="noConversion"/>
  </si>
  <si>
    <t xml:space="preserve">其他  （請註明）早
lain（penjelasan）  
</t>
    <phoneticPr fontId="2" type="noConversion"/>
  </si>
  <si>
    <t xml:space="preserve">加班費(國定假日) -艾         lembur(Hari Raya)
lain（penjelasan）  
</t>
    <phoneticPr fontId="2" type="noConversion"/>
  </si>
  <si>
    <t>退休金自主提繳</t>
    <phoneticPr fontId="2" type="noConversion"/>
  </si>
  <si>
    <t>(備註1)</t>
    <phoneticPr fontId="2" type="noConversion"/>
  </si>
  <si>
    <t>假日/日薪</t>
    <phoneticPr fontId="2" type="noConversion"/>
  </si>
  <si>
    <t>王駿森</t>
    <phoneticPr fontId="2" type="noConversion"/>
  </si>
  <si>
    <t>1131203投勞健保</t>
    <phoneticPr fontId="2" type="noConversion"/>
  </si>
  <si>
    <t>1131101調漲45800(原31800)</t>
    <phoneticPr fontId="2" type="noConversion"/>
  </si>
  <si>
    <t>1131101調漲42000(原28800)</t>
    <phoneticPr fontId="2" type="noConversion"/>
  </si>
  <si>
    <t>1131203加保</t>
    <phoneticPr fontId="2" type="noConversion"/>
  </si>
  <si>
    <t>113/12/3起老闆規定宵夜班上班時數5H 20:00~01:00</t>
    <phoneticPr fontId="2" type="noConversion"/>
  </si>
  <si>
    <t>113從工廠改至艾克爾</t>
    <phoneticPr fontId="2" type="noConversion"/>
  </si>
  <si>
    <t>責任獎金</t>
    <phoneticPr fontId="2" type="noConversion"/>
  </si>
  <si>
    <t>職務     獎金</t>
    <phoneticPr fontId="2" type="noConversion"/>
  </si>
  <si>
    <t>1131203加勞健保</t>
    <phoneticPr fontId="2" type="noConversion"/>
  </si>
  <si>
    <t>1131203加勞保.團保,不加健保</t>
    <phoneticPr fontId="2" type="noConversion"/>
  </si>
  <si>
    <t>17.姓名</t>
    <phoneticPr fontId="2" type="noConversion"/>
  </si>
  <si>
    <t>16.姓名</t>
    <phoneticPr fontId="2" type="noConversion"/>
  </si>
  <si>
    <t>15.姓名</t>
    <phoneticPr fontId="2" type="noConversion"/>
  </si>
  <si>
    <t>宵夜/時薪</t>
    <phoneticPr fontId="2" type="noConversion"/>
  </si>
  <si>
    <t>體檢費不申請1/3跟如說</t>
  </si>
  <si>
    <t>114年薪資明細表</t>
    <phoneticPr fontId="2" type="noConversion"/>
  </si>
  <si>
    <t>亦傑  114年</t>
    <phoneticPr fontId="2" type="noConversion"/>
  </si>
  <si>
    <t>114</t>
    <phoneticPr fontId="77" type="noConversion"/>
  </si>
  <si>
    <t>假日 *190       (時數)</t>
    <phoneticPr fontId="2" type="noConversion"/>
  </si>
  <si>
    <t>9-10小時*1.34      (時數)</t>
    <phoneticPr fontId="2" type="noConversion"/>
  </si>
  <si>
    <t>過年值班薪資計算,宵夜領時薪192*2倍</t>
    <phoneticPr fontId="2" type="noConversion"/>
  </si>
  <si>
    <t>1140124發</t>
    <phoneticPr fontId="2" type="noConversion"/>
  </si>
  <si>
    <t>利餘天數(以時數計)</t>
    <phoneticPr fontId="2" type="noConversion"/>
  </si>
  <si>
    <t>114年結餘</t>
    <phoneticPr fontId="2" type="noConversion"/>
  </si>
  <si>
    <t>何志平</t>
    <phoneticPr fontId="2" type="noConversion"/>
  </si>
  <si>
    <t>假日廚師</t>
    <phoneticPr fontId="2" type="noConversion"/>
  </si>
  <si>
    <t>每日只3.5H</t>
    <phoneticPr fontId="2" type="noConversion"/>
  </si>
  <si>
    <t>工廠-加班1.33</t>
    <phoneticPr fontId="2" type="noConversion"/>
  </si>
  <si>
    <t>工廠-加班1.67</t>
    <phoneticPr fontId="2" type="noConversion"/>
  </si>
  <si>
    <t>平日-加班1.33</t>
    <phoneticPr fontId="2" type="noConversion"/>
  </si>
  <si>
    <t>健保費包含眷屬*1人$540元</t>
    <phoneticPr fontId="2" type="noConversion"/>
  </si>
  <si>
    <t>1140207回艾克爾送T6餐</t>
    <phoneticPr fontId="2" type="noConversion"/>
  </si>
  <si>
    <t>1140207艾克爾調回工廠</t>
    <phoneticPr fontId="2" type="noConversion"/>
  </si>
  <si>
    <t>加班費(宵飮幫廚)         lembur(Hari Raya)</t>
    <phoneticPr fontId="2" type="noConversion"/>
  </si>
  <si>
    <t>H</t>
    <phoneticPr fontId="2" type="noConversion"/>
  </si>
  <si>
    <t>天</t>
    <phoneticPr fontId="2" type="noConversion"/>
  </si>
  <si>
    <t>2月    喪假</t>
    <phoneticPr fontId="2" type="noConversion"/>
  </si>
  <si>
    <t>上宵夜每日5H時薪192元,送T6宵夜每次2H時薪200元</t>
    <phoneticPr fontId="2" type="noConversion"/>
  </si>
  <si>
    <t>2月    生日假</t>
    <phoneticPr fontId="2" type="noConversion"/>
  </si>
  <si>
    <t>宵夜送餐每次上班給100元,</t>
    <phoneticPr fontId="2" type="noConversion"/>
  </si>
  <si>
    <t>黃杏梅</t>
    <phoneticPr fontId="2" type="noConversion"/>
  </si>
  <si>
    <t>114/03/01起調整投保薪資至31,800</t>
  </si>
  <si>
    <t>陳慧菁</t>
  </si>
  <si>
    <t>陳慧菁</t>
    <phoneticPr fontId="2" type="noConversion"/>
  </si>
  <si>
    <t>114/03/27到職</t>
    <phoneticPr fontId="2" type="noConversion"/>
  </si>
  <si>
    <t xml:space="preserve">11305月份多加1000元績效獎金;11309起增加職務津貼4000元            </t>
    <phoneticPr fontId="2" type="noConversion"/>
  </si>
  <si>
    <t>徐秀宜</t>
    <phoneticPr fontId="2" type="noConversion"/>
  </si>
  <si>
    <t>詠業顧餐</t>
    <phoneticPr fontId="2" type="noConversion"/>
  </si>
  <si>
    <t>宵飮/時</t>
    <phoneticPr fontId="2" type="noConversion"/>
  </si>
  <si>
    <t>1. 退休金自主提繳6%=53000*6%=3180</t>
    <phoneticPr fontId="2" type="noConversion"/>
  </si>
  <si>
    <t>宵夜-司機</t>
    <phoneticPr fontId="2" type="noConversion"/>
  </si>
  <si>
    <t>Gaji yang diasuransikan akan disesuaikan menjadi 31.800 mulai 03/01/2014</t>
  </si>
  <si>
    <r>
      <t>(114/03/01</t>
    </r>
    <r>
      <rPr>
        <sz val="14"/>
        <color rgb="FF3C4043"/>
        <rFont val="細明體"/>
        <family val="3"/>
        <charset val="136"/>
      </rPr>
      <t>起調整投保薪資至</t>
    </r>
    <r>
      <rPr>
        <sz val="14"/>
        <color rgb="FF3C4043"/>
        <rFont val="Arial"/>
        <family val="2"/>
      </rPr>
      <t>31,800)</t>
    </r>
    <phoneticPr fontId="2" type="noConversion"/>
  </si>
  <si>
    <t>蔡宗能</t>
    <phoneticPr fontId="2" type="noConversion"/>
  </si>
  <si>
    <t>1140502加勞/健/1140430加團保</t>
    <phoneticPr fontId="2" type="noConversion"/>
  </si>
  <si>
    <t>4/30加團保</t>
    <phoneticPr fontId="2" type="noConversion"/>
  </si>
  <si>
    <t>蔡宗能</t>
    <phoneticPr fontId="2" type="noConversion"/>
  </si>
  <si>
    <t>經理廚師</t>
    <phoneticPr fontId="2" type="noConversion"/>
  </si>
  <si>
    <t>每月要給職務獎金500</t>
    <phoneticPr fontId="2" type="noConversion"/>
  </si>
  <si>
    <t>陳慧菁</t>
    <phoneticPr fontId="2" type="noConversion"/>
  </si>
  <si>
    <t>114年05月薪資表</t>
    <phoneticPr fontId="2" type="noConversion"/>
  </si>
  <si>
    <t>黃家容 113/4月起上4H,薪資等*0.5</t>
    <phoneticPr fontId="2" type="noConversion"/>
  </si>
  <si>
    <t>1. 體檢費用補貼，需滿３個月，預計114/08/10支付$1165元</t>
    <phoneticPr fontId="2" type="noConversion"/>
  </si>
  <si>
    <t xml:space="preserve"> 2. 眷屬保+1人</t>
    <phoneticPr fontId="2" type="noConversion"/>
  </si>
  <si>
    <t>5月    喪假</t>
    <phoneticPr fontId="2" type="noConversion"/>
  </si>
  <si>
    <t>阿財由亦傑支出</t>
    <phoneticPr fontId="2" type="noConversion"/>
  </si>
  <si>
    <t>5/31離職</t>
    <phoneticPr fontId="2" type="noConversion"/>
  </si>
  <si>
    <t>5/27離職</t>
    <phoneticPr fontId="2" type="noConversion"/>
  </si>
  <si>
    <t>平日上班算190時薪</t>
    <phoneticPr fontId="2" type="noConversion"/>
  </si>
  <si>
    <t>9.姓名</t>
    <phoneticPr fontId="2" type="noConversion"/>
  </si>
  <si>
    <t>10.姓名</t>
    <phoneticPr fontId="2" type="noConversion"/>
  </si>
  <si>
    <t>11.姓名</t>
    <phoneticPr fontId="2" type="noConversion"/>
  </si>
  <si>
    <t>12.姓名</t>
    <phoneticPr fontId="2" type="noConversion"/>
  </si>
  <si>
    <t>1140501調至23100;1131011加保</t>
    <phoneticPr fontId="2" type="noConversion"/>
  </si>
  <si>
    <t>1140501調至19047;1130906加保(薪資匯女兒呂侑恩)</t>
    <phoneticPr fontId="2" type="noConversion"/>
  </si>
  <si>
    <t>1130501調至15840;10/24加勞保團保不健保</t>
    <phoneticPr fontId="2" type="noConversion"/>
  </si>
  <si>
    <t xml:space="preserve">1140501調至40100;1130717加保至36300; </t>
    <phoneticPr fontId="2" type="noConversion"/>
  </si>
  <si>
    <t>備註1</t>
    <phoneticPr fontId="2" type="noConversion"/>
  </si>
  <si>
    <t>1.眷屬保*2</t>
    <phoneticPr fontId="2" type="noConversion"/>
  </si>
  <si>
    <t>備註2</t>
    <phoneticPr fontId="2" type="noConversion"/>
  </si>
  <si>
    <t>114/06/10到職日;</t>
    <phoneticPr fontId="2" type="noConversion"/>
  </si>
  <si>
    <t>領現薪資-11406</t>
    <phoneticPr fontId="2" type="noConversion"/>
  </si>
  <si>
    <t>黃景恆</t>
    <phoneticPr fontId="2" type="noConversion"/>
  </si>
  <si>
    <t>地址</t>
    <phoneticPr fontId="2" type="noConversion"/>
  </si>
  <si>
    <t>聯絡電話</t>
    <phoneticPr fontId="2" type="noConversion"/>
  </si>
  <si>
    <t>0933165779</t>
    <phoneticPr fontId="2" type="noConversion"/>
  </si>
  <si>
    <t>0937972798</t>
    <phoneticPr fontId="2" type="noConversion"/>
  </si>
  <si>
    <t>0981732734</t>
    <phoneticPr fontId="2" type="noConversion"/>
  </si>
  <si>
    <t>0912742603</t>
    <phoneticPr fontId="2" type="noConversion"/>
  </si>
  <si>
    <t>0953389569</t>
    <phoneticPr fontId="2" type="noConversion"/>
  </si>
  <si>
    <t>0916785418</t>
    <phoneticPr fontId="2" type="noConversion"/>
  </si>
  <si>
    <t>桃園市龜山區萬壽路2段628巷6號4F</t>
    <phoneticPr fontId="2" type="noConversion"/>
  </si>
  <si>
    <t>桃園市中壢區成章二街560號2F</t>
    <phoneticPr fontId="2" type="noConversion"/>
  </si>
  <si>
    <t>桃園市大溪區仁和路2段509巷27弄12號</t>
    <phoneticPr fontId="2" type="noConversion"/>
  </si>
  <si>
    <t>桃園市大溪區三元二街115巷26號</t>
    <phoneticPr fontId="2" type="noConversion"/>
  </si>
  <si>
    <t>桃園市大溪區大鶑路548-2號</t>
    <phoneticPr fontId="2" type="noConversion"/>
  </si>
  <si>
    <t>緊急聯絡人</t>
    <phoneticPr fontId="2" type="noConversion"/>
  </si>
  <si>
    <t>姓名</t>
    <phoneticPr fontId="2" type="noConversion"/>
  </si>
  <si>
    <t>黃婕瑜</t>
    <phoneticPr fontId="2" type="noConversion"/>
  </si>
  <si>
    <t>黃莉麗</t>
    <phoneticPr fontId="2" type="noConversion"/>
  </si>
  <si>
    <t>陳文賢</t>
    <phoneticPr fontId="2" type="noConversion"/>
  </si>
  <si>
    <t>王佩騏</t>
  </si>
  <si>
    <t>0980652227</t>
    <phoneticPr fontId="2" type="noConversion"/>
  </si>
  <si>
    <t>桃園市桃園區漢中路242號8F</t>
    <phoneticPr fontId="2" type="noConversion"/>
  </si>
  <si>
    <t>林義益</t>
    <phoneticPr fontId="2" type="noConversion"/>
  </si>
  <si>
    <t>徐永承</t>
    <phoneticPr fontId="2" type="noConversion"/>
  </si>
  <si>
    <t>徐永承</t>
    <phoneticPr fontId="2" type="noConversion"/>
  </si>
  <si>
    <t>日班廚師</t>
    <phoneticPr fontId="2" type="noConversion"/>
  </si>
  <si>
    <t>吳湘羚</t>
    <phoneticPr fontId="2" type="noConversion"/>
  </si>
  <si>
    <t>114/6/30離職</t>
    <phoneticPr fontId="2" type="noConversion"/>
  </si>
  <si>
    <t>轉</t>
    <phoneticPr fontId="2" type="noConversion"/>
  </si>
  <si>
    <t>黃郁恩</t>
    <phoneticPr fontId="2" type="noConversion"/>
  </si>
  <si>
    <t>吳品嫻</t>
    <phoneticPr fontId="2" type="noConversion"/>
  </si>
  <si>
    <t>6/10病假,6/12請病假一小時</t>
    <phoneticPr fontId="2" type="noConversion"/>
  </si>
  <si>
    <t xml:space="preserve">   黃郁恩ˉ</t>
    <phoneticPr fontId="2" type="noConversion"/>
  </si>
  <si>
    <t>11311月份起給司機獎金1000</t>
    <phoneticPr fontId="2" type="noConversion"/>
  </si>
  <si>
    <t>11406起給司機獎金2000</t>
    <phoneticPr fontId="2" type="noConversion"/>
  </si>
  <si>
    <t>假日日班廚師每日2000 ; 宵夜每日1000有送餐,無送餐每小時200元,6/2徐秀宜500元1天</t>
    <phoneticPr fontId="2" type="noConversion"/>
  </si>
  <si>
    <t>星期六煮菜獎金,3*200=800元</t>
    <phoneticPr fontId="2" type="noConversion"/>
  </si>
  <si>
    <t>司機/時薪</t>
    <phoneticPr fontId="2" type="noConversion"/>
  </si>
  <si>
    <t>6/25請2.5小時 6/6.26,27,30病假共請假4天又2.5H</t>
    <phoneticPr fontId="2" type="noConversion"/>
  </si>
  <si>
    <t>6/20請特休4小時6/23-6/30請特休48小時，共52小時,已休完特休</t>
    <phoneticPr fontId="2" type="noConversion"/>
  </si>
  <si>
    <t>6/23 mc假,6/20請特休1H</t>
    <phoneticPr fontId="2" type="noConversion"/>
  </si>
  <si>
    <t>吳湘羚</t>
  </si>
  <si>
    <t>吳品嫻</t>
  </si>
  <si>
    <t>借6/23  20000元</t>
    <phoneticPr fontId="2" type="noConversion"/>
  </si>
  <si>
    <t>6/23借支20000元</t>
    <phoneticPr fontId="2" type="noConversion"/>
  </si>
  <si>
    <t>6/20請特休4小時6/23-6/30請特休48小時，共52時         已休完特休</t>
    <phoneticPr fontId="2" type="noConversion"/>
  </si>
  <si>
    <t xml:space="preserve">   黃郁恩ˉ</t>
  </si>
  <si>
    <t>辦公室</t>
    <phoneticPr fontId="77" type="noConversion"/>
  </si>
  <si>
    <t>1140627團保0703加勞健保</t>
    <phoneticPr fontId="2" type="noConversion"/>
  </si>
  <si>
    <t>6/21到職6/27加團保</t>
    <phoneticPr fontId="2" type="noConversion"/>
  </si>
  <si>
    <t>6/7到職加勞健團保</t>
    <phoneticPr fontId="2" type="noConversion"/>
  </si>
  <si>
    <t>6/27到職6/27加團保未扣</t>
    <phoneticPr fontId="2" type="noConversion"/>
  </si>
  <si>
    <t>6/21到職6/27加團保6月未扣</t>
    <phoneticPr fontId="2" type="noConversion"/>
  </si>
  <si>
    <t>換算</t>
    <phoneticPr fontId="2" type="noConversion"/>
  </si>
  <si>
    <t>領合計張數</t>
    <phoneticPr fontId="2" type="noConversion"/>
  </si>
  <si>
    <t>`</t>
    <phoneticPr fontId="2" type="noConversion"/>
  </si>
  <si>
    <t xml:space="preserve">加班費(宵司機) </t>
    <phoneticPr fontId="2" type="noConversion"/>
  </si>
  <si>
    <t>加班費(假日)         lembur(Hari Raya)</t>
    <phoneticPr fontId="2" type="noConversion"/>
  </si>
  <si>
    <t>紙鈔+零錢現金加總</t>
    <phoneticPr fontId="2" type="noConversion"/>
  </si>
  <si>
    <t>加班費(宵)         lembur(Hari Raya)</t>
    <phoneticPr fontId="2" type="noConversion"/>
  </si>
  <si>
    <t>6/7到職</t>
    <phoneticPr fontId="2" type="noConversion"/>
  </si>
  <si>
    <t>6/21到職</t>
    <phoneticPr fontId="2" type="noConversion"/>
  </si>
  <si>
    <t>19.姓名</t>
    <phoneticPr fontId="2" type="noConversion"/>
  </si>
  <si>
    <t>20.姓名</t>
    <phoneticPr fontId="2" type="noConversion"/>
  </si>
  <si>
    <t>日</t>
    <phoneticPr fontId="2" type="noConversion"/>
  </si>
  <si>
    <t>6月份兼職一天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</si>
</sst>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-* #,##0.00_-;\-* #,##0.00_-;_-* &quot;-&quot;??_-;_-@_-"/>
    <numFmt numFmtId="179" formatCode="m&quot;月&quot;d&quot;日&quot;"/>
    <numFmt numFmtId="180" formatCode="_-* #,##0.0_-;\-* #,##0.0_-;_-* &quot;-&quot;??_-;_-@_-"/>
    <numFmt numFmtId="181" formatCode="_-* #,##0_-;\-* #,##0_-;_-* &quot;-&quot;??_-;_-@_-"/>
    <numFmt numFmtId="182" formatCode="0.0"/>
    <numFmt numFmtId="183" formatCode="m/d;@"/>
    <numFmt numFmtId="184" formatCode="0.0_);[Red]\(0.0\)"/>
    <numFmt numFmtId="185" formatCode="0.0_ "/>
    <numFmt numFmtId="186" formatCode="#,##0_ ;[Red]\-#,##0\ "/>
    <numFmt numFmtId="187" formatCode="#,##0_ "/>
    <numFmt numFmtId="188" formatCode="0_);[Red]\(0\)"/>
    <numFmt numFmtId="189" formatCode="0.00_ "/>
    <numFmt numFmtId="190" formatCode="_-&quot;$&quot;* #,##0_-;\-&quot;$&quot;* #,##0_-;_-&quot;$&quot;* &quot;-&quot;??_-;_-@_-"/>
    <numFmt numFmtId="191" formatCode="0_ "/>
    <numFmt numFmtId="192" formatCode="_-* #,##0.000000_-;\-* #,##0.000000_-;_-* &quot;-&quot;??_-;_-@_-"/>
    <numFmt numFmtId="193" formatCode="_-* #,##0.00000000_-;\-* #,##0.00000000_-;_-* &quot;-&quot;??_-;_-@_-"/>
    <numFmt numFmtId="194" formatCode="_-&quot;$&quot;* #,##0.0_-;\-&quot;$&quot;* #,##0.0_-;_-&quot;$&quot;* &quot;-&quot;_-;_-@_-"/>
  </numFmts>
  <fonts count="126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20"/>
      <name val="新細明體"/>
      <family val="1"/>
      <charset val="136"/>
    </font>
    <font>
      <sz val="14"/>
      <name val="新細明體"/>
      <family val="1"/>
      <charset val="136"/>
    </font>
    <font>
      <b/>
      <sz val="16"/>
      <name val="標楷體"/>
      <family val="4"/>
      <charset val="136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4"/>
      <name val="新細明體"/>
      <family val="1"/>
      <charset val="136"/>
    </font>
    <font>
      <sz val="14"/>
      <name val="標楷體"/>
      <family val="4"/>
      <charset val="136"/>
    </font>
    <font>
      <b/>
      <sz val="14"/>
      <color indexed="10"/>
      <name val="新細明體"/>
      <family val="1"/>
      <charset val="136"/>
    </font>
    <font>
      <b/>
      <sz val="11"/>
      <name val="新細明體"/>
      <family val="1"/>
      <charset val="136"/>
    </font>
    <font>
      <b/>
      <sz val="12"/>
      <color indexed="17"/>
      <name val="新細明體"/>
      <family val="1"/>
      <charset val="136"/>
    </font>
    <font>
      <b/>
      <sz val="12"/>
      <color indexed="20"/>
      <name val="新細明體"/>
      <family val="1"/>
      <charset val="136"/>
    </font>
    <font>
      <sz val="10"/>
      <color indexed="8"/>
      <name val="Arial"/>
      <family val="2"/>
    </font>
    <font>
      <sz val="12"/>
      <name val="標楷體"/>
      <family val="4"/>
      <charset val="136"/>
    </font>
    <font>
      <b/>
      <sz val="12"/>
      <color indexed="8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1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4"/>
      <color theme="1"/>
      <name val="標楷體"/>
      <family val="4"/>
      <charset val="136"/>
    </font>
    <font>
      <b/>
      <sz val="11"/>
      <color theme="1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sz val="11"/>
      <color rgb="FFFF0000"/>
      <name val="新細明體"/>
      <family val="1"/>
      <charset val="136"/>
    </font>
    <font>
      <b/>
      <sz val="14"/>
      <color rgb="FFFF0000"/>
      <name val="標楷體"/>
      <family val="4"/>
      <charset val="136"/>
    </font>
    <font>
      <b/>
      <sz val="11"/>
      <color rgb="FFFF0000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b/>
      <sz val="14"/>
      <color rgb="FFFF0000"/>
      <name val="新細明體"/>
      <family val="1"/>
      <charset val="136"/>
    </font>
    <font>
      <sz val="16"/>
      <color rgb="FFFF0000"/>
      <name val="新細明體"/>
      <family val="1"/>
      <charset val="136"/>
    </font>
    <font>
      <b/>
      <sz val="16"/>
      <color rgb="FFFF0000"/>
      <name val="標楷體"/>
      <family val="4"/>
      <charset val="136"/>
    </font>
    <font>
      <sz val="14"/>
      <color rgb="FFFF0000"/>
      <name val="新細明體"/>
      <family val="1"/>
      <charset val="136"/>
    </font>
    <font>
      <b/>
      <sz val="12"/>
      <name val="標楷體"/>
      <family val="4"/>
      <charset val="136"/>
    </font>
    <font>
      <b/>
      <sz val="16"/>
      <name val="新細明體"/>
      <family val="1"/>
      <charset val="136"/>
    </font>
    <font>
      <sz val="16"/>
      <name val="新細明體"/>
      <family val="1"/>
      <charset val="136"/>
    </font>
    <font>
      <b/>
      <sz val="12"/>
      <color rgb="FFFF0000"/>
      <name val="標楷體"/>
      <family val="4"/>
      <charset val="136"/>
    </font>
    <font>
      <b/>
      <sz val="13"/>
      <name val="新細明體"/>
      <family val="1"/>
      <charset val="136"/>
    </font>
    <font>
      <b/>
      <sz val="12"/>
      <color theme="2"/>
      <name val="新細明體"/>
      <family val="1"/>
      <charset val="136"/>
    </font>
    <font>
      <b/>
      <sz val="12"/>
      <name val="Times New Roman"/>
      <family val="1"/>
    </font>
    <font>
      <b/>
      <sz val="10"/>
      <color rgb="FFFF0000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4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8"/>
      <color rgb="FFFF0000"/>
      <name val="新細明體"/>
      <family val="1"/>
      <charset val="136"/>
    </font>
    <font>
      <sz val="18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0"/>
      <name val="Times New Roman"/>
      <family val="1"/>
    </font>
    <font>
      <sz val="11"/>
      <name val="標楷體"/>
      <family val="4"/>
      <charset val="136"/>
    </font>
    <font>
      <sz val="10"/>
      <color rgb="FFFF0000"/>
      <name val="新細明體"/>
      <family val="1"/>
      <charset val="136"/>
    </font>
    <font>
      <sz val="1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8"/>
      <name val="標楷體"/>
      <family val="4"/>
      <charset val="136"/>
    </font>
    <font>
      <b/>
      <sz val="18"/>
      <name val="新細明體"/>
      <family val="1"/>
      <charset val="136"/>
    </font>
    <font>
      <b/>
      <sz val="16"/>
      <color theme="1"/>
      <name val="新細明體"/>
      <family val="1"/>
      <charset val="136"/>
      <scheme val="minor"/>
    </font>
    <font>
      <b/>
      <sz val="16"/>
      <name val="新細明體"/>
      <family val="1"/>
      <charset val="136"/>
      <scheme val="minor"/>
    </font>
    <font>
      <b/>
      <sz val="16"/>
      <color theme="1"/>
      <name val="標楷體"/>
      <family val="4"/>
      <charset val="136"/>
    </font>
    <font>
      <b/>
      <sz val="16"/>
      <color theme="1"/>
      <name val="新細明體"/>
      <family val="1"/>
      <charset val="136"/>
      <scheme val="major"/>
    </font>
    <font>
      <b/>
      <sz val="16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inor"/>
    </font>
    <font>
      <b/>
      <sz val="16"/>
      <color theme="2"/>
      <name val="標楷體"/>
      <family val="4"/>
      <charset val="136"/>
    </font>
    <font>
      <b/>
      <sz val="18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b/>
      <sz val="16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</font>
    <font>
      <b/>
      <sz val="11"/>
      <color theme="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</font>
    <font>
      <b/>
      <sz val="13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b/>
      <sz val="12"/>
      <color theme="2"/>
      <name val="Times New Roman"/>
      <family val="1"/>
    </font>
    <font>
      <b/>
      <sz val="11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sz val="10"/>
      <name val="標楷體"/>
      <family val="4"/>
      <charset val="136"/>
    </font>
    <font>
      <b/>
      <sz val="11"/>
      <name val="標楷體"/>
      <family val="4"/>
      <charset val="136"/>
    </font>
    <font>
      <vertAlign val="subscript"/>
      <sz val="18"/>
      <name val="標楷體"/>
      <family val="4"/>
      <charset val="136"/>
    </font>
    <font>
      <b/>
      <sz val="10"/>
      <name val="標楷體"/>
      <family val="4"/>
      <charset val="136"/>
    </font>
    <font>
      <sz val="12"/>
      <name val="Times New Roman"/>
      <family val="1"/>
    </font>
    <font>
      <sz val="12"/>
      <name val="標楷體"/>
      <family val="1"/>
      <charset val="136"/>
    </font>
    <font>
      <sz val="11"/>
      <color rgb="FFFF0000"/>
      <name val="標楷體"/>
      <family val="4"/>
      <charset val="136"/>
    </font>
    <font>
      <b/>
      <vertAlign val="subscript"/>
      <sz val="20"/>
      <name val="標楷體"/>
      <family val="4"/>
      <charset val="136"/>
    </font>
    <font>
      <sz val="15"/>
      <name val="標楷體"/>
      <family val="4"/>
      <charset val="136"/>
    </font>
    <font>
      <sz val="13"/>
      <color rgb="FFFF0000"/>
      <name val="標楷體"/>
      <family val="4"/>
      <charset val="136"/>
    </font>
    <font>
      <sz val="16"/>
      <color theme="1"/>
      <name val="新細明體"/>
      <family val="1"/>
      <charset val="136"/>
      <scheme val="minor"/>
    </font>
    <font>
      <b/>
      <sz val="16"/>
      <color rgb="FFFF0000"/>
      <name val="新細明體"/>
      <family val="1"/>
      <charset val="136"/>
      <scheme val="major"/>
    </font>
    <font>
      <sz val="16"/>
      <color rgb="FFFF0000"/>
      <name val="新細明體"/>
      <family val="1"/>
      <charset val="136"/>
      <scheme val="minor"/>
    </font>
    <font>
      <b/>
      <sz val="16"/>
      <color theme="0"/>
      <name val="標楷體"/>
      <family val="4"/>
      <charset val="136"/>
    </font>
    <font>
      <b/>
      <sz val="16"/>
      <color theme="0"/>
      <name val="新細明體"/>
      <family val="1"/>
      <charset val="136"/>
      <scheme val="major"/>
    </font>
    <font>
      <sz val="14"/>
      <color theme="1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4"/>
      <color rgb="FF3C4043"/>
      <name val="Arial"/>
      <family val="2"/>
    </font>
    <font>
      <sz val="14"/>
      <color rgb="FF3C4043"/>
      <name val="細明體"/>
      <family val="3"/>
      <charset val="136"/>
    </font>
    <font>
      <sz val="14"/>
      <color rgb="FFFF0000"/>
      <name val="新細明體"/>
      <family val="1"/>
      <charset val="136"/>
      <scheme val="minor"/>
    </font>
    <font>
      <b/>
      <sz val="12"/>
      <color rgb="FFC00000"/>
      <name val="標楷體"/>
      <family val="4"/>
      <charset val="136"/>
    </font>
    <font>
      <b/>
      <sz val="15"/>
      <color theme="1"/>
      <name val="標楷體"/>
      <family val="4"/>
      <charset val="136"/>
    </font>
    <font>
      <sz val="15"/>
      <color rgb="FFFF0000"/>
      <name val="標楷體"/>
      <family val="4"/>
      <charset val="136"/>
    </font>
    <font>
      <sz val="11"/>
      <color rgb="FFEE0000"/>
      <name val="新細明體"/>
      <family val="1"/>
      <charset val="136"/>
    </font>
    <font>
      <b/>
      <sz val="12"/>
      <color rgb="FFEE0000"/>
      <name val="新細明體"/>
      <family val="1"/>
      <charset val="136"/>
    </font>
    <font>
      <sz val="12"/>
      <color rgb="FFEE0000"/>
      <name val="新細明體"/>
      <family val="1"/>
      <charset val="136"/>
    </font>
    <font>
      <sz val="12"/>
      <color rgb="FFEE0000"/>
      <name val="新細明體"/>
      <family val="1"/>
      <charset val="136"/>
      <scheme val="minor"/>
    </font>
    <font>
      <b/>
      <sz val="14"/>
      <color rgb="FFEE0000"/>
      <name val="新細明體"/>
      <family val="1"/>
      <charset val="136"/>
    </font>
    <font>
      <sz val="8"/>
      <color rgb="FFFF0000"/>
      <name val="新細明體"/>
      <family val="1"/>
      <charset val="136"/>
    </font>
    <font>
      <sz val="9"/>
      <color rgb="FFEE0000"/>
      <name val="新細明體"/>
      <family val="1"/>
      <charset val="136"/>
    </font>
    <font>
      <sz val="12"/>
      <color theme="4" tint="-0.249977111117893"/>
      <name val="新細明體"/>
      <family val="1"/>
      <charset val="136"/>
    </font>
    <font>
      <b/>
      <sz val="11"/>
      <color rgb="FFEE0000"/>
      <name val="新細明體"/>
      <family val="1"/>
      <charset val="136"/>
    </font>
    <font>
      <b/>
      <sz val="13"/>
      <color theme="2"/>
      <name val="新細明體"/>
      <family val="1"/>
      <charset val="136"/>
    </font>
    <font>
      <b/>
      <sz val="11"/>
      <color rgb="FFFF0000"/>
      <name val="新細明體"/>
      <family val="1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double">
        <color rgb="FFFF0000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/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/>
      <top style="double">
        <color rgb="FFFF0000"/>
      </top>
      <bottom style="thin">
        <color indexed="64"/>
      </bottom>
      <diagonal/>
    </border>
    <border>
      <left/>
      <right/>
      <top style="double">
        <color rgb="FFFF0000"/>
      </top>
      <bottom style="thin">
        <color indexed="64"/>
      </bottom>
      <diagonal/>
    </border>
    <border>
      <left/>
      <right style="medium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/>
      <top style="double">
        <color rgb="FFFF0000"/>
      </top>
      <bottom style="thin">
        <color indexed="64"/>
      </bottom>
      <diagonal/>
    </border>
    <border>
      <left/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slantDashDot">
        <color rgb="FFFF0000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slantDashDot">
        <color rgb="FFFF0000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6" fillId="0" borderId="0"/>
    <xf numFmtId="178" fontId="36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</cellStyleXfs>
  <cellXfs count="17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1" fontId="12" fillId="0" borderId="0" xfId="10" applyNumberFormat="1" applyFont="1">
      <alignment vertical="center"/>
    </xf>
    <xf numFmtId="181" fontId="0" fillId="0" borderId="0" xfId="10" applyNumberFormat="1" applyFont="1">
      <alignment vertical="center"/>
    </xf>
    <xf numFmtId="181" fontId="0" fillId="0" borderId="1" xfId="10" applyNumberFormat="1" applyFont="1" applyBorder="1">
      <alignment vertical="center"/>
    </xf>
    <xf numFmtId="181" fontId="0" fillId="0" borderId="4" xfId="10" applyNumberFormat="1" applyFont="1" applyBorder="1">
      <alignment vertical="center"/>
    </xf>
    <xf numFmtId="181" fontId="12" fillId="0" borderId="1" xfId="10" applyNumberFormat="1" applyFont="1" applyBorder="1" applyAlignment="1">
      <alignment vertical="center" shrinkToFit="1"/>
    </xf>
    <xf numFmtId="181" fontId="0" fillId="0" borderId="1" xfId="10" applyNumberFormat="1" applyFont="1" applyBorder="1" applyAlignment="1">
      <alignment vertical="center" shrinkToFit="1"/>
    </xf>
    <xf numFmtId="181" fontId="12" fillId="0" borderId="5" xfId="10" applyNumberFormat="1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5" xfId="0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0" fillId="0" borderId="5" xfId="0" applyBorder="1">
      <alignment vertical="center"/>
    </xf>
    <xf numFmtId="181" fontId="0" fillId="0" borderId="5" xfId="10" applyNumberFormat="1" applyFont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16" fillId="0" borderId="0" xfId="0" applyFont="1">
      <alignment vertical="center"/>
    </xf>
    <xf numFmtId="181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81" fontId="0" fillId="0" borderId="14" xfId="10" applyNumberFormat="1" applyFont="1" applyBorder="1">
      <alignment vertical="center"/>
    </xf>
    <xf numFmtId="0" fontId="0" fillId="0" borderId="17" xfId="0" applyBorder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81" fontId="0" fillId="0" borderId="20" xfId="10" applyNumberFormat="1" applyFont="1" applyBorder="1">
      <alignment vertical="center"/>
    </xf>
    <xf numFmtId="181" fontId="0" fillId="0" borderId="5" xfId="10" applyNumberFormat="1" applyFont="1" applyBorder="1">
      <alignment vertical="center"/>
    </xf>
    <xf numFmtId="181" fontId="0" fillId="0" borderId="21" xfId="10" applyNumberFormat="1" applyFont="1" applyBorder="1">
      <alignment vertical="center"/>
    </xf>
    <xf numFmtId="181" fontId="10" fillId="9" borderId="22" xfId="10" applyNumberFormat="1" applyFont="1" applyFill="1" applyBorder="1">
      <alignment vertical="center"/>
    </xf>
    <xf numFmtId="0" fontId="10" fillId="9" borderId="6" xfId="0" applyFont="1" applyFill="1" applyBorder="1">
      <alignment vertical="center"/>
    </xf>
    <xf numFmtId="181" fontId="0" fillId="0" borderId="1" xfId="0" applyNumberFormat="1" applyBorder="1" applyAlignment="1">
      <alignment vertical="center" shrinkToFit="1"/>
    </xf>
    <xf numFmtId="0" fontId="24" fillId="0" borderId="0" xfId="0" applyFont="1">
      <alignment vertical="center"/>
    </xf>
    <xf numFmtId="0" fontId="5" fillId="0" borderId="0" xfId="0" applyFont="1">
      <alignment vertical="center"/>
    </xf>
    <xf numFmtId="0" fontId="0" fillId="0" borderId="28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2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81" fontId="1" fillId="0" borderId="0" xfId="10" applyNumberFormat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6" fillId="9" borderId="0" xfId="0" applyFont="1" applyFill="1" applyAlignment="1">
      <alignment horizontal="left" vertical="center"/>
    </xf>
    <xf numFmtId="181" fontId="23" fillId="0" borderId="1" xfId="10" applyNumberFormat="1" applyFont="1" applyFill="1" applyBorder="1">
      <alignment vertical="center"/>
    </xf>
    <xf numFmtId="181" fontId="0" fillId="0" borderId="1" xfId="10" applyNumberFormat="1" applyFont="1" applyFill="1" applyBorder="1" applyAlignment="1">
      <alignment vertical="center" shrinkToFit="1"/>
    </xf>
    <xf numFmtId="181" fontId="1" fillId="0" borderId="1" xfId="10" applyNumberFormat="1" applyFill="1" applyBorder="1" applyAlignment="1">
      <alignment vertical="center" shrinkToFit="1"/>
    </xf>
    <xf numFmtId="181" fontId="13" fillId="0" borderId="1" xfId="1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81" fontId="0" fillId="0" borderId="1" xfId="10" applyNumberFormat="1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1" fontId="12" fillId="0" borderId="5" xfId="10" applyNumberFormat="1" applyFont="1" applyFill="1" applyBorder="1" applyAlignment="1">
      <alignment vertical="center" shrinkToFit="1"/>
    </xf>
    <xf numFmtId="0" fontId="0" fillId="4" borderId="1" xfId="0" applyFill="1" applyBorder="1" applyAlignment="1">
      <alignment horizontal="center" vertical="center"/>
    </xf>
    <xf numFmtId="181" fontId="1" fillId="0" borderId="1" xfId="10" applyNumberFormat="1" applyFont="1" applyFill="1" applyBorder="1" applyAlignment="1">
      <alignment vertical="center" shrinkToFit="1"/>
    </xf>
    <xf numFmtId="181" fontId="1" fillId="0" borderId="2" xfId="10" applyNumberFormat="1" applyFont="1" applyFill="1" applyBorder="1" applyAlignment="1">
      <alignment vertical="center" shrinkToFit="1"/>
    </xf>
    <xf numFmtId="181" fontId="0" fillId="0" borderId="2" xfId="10" applyNumberFormat="1" applyFont="1" applyFill="1" applyBorder="1" applyAlignment="1">
      <alignment vertical="center" shrinkToFit="1"/>
    </xf>
    <xf numFmtId="0" fontId="0" fillId="5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  <xf numFmtId="181" fontId="1" fillId="0" borderId="1" xfId="10" applyNumberFormat="1" applyFont="1" applyFill="1" applyBorder="1">
      <alignment vertical="center"/>
    </xf>
    <xf numFmtId="0" fontId="0" fillId="13" borderId="1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7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3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81" fontId="5" fillId="0" borderId="0" xfId="10" applyNumberFormat="1" applyFont="1" applyBorder="1">
      <alignment vertical="center"/>
    </xf>
    <xf numFmtId="181" fontId="9" fillId="0" borderId="0" xfId="10" applyNumberFormat="1" applyFont="1" applyBorder="1">
      <alignment vertical="center"/>
    </xf>
    <xf numFmtId="0" fontId="24" fillId="9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181" fontId="10" fillId="9" borderId="3" xfId="10" applyNumberFormat="1" applyFont="1" applyFill="1" applyBorder="1">
      <alignment vertical="center"/>
    </xf>
    <xf numFmtId="0" fontId="0" fillId="9" borderId="6" xfId="0" applyFill="1" applyBorder="1">
      <alignment vertical="center"/>
    </xf>
    <xf numFmtId="181" fontId="1" fillId="0" borderId="3" xfId="10" applyNumberFormat="1" applyFont="1" applyBorder="1">
      <alignment vertical="center"/>
    </xf>
    <xf numFmtId="181" fontId="1" fillId="10" borderId="22" xfId="10" applyNumberFormat="1" applyFont="1" applyFill="1" applyBorder="1">
      <alignment vertical="center"/>
    </xf>
    <xf numFmtId="0" fontId="35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181" fontId="0" fillId="9" borderId="1" xfId="10" applyNumberFormat="1" applyFont="1" applyFill="1" applyBorder="1">
      <alignment vertical="center"/>
    </xf>
    <xf numFmtId="181" fontId="11" fillId="0" borderId="0" xfId="10" applyNumberFormat="1" applyFont="1" applyBorder="1" applyAlignment="1">
      <alignment horizontal="left" vertical="center"/>
    </xf>
    <xf numFmtId="181" fontId="0" fillId="0" borderId="0" xfId="0" applyNumberFormat="1" applyAlignment="1">
      <alignment vertical="center" shrinkToFit="1"/>
    </xf>
    <xf numFmtId="0" fontId="10" fillId="0" borderId="0" xfId="0" applyFont="1" applyAlignment="1">
      <alignment horizontal="left" vertical="center"/>
    </xf>
    <xf numFmtId="181" fontId="12" fillId="0" borderId="0" xfId="10" applyNumberFormat="1" applyFont="1" applyFill="1">
      <alignment vertical="center"/>
    </xf>
    <xf numFmtId="181" fontId="0" fillId="8" borderId="1" xfId="10" applyNumberFormat="1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0" fillId="13" borderId="16" xfId="0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2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8" xfId="0" applyFill="1" applyBorder="1" applyAlignment="1">
      <alignment horizontal="center" vertical="center"/>
    </xf>
    <xf numFmtId="181" fontId="0" fillId="6" borderId="8" xfId="0" applyNumberFormat="1" applyFill="1" applyBorder="1">
      <alignment vertical="center"/>
    </xf>
    <xf numFmtId="0" fontId="0" fillId="6" borderId="44" xfId="0" applyFill="1" applyBorder="1">
      <alignment vertical="center"/>
    </xf>
    <xf numFmtId="181" fontId="0" fillId="0" borderId="16" xfId="10" applyNumberFormat="1" applyFont="1" applyBorder="1">
      <alignment vertical="center"/>
    </xf>
    <xf numFmtId="181" fontId="0" fillId="9" borderId="11" xfId="0" applyNumberFormat="1" applyFill="1" applyBorder="1">
      <alignment vertical="center"/>
    </xf>
    <xf numFmtId="181" fontId="10" fillId="9" borderId="24" xfId="10" applyNumberFormat="1" applyFont="1" applyFill="1" applyBorder="1">
      <alignment vertical="center"/>
    </xf>
    <xf numFmtId="0" fontId="0" fillId="5" borderId="0" xfId="0" applyFill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181" fontId="1" fillId="0" borderId="5" xfId="10" applyNumberFormat="1" applyFont="1" applyFill="1" applyBorder="1" applyAlignment="1">
      <alignment horizontal="center" vertical="center" shrinkToFit="1"/>
    </xf>
    <xf numFmtId="0" fontId="10" fillId="9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81" fontId="0" fillId="13" borderId="1" xfId="10" applyNumberFormat="1" applyFont="1" applyFill="1" applyBorder="1">
      <alignment vertical="center"/>
    </xf>
    <xf numFmtId="182" fontId="0" fillId="0" borderId="2" xfId="0" applyNumberFormat="1" applyBorder="1" applyAlignment="1">
      <alignment vertical="center" shrinkToFit="1"/>
    </xf>
    <xf numFmtId="0" fontId="0" fillId="0" borderId="6" xfId="0" applyBorder="1" applyAlignment="1">
      <alignment horizontal="center" vertical="center" textRotation="255"/>
    </xf>
    <xf numFmtId="0" fontId="0" fillId="11" borderId="31" xfId="0" applyFill="1" applyBorder="1" applyAlignment="1">
      <alignment horizontal="center" vertical="center" textRotation="255"/>
    </xf>
    <xf numFmtId="0" fontId="0" fillId="11" borderId="3" xfId="0" applyFill="1" applyBorder="1" applyAlignment="1">
      <alignment horizontal="center" vertical="center"/>
    </xf>
    <xf numFmtId="181" fontId="12" fillId="11" borderId="3" xfId="10" applyNumberFormat="1" applyFont="1" applyFill="1" applyBorder="1" applyAlignment="1">
      <alignment horizontal="center" vertical="center" wrapText="1"/>
    </xf>
    <xf numFmtId="181" fontId="12" fillId="10" borderId="3" xfId="10" applyNumberFormat="1" applyFont="1" applyFill="1" applyBorder="1" applyAlignment="1">
      <alignment horizontal="center" vertical="center" wrapText="1"/>
    </xf>
    <xf numFmtId="181" fontId="23" fillId="10" borderId="3" xfId="10" applyNumberFormat="1" applyFont="1" applyFill="1" applyBorder="1" applyAlignment="1">
      <alignment horizontal="center" vertical="center" wrapText="1"/>
    </xf>
    <xf numFmtId="181" fontId="0" fillId="11" borderId="3" xfId="10" applyNumberFormat="1" applyFont="1" applyFill="1" applyBorder="1" applyAlignment="1">
      <alignment horizontal="center" vertical="center" wrapText="1"/>
    </xf>
    <xf numFmtId="181" fontId="0" fillId="11" borderId="7" xfId="10" applyNumberFormat="1" applyFont="1" applyFill="1" applyBorder="1" applyAlignment="1">
      <alignment horizontal="center" vertical="center" wrapText="1"/>
    </xf>
    <xf numFmtId="0" fontId="0" fillId="12" borderId="22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10" fillId="15" borderId="3" xfId="0" applyFont="1" applyFill="1" applyBorder="1" applyAlignment="1">
      <alignment horizontal="center" vertical="center" wrapText="1"/>
    </xf>
    <xf numFmtId="0" fontId="10" fillId="15" borderId="34" xfId="0" applyFont="1" applyFill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44" fillId="0" borderId="36" xfId="0" applyFont="1" applyBorder="1">
      <alignment vertical="center"/>
    </xf>
    <xf numFmtId="0" fontId="39" fillId="0" borderId="0" xfId="0" applyFont="1">
      <alignment vertical="center"/>
    </xf>
    <xf numFmtId="0" fontId="24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1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0" fillId="11" borderId="7" xfId="0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4" fillId="19" borderId="1" xfId="0" applyFont="1" applyFill="1" applyBorder="1" applyAlignment="1">
      <alignment horizontal="center" vertical="center" wrapText="1"/>
    </xf>
    <xf numFmtId="0" fontId="0" fillId="13" borderId="5" xfId="0" applyFill="1" applyBorder="1">
      <alignment vertical="center"/>
    </xf>
    <xf numFmtId="0" fontId="0" fillId="13" borderId="14" xfId="0" applyFill="1" applyBorder="1">
      <alignment vertical="center"/>
    </xf>
    <xf numFmtId="0" fontId="10" fillId="15" borderId="3" xfId="0" applyFont="1" applyFill="1" applyBorder="1" applyAlignment="1">
      <alignment horizontal="right" vertical="center" wrapText="1"/>
    </xf>
    <xf numFmtId="0" fontId="0" fillId="5" borderId="0" xfId="0" applyFill="1">
      <alignment vertical="center"/>
    </xf>
    <xf numFmtId="0" fontId="4" fillId="6" borderId="3" xfId="0" applyFont="1" applyFill="1" applyBorder="1" applyAlignment="1">
      <alignment horizontal="center" vertical="center"/>
    </xf>
    <xf numFmtId="181" fontId="0" fillId="6" borderId="3" xfId="10" applyNumberFormat="1" applyFont="1" applyFill="1" applyBorder="1" applyAlignment="1">
      <alignment horizontal="center" vertical="center" wrapText="1"/>
    </xf>
    <xf numFmtId="181" fontId="10" fillId="9" borderId="39" xfId="10" applyNumberFormat="1" applyFont="1" applyFill="1" applyBorder="1" applyAlignment="1">
      <alignment horizontal="center" vertical="center"/>
    </xf>
    <xf numFmtId="181" fontId="10" fillId="9" borderId="27" xfId="10" applyNumberFormat="1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181" fontId="0" fillId="0" borderId="0" xfId="10" applyNumberFormat="1" applyFont="1" applyFill="1">
      <alignment vertical="center"/>
    </xf>
    <xf numFmtId="181" fontId="0" fillId="0" borderId="5" xfId="10" applyNumberFormat="1" applyFont="1" applyFill="1" applyBorder="1" applyAlignment="1">
      <alignment vertical="center" shrinkToFit="1"/>
    </xf>
    <xf numFmtId="181" fontId="1" fillId="0" borderId="5" xfId="10" applyNumberFormat="1" applyFill="1" applyBorder="1" applyAlignment="1">
      <alignment vertical="center" shrinkToFit="1"/>
    </xf>
    <xf numFmtId="181" fontId="0" fillId="0" borderId="15" xfId="10" applyNumberFormat="1" applyFont="1" applyFill="1" applyBorder="1" applyAlignment="1">
      <alignment vertical="center" shrinkToFit="1"/>
    </xf>
    <xf numFmtId="181" fontId="0" fillId="0" borderId="5" xfId="0" applyNumberFormat="1" applyBorder="1" applyAlignment="1">
      <alignment vertical="center" shrinkToFit="1"/>
    </xf>
    <xf numFmtId="0" fontId="14" fillId="0" borderId="57" xfId="0" applyFont="1" applyBorder="1">
      <alignment vertical="center"/>
    </xf>
    <xf numFmtId="0" fontId="10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14" fillId="13" borderId="57" xfId="0" applyFont="1" applyFill="1" applyBorder="1">
      <alignment vertical="center"/>
    </xf>
    <xf numFmtId="0" fontId="0" fillId="13" borderId="0" xfId="0" applyFill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30" xfId="0" applyFill="1" applyBorder="1" applyAlignment="1">
      <alignment horizontal="center" vertical="center" wrapText="1"/>
    </xf>
    <xf numFmtId="181" fontId="0" fillId="14" borderId="46" xfId="0" applyNumberFormat="1" applyFill="1" applyBorder="1" applyAlignment="1">
      <alignment vertical="center" shrinkToFit="1"/>
    </xf>
    <xf numFmtId="0" fontId="0" fillId="16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26" fillId="0" borderId="0" xfId="0" applyFont="1" applyAlignment="1">
      <alignment vertical="center" shrinkToFit="1"/>
    </xf>
    <xf numFmtId="0" fontId="0" fillId="0" borderId="31" xfId="0" applyBorder="1" applyAlignment="1">
      <alignment horizontal="center" vertical="center"/>
    </xf>
    <xf numFmtId="181" fontId="12" fillId="6" borderId="3" xfId="1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81" fontId="10" fillId="9" borderId="50" xfId="10" applyNumberFormat="1" applyFont="1" applyFill="1" applyBorder="1" applyAlignment="1">
      <alignment horizontal="center" vertical="center" wrapText="1"/>
    </xf>
    <xf numFmtId="181" fontId="0" fillId="14" borderId="25" xfId="0" applyNumberFormat="1" applyFill="1" applyBorder="1" applyAlignment="1">
      <alignment vertical="center" shrinkToFit="1"/>
    </xf>
    <xf numFmtId="0" fontId="37" fillId="0" borderId="0" xfId="0" applyFont="1">
      <alignment vertical="center"/>
    </xf>
    <xf numFmtId="0" fontId="10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26" fillId="18" borderId="1" xfId="0" applyFon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 wrapText="1"/>
    </xf>
    <xf numFmtId="181" fontId="0" fillId="0" borderId="15" xfId="0" applyNumberFormat="1" applyBorder="1" applyAlignment="1">
      <alignment vertical="center" shrinkToFit="1"/>
    </xf>
    <xf numFmtId="181" fontId="0" fillId="0" borderId="2" xfId="0" applyNumberFormat="1" applyBorder="1" applyAlignment="1">
      <alignment vertical="center" shrinkToFit="1"/>
    </xf>
    <xf numFmtId="181" fontId="1" fillId="0" borderId="1" xfId="1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10" fillId="16" borderId="1" xfId="0" applyFont="1" applyFill="1" applyBorder="1">
      <alignment vertical="center"/>
    </xf>
    <xf numFmtId="0" fontId="10" fillId="18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181" fontId="0" fillId="0" borderId="14" xfId="0" applyNumberFormat="1" applyBorder="1" applyAlignment="1">
      <alignment vertical="center" shrinkToFit="1"/>
    </xf>
    <xf numFmtId="49" fontId="50" fillId="0" borderId="26" xfId="0" applyNumberFormat="1" applyFont="1" applyBorder="1" applyAlignment="1">
      <alignment horizontal="center" vertical="center" shrinkToFit="1"/>
    </xf>
    <xf numFmtId="0" fontId="50" fillId="4" borderId="26" xfId="0" applyFont="1" applyFill="1" applyBorder="1">
      <alignment vertical="center"/>
    </xf>
    <xf numFmtId="181" fontId="51" fillId="4" borderId="26" xfId="10" applyNumberFormat="1" applyFont="1" applyFill="1" applyBorder="1" applyAlignment="1">
      <alignment horizontal="right" vertical="center"/>
    </xf>
    <xf numFmtId="181" fontId="51" fillId="4" borderId="26" xfId="10" applyNumberFormat="1" applyFont="1" applyFill="1" applyBorder="1" applyAlignment="1">
      <alignment horizontal="center" vertical="center"/>
    </xf>
    <xf numFmtId="0" fontId="51" fillId="0" borderId="26" xfId="0" applyFont="1" applyBorder="1">
      <alignment vertical="center"/>
    </xf>
    <xf numFmtId="181" fontId="51" fillId="4" borderId="26" xfId="10" applyNumberFormat="1" applyFont="1" applyFill="1" applyBorder="1">
      <alignment vertical="center"/>
    </xf>
    <xf numFmtId="181" fontId="50" fillId="0" borderId="0" xfId="10" applyNumberFormat="1" applyFont="1" applyFill="1" applyBorder="1">
      <alignment vertical="center"/>
    </xf>
    <xf numFmtId="0" fontId="50" fillId="0" borderId="0" xfId="0" applyFont="1">
      <alignment vertical="center"/>
    </xf>
    <xf numFmtId="181" fontId="35" fillId="0" borderId="32" xfId="10" applyNumberFormat="1" applyFont="1" applyFill="1" applyBorder="1" applyAlignment="1">
      <alignment horizontal="left" vertical="center" shrinkToFit="1"/>
    </xf>
    <xf numFmtId="0" fontId="51" fillId="0" borderId="0" xfId="0" applyFont="1">
      <alignment vertical="center"/>
    </xf>
    <xf numFmtId="0" fontId="53" fillId="0" borderId="16" xfId="0" applyFont="1" applyBorder="1" applyAlignment="1">
      <alignment horizontal="center" vertical="center" shrinkToFit="1"/>
    </xf>
    <xf numFmtId="49" fontId="53" fillId="0" borderId="14" xfId="0" applyNumberFormat="1" applyFont="1" applyBorder="1" applyAlignment="1">
      <alignment horizontal="center" vertical="center" shrinkToFit="1"/>
    </xf>
    <xf numFmtId="49" fontId="54" fillId="0" borderId="1" xfId="0" applyNumberFormat="1" applyFont="1" applyBorder="1" applyAlignment="1">
      <alignment horizontal="center" vertical="center" shrinkToFit="1"/>
    </xf>
    <xf numFmtId="181" fontId="54" fillId="4" borderId="1" xfId="10" applyNumberFormat="1" applyFont="1" applyFill="1" applyBorder="1" applyAlignment="1">
      <alignment horizontal="right" vertical="center" wrapText="1"/>
    </xf>
    <xf numFmtId="181" fontId="54" fillId="13" borderId="1" xfId="10" applyNumberFormat="1" applyFont="1" applyFill="1" applyBorder="1">
      <alignment vertical="center"/>
    </xf>
    <xf numFmtId="181" fontId="54" fillId="4" borderId="1" xfId="10" applyNumberFormat="1" applyFont="1" applyFill="1" applyBorder="1">
      <alignment vertical="center"/>
    </xf>
    <xf numFmtId="181" fontId="30" fillId="18" borderId="1" xfId="10" applyNumberFormat="1" applyFont="1" applyFill="1" applyBorder="1">
      <alignment vertical="center"/>
    </xf>
    <xf numFmtId="181" fontId="53" fillId="0" borderId="1" xfId="10" applyNumberFormat="1" applyFont="1" applyBorder="1">
      <alignment vertical="center"/>
    </xf>
    <xf numFmtId="181" fontId="53" fillId="18" borderId="1" xfId="10" applyNumberFormat="1" applyFont="1" applyFill="1" applyBorder="1" applyAlignment="1">
      <alignment horizontal="center" vertical="center" wrapText="1"/>
    </xf>
    <xf numFmtId="0" fontId="53" fillId="0" borderId="24" xfId="0" applyFont="1" applyBorder="1" applyAlignment="1">
      <alignment horizontal="center" vertical="center"/>
    </xf>
    <xf numFmtId="0" fontId="54" fillId="0" borderId="0" xfId="0" applyFont="1">
      <alignment vertical="center"/>
    </xf>
    <xf numFmtId="0" fontId="53" fillId="0" borderId="40" xfId="0" applyFont="1" applyBorder="1" applyAlignment="1">
      <alignment horizontal="center" vertical="center" shrinkToFit="1"/>
    </xf>
    <xf numFmtId="49" fontId="53" fillId="0" borderId="1" xfId="0" applyNumberFormat="1" applyFont="1" applyBorder="1" applyAlignment="1">
      <alignment horizontal="center" vertical="center" shrinkToFit="1"/>
    </xf>
    <xf numFmtId="181" fontId="54" fillId="0" borderId="1" xfId="10" applyNumberFormat="1" applyFont="1" applyFill="1" applyBorder="1">
      <alignment vertical="center"/>
    </xf>
    <xf numFmtId="181" fontId="53" fillId="0" borderId="1" xfId="10" applyNumberFormat="1" applyFont="1" applyFill="1" applyBorder="1">
      <alignment vertical="center"/>
    </xf>
    <xf numFmtId="181" fontId="54" fillId="0" borderId="1" xfId="10" applyNumberFormat="1" applyFont="1" applyFill="1" applyBorder="1" applyAlignment="1">
      <alignment horizontal="right" vertical="center" wrapText="1"/>
    </xf>
    <xf numFmtId="0" fontId="53" fillId="0" borderId="0" xfId="0" applyFont="1">
      <alignment vertical="center"/>
    </xf>
    <xf numFmtId="180" fontId="54" fillId="4" borderId="1" xfId="10" applyNumberFormat="1" applyFont="1" applyFill="1" applyBorder="1">
      <alignment vertical="center"/>
    </xf>
    <xf numFmtId="0" fontId="54" fillId="4" borderId="0" xfId="0" applyFont="1" applyFill="1">
      <alignment vertical="center"/>
    </xf>
    <xf numFmtId="181" fontId="53" fillId="8" borderId="1" xfId="10" applyNumberFormat="1" applyFont="1" applyFill="1" applyBorder="1">
      <alignment vertical="center"/>
    </xf>
    <xf numFmtId="181" fontId="53" fillId="4" borderId="1" xfId="10" applyNumberFormat="1" applyFont="1" applyFill="1" applyBorder="1">
      <alignment vertical="center"/>
    </xf>
    <xf numFmtId="180" fontId="54" fillId="0" borderId="1" xfId="10" applyNumberFormat="1" applyFont="1" applyFill="1" applyBorder="1">
      <alignment vertical="center"/>
    </xf>
    <xf numFmtId="0" fontId="53" fillId="13" borderId="11" xfId="0" applyFont="1" applyFill="1" applyBorder="1" applyAlignment="1">
      <alignment horizontal="center" vertical="center" shrinkToFit="1"/>
    </xf>
    <xf numFmtId="49" fontId="53" fillId="13" borderId="8" xfId="0" applyNumberFormat="1" applyFont="1" applyFill="1" applyBorder="1" applyAlignment="1">
      <alignment horizontal="center" vertical="center" shrinkToFit="1"/>
    </xf>
    <xf numFmtId="181" fontId="34" fillId="13" borderId="8" xfId="10" applyNumberFormat="1" applyFont="1" applyFill="1" applyBorder="1">
      <alignment vertical="center"/>
    </xf>
    <xf numFmtId="181" fontId="53" fillId="13" borderId="38" xfId="0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49" fontId="53" fillId="0" borderId="0" xfId="0" applyNumberFormat="1" applyFont="1" applyAlignment="1">
      <alignment horizontal="center" vertical="center" shrinkToFit="1"/>
    </xf>
    <xf numFmtId="181" fontId="54" fillId="4" borderId="0" xfId="10" applyNumberFormat="1" applyFont="1" applyFill="1" applyAlignment="1">
      <alignment horizontal="right" vertical="center"/>
    </xf>
    <xf numFmtId="181" fontId="54" fillId="4" borderId="0" xfId="10" applyNumberFormat="1" applyFont="1" applyFill="1">
      <alignment vertical="center"/>
    </xf>
    <xf numFmtId="181" fontId="53" fillId="4" borderId="0" xfId="10" applyNumberFormat="1" applyFont="1" applyFill="1">
      <alignment vertical="center"/>
    </xf>
    <xf numFmtId="0" fontId="53" fillId="0" borderId="0" xfId="0" applyFont="1" applyAlignment="1">
      <alignment horizontal="center" vertical="center"/>
    </xf>
    <xf numFmtId="0" fontId="30" fillId="14" borderId="0" xfId="0" applyFont="1" applyFill="1">
      <alignment vertical="center"/>
    </xf>
    <xf numFmtId="0" fontId="53" fillId="14" borderId="0" xfId="0" applyFont="1" applyFill="1">
      <alignment vertical="center"/>
    </xf>
    <xf numFmtId="0" fontId="30" fillId="0" borderId="0" xfId="0" applyFont="1" applyAlignment="1">
      <alignment horizontal="left" vertical="top"/>
    </xf>
    <xf numFmtId="0" fontId="34" fillId="14" borderId="0" xfId="0" applyFont="1" applyFill="1" applyAlignment="1">
      <alignment vertical="center" shrinkToFit="1"/>
    </xf>
    <xf numFmtId="0" fontId="54" fillId="14" borderId="0" xfId="0" applyFont="1" applyFill="1">
      <alignment vertical="center"/>
    </xf>
    <xf numFmtId="0" fontId="56" fillId="14" borderId="0" xfId="0" applyFont="1" applyFill="1" applyAlignment="1">
      <alignment horizontal="left" vertical="center" shrinkToFit="1"/>
    </xf>
    <xf numFmtId="0" fontId="53" fillId="0" borderId="0" xfId="0" applyFont="1" applyAlignment="1">
      <alignment horizontal="center" vertical="center" shrinkToFit="1"/>
    </xf>
    <xf numFmtId="0" fontId="53" fillId="4" borderId="0" xfId="0" applyFont="1" applyFill="1">
      <alignment vertical="center"/>
    </xf>
    <xf numFmtId="0" fontId="52" fillId="0" borderId="30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15" borderId="3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4" borderId="1" xfId="0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181" fontId="0" fillId="0" borderId="0" xfId="0" applyNumberFormat="1" applyAlignment="1">
      <alignment vertical="center" wrapText="1" shrinkToFit="1"/>
    </xf>
    <xf numFmtId="0" fontId="10" fillId="0" borderId="0" xfId="0" applyFont="1" applyAlignment="1">
      <alignment vertical="center" wrapText="1" shrinkToFit="1"/>
    </xf>
    <xf numFmtId="0" fontId="0" fillId="0" borderId="2" xfId="0" applyBorder="1" applyAlignment="1">
      <alignment horizontal="center"/>
    </xf>
    <xf numFmtId="178" fontId="12" fillId="0" borderId="5" xfId="10" applyFont="1" applyFill="1" applyBorder="1" applyAlignment="1">
      <alignment vertical="center" shrinkToFit="1"/>
    </xf>
    <xf numFmtId="181" fontId="0" fillId="13" borderId="21" xfId="0" applyNumberFormat="1" applyFill="1" applyBorder="1" applyAlignment="1">
      <alignment vertical="center" shrinkToFit="1"/>
    </xf>
    <xf numFmtId="181" fontId="0" fillId="6" borderId="7" xfId="10" applyNumberFormat="1" applyFont="1" applyFill="1" applyBorder="1" applyAlignment="1">
      <alignment horizontal="center" vertical="center" wrapText="1"/>
    </xf>
    <xf numFmtId="181" fontId="12" fillId="0" borderId="47" xfId="10" applyNumberFormat="1" applyFont="1" applyFill="1" applyBorder="1" applyAlignment="1">
      <alignment vertical="center" shrinkToFit="1"/>
    </xf>
    <xf numFmtId="0" fontId="9" fillId="0" borderId="0" xfId="0" applyFont="1" applyAlignment="1">
      <alignment horizontal="center" vertical="center"/>
    </xf>
    <xf numFmtId="0" fontId="24" fillId="0" borderId="67" xfId="0" applyFont="1" applyBorder="1" applyAlignment="1">
      <alignment horizontal="center" vertical="center"/>
    </xf>
    <xf numFmtId="181" fontId="0" fillId="14" borderId="61" xfId="0" applyNumberFormat="1" applyFill="1" applyBorder="1" applyAlignment="1">
      <alignment vertical="center" shrinkToFit="1"/>
    </xf>
    <xf numFmtId="0" fontId="24" fillId="0" borderId="1" xfId="0" applyFont="1" applyBorder="1" applyAlignment="1">
      <alignment horizontal="center" vertical="center"/>
    </xf>
    <xf numFmtId="181" fontId="12" fillId="0" borderId="1" xfId="10" applyNumberFormat="1" applyFont="1" applyFill="1" applyBorder="1" applyAlignment="1">
      <alignment vertical="center" shrinkToFit="1"/>
    </xf>
    <xf numFmtId="181" fontId="1" fillId="0" borderId="14" xfId="10" applyNumberFormat="1" applyFill="1" applyBorder="1" applyAlignment="1">
      <alignment vertical="center" shrinkToFit="1"/>
    </xf>
    <xf numFmtId="181" fontId="1" fillId="0" borderId="14" xfId="10" applyNumberFormat="1" applyFont="1" applyFill="1" applyBorder="1" applyAlignment="1">
      <alignment vertical="center" shrinkToFit="1"/>
    </xf>
    <xf numFmtId="181" fontId="1" fillId="0" borderId="19" xfId="10" applyNumberFormat="1" applyFont="1" applyFill="1" applyBorder="1" applyAlignment="1">
      <alignment vertical="center" shrinkToFit="1"/>
    </xf>
    <xf numFmtId="0" fontId="0" fillId="0" borderId="29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9" fillId="0" borderId="0" xfId="0" applyFont="1">
      <alignment vertical="center"/>
    </xf>
    <xf numFmtId="0" fontId="26" fillId="0" borderId="55" xfId="0" applyFont="1" applyBorder="1">
      <alignment vertical="center"/>
    </xf>
    <xf numFmtId="0" fontId="42" fillId="19" borderId="58" xfId="0" applyFont="1" applyFill="1" applyBorder="1">
      <alignment vertical="center"/>
    </xf>
    <xf numFmtId="0" fontId="42" fillId="19" borderId="56" xfId="0" applyFont="1" applyFill="1" applyBorder="1">
      <alignment vertical="center"/>
    </xf>
    <xf numFmtId="0" fontId="42" fillId="19" borderId="59" xfId="0" applyFont="1" applyFill="1" applyBorder="1">
      <alignment vertical="center"/>
    </xf>
    <xf numFmtId="181" fontId="10" fillId="9" borderId="43" xfId="10" applyNumberFormat="1" applyFont="1" applyFill="1" applyBorder="1" applyAlignment="1">
      <alignment horizontal="center" vertical="center"/>
    </xf>
    <xf numFmtId="181" fontId="10" fillId="9" borderId="27" xfId="10" applyNumberFormat="1" applyFont="1" applyFill="1" applyBorder="1" applyAlignment="1">
      <alignment horizontal="center" vertical="center" wrapText="1"/>
    </xf>
    <xf numFmtId="0" fontId="10" fillId="14" borderId="27" xfId="0" applyFont="1" applyFill="1" applyBorder="1" applyAlignment="1">
      <alignment horizontal="center" vertical="center"/>
    </xf>
    <xf numFmtId="181" fontId="0" fillId="13" borderId="4" xfId="0" applyNumberFormat="1" applyFill="1" applyBorder="1" applyAlignment="1">
      <alignment vertical="center" shrinkToFit="1"/>
    </xf>
    <xf numFmtId="181" fontId="0" fillId="4" borderId="17" xfId="0" applyNumberFormat="1" applyFill="1" applyBorder="1" applyAlignment="1">
      <alignment vertical="center" shrinkToFit="1"/>
    </xf>
    <xf numFmtId="181" fontId="0" fillId="14" borderId="2" xfId="0" applyNumberFormat="1" applyFill="1" applyBorder="1" applyAlignment="1">
      <alignment vertical="center" shrinkToFit="1"/>
    </xf>
    <xf numFmtId="0" fontId="10" fillId="0" borderId="14" xfId="0" applyFont="1" applyBorder="1">
      <alignment vertical="center"/>
    </xf>
    <xf numFmtId="0" fontId="0" fillId="0" borderId="47" xfId="0" applyBorder="1" applyAlignment="1">
      <alignment horizontal="center" vertical="center"/>
    </xf>
    <xf numFmtId="181" fontId="54" fillId="0" borderId="14" xfId="10" applyNumberFormat="1" applyFont="1" applyFill="1" applyBorder="1">
      <alignment vertical="center"/>
    </xf>
    <xf numFmtId="181" fontId="53" fillId="0" borderId="29" xfId="10" applyNumberFormat="1" applyFont="1" applyFill="1" applyBorder="1">
      <alignment vertical="center"/>
    </xf>
    <xf numFmtId="181" fontId="53" fillId="0" borderId="14" xfId="10" applyNumberFormat="1" applyFont="1" applyFill="1" applyBorder="1">
      <alignment vertical="center"/>
    </xf>
    <xf numFmtId="181" fontId="0" fillId="9" borderId="14" xfId="10" applyNumberFormat="1" applyFont="1" applyFill="1" applyBorder="1">
      <alignment vertical="center"/>
    </xf>
    <xf numFmtId="181" fontId="54" fillId="0" borderId="14" xfId="10" applyNumberFormat="1" applyFont="1" applyFill="1" applyBorder="1" applyAlignment="1">
      <alignment horizontal="right" vertical="center" wrapText="1"/>
    </xf>
    <xf numFmtId="0" fontId="10" fillId="16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horizontal="center" vertical="center"/>
    </xf>
    <xf numFmtId="0" fontId="10" fillId="5" borderId="1" xfId="0" applyFont="1" applyFill="1" applyBorder="1">
      <alignment vertical="center"/>
    </xf>
    <xf numFmtId="49" fontId="53" fillId="4" borderId="1" xfId="0" applyNumberFormat="1" applyFont="1" applyFill="1" applyBorder="1" applyAlignment="1">
      <alignment horizontal="center" vertical="center" shrinkToFit="1"/>
    </xf>
    <xf numFmtId="181" fontId="54" fillId="4" borderId="14" xfId="10" applyNumberFormat="1" applyFont="1" applyFill="1" applyBorder="1">
      <alignment vertical="center"/>
    </xf>
    <xf numFmtId="0" fontId="53" fillId="0" borderId="54" xfId="0" applyFont="1" applyBorder="1" applyAlignment="1">
      <alignment horizontal="center" vertical="center"/>
    </xf>
    <xf numFmtId="181" fontId="53" fillId="18" borderId="5" xfId="10" applyNumberFormat="1" applyFont="1" applyFill="1" applyBorder="1" applyAlignment="1">
      <alignment horizontal="center" vertical="center" wrapText="1"/>
    </xf>
    <xf numFmtId="181" fontId="53" fillId="8" borderId="5" xfId="10" applyNumberFormat="1" applyFont="1" applyFill="1" applyBorder="1" applyAlignment="1">
      <alignment horizontal="center" vertical="center" wrapText="1"/>
    </xf>
    <xf numFmtId="49" fontId="54" fillId="0" borderId="5" xfId="0" applyNumberFormat="1" applyFont="1" applyBorder="1" applyAlignment="1">
      <alignment horizontal="center" vertical="center" shrinkToFit="1"/>
    </xf>
    <xf numFmtId="181" fontId="54" fillId="0" borderId="5" xfId="10" applyNumberFormat="1" applyFont="1" applyFill="1" applyBorder="1" applyAlignment="1">
      <alignment horizontal="right" vertical="center" wrapText="1"/>
    </xf>
    <xf numFmtId="181" fontId="54" fillId="0" borderId="5" xfId="10" applyNumberFormat="1" applyFont="1" applyFill="1" applyBorder="1">
      <alignment vertical="center"/>
    </xf>
    <xf numFmtId="180" fontId="54" fillId="0" borderId="5" xfId="10" applyNumberFormat="1" applyFont="1" applyFill="1" applyBorder="1">
      <alignment vertical="center"/>
    </xf>
    <xf numFmtId="181" fontId="53" fillId="0" borderId="28" xfId="10" applyNumberFormat="1" applyFont="1" applyFill="1" applyBorder="1">
      <alignment vertical="center"/>
    </xf>
    <xf numFmtId="181" fontId="53" fillId="0" borderId="5" xfId="10" applyNumberFormat="1" applyFont="1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49" fontId="54" fillId="4" borderId="1" xfId="0" applyNumberFormat="1" applyFont="1" applyFill="1" applyBorder="1" applyAlignment="1">
      <alignment horizontal="center" vertical="center" shrinkToFit="1"/>
    </xf>
    <xf numFmtId="181" fontId="53" fillId="0" borderId="28" xfId="10" applyNumberFormat="1" applyFont="1" applyFill="1" applyBorder="1" applyAlignment="1">
      <alignment horizontal="center" vertical="center" wrapText="1"/>
    </xf>
    <xf numFmtId="181" fontId="53" fillId="8" borderId="14" xfId="10" applyNumberFormat="1" applyFont="1" applyFill="1" applyBorder="1">
      <alignment vertical="center"/>
    </xf>
    <xf numFmtId="181" fontId="0" fillId="8" borderId="14" xfId="10" applyNumberFormat="1" applyFont="1" applyFill="1" applyBorder="1">
      <alignment vertical="center"/>
    </xf>
    <xf numFmtId="181" fontId="53" fillId="8" borderId="28" xfId="10" applyNumberFormat="1" applyFont="1" applyFill="1" applyBorder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53" fillId="8" borderId="41" xfId="0" applyFont="1" applyFill="1" applyBorder="1" applyAlignment="1">
      <alignment horizontal="center" vertical="center"/>
    </xf>
    <xf numFmtId="179" fontId="0" fillId="4" borderId="0" xfId="0" applyNumberFormat="1" applyFill="1" applyAlignment="1">
      <alignment horizontal="center" vertical="center"/>
    </xf>
    <xf numFmtId="0" fontId="43" fillId="11" borderId="16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0" fontId="43" fillId="0" borderId="16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179" fontId="43" fillId="14" borderId="24" xfId="0" applyNumberFormat="1" applyFont="1" applyFill="1" applyBorder="1" applyAlignment="1">
      <alignment horizontal="center" vertical="center"/>
    </xf>
    <xf numFmtId="0" fontId="43" fillId="14" borderId="24" xfId="0" applyFont="1" applyFill="1" applyBorder="1" applyAlignment="1">
      <alignment horizontal="center" vertical="center"/>
    </xf>
    <xf numFmtId="0" fontId="43" fillId="18" borderId="16" xfId="0" applyFont="1" applyFill="1" applyBorder="1" applyAlignment="1">
      <alignment horizontal="left" vertical="center"/>
    </xf>
    <xf numFmtId="0" fontId="43" fillId="18" borderId="1" xfId="0" applyFont="1" applyFill="1" applyBorder="1" applyAlignment="1">
      <alignment horizontal="center" vertical="center"/>
    </xf>
    <xf numFmtId="0" fontId="43" fillId="18" borderId="24" xfId="0" applyFont="1" applyFill="1" applyBorder="1" applyAlignment="1">
      <alignment horizontal="center" vertical="center"/>
    </xf>
    <xf numFmtId="0" fontId="43" fillId="18" borderId="11" xfId="0" applyFont="1" applyFill="1" applyBorder="1" applyAlignment="1">
      <alignment horizontal="left" vertical="center"/>
    </xf>
    <xf numFmtId="0" fontId="43" fillId="18" borderId="8" xfId="0" applyFont="1" applyFill="1" applyBorder="1" applyAlignment="1">
      <alignment horizontal="center" vertical="center"/>
    </xf>
    <xf numFmtId="0" fontId="43" fillId="18" borderId="44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10" fillId="0" borderId="9" xfId="0" applyFont="1" applyBorder="1">
      <alignment vertical="center"/>
    </xf>
    <xf numFmtId="0" fontId="0" fillId="14" borderId="9" xfId="0" applyFill="1" applyBorder="1">
      <alignment vertical="center"/>
    </xf>
    <xf numFmtId="0" fontId="0" fillId="0" borderId="33" xfId="0" applyBorder="1">
      <alignment vertical="center"/>
    </xf>
    <xf numFmtId="0" fontId="0" fillId="0" borderId="61" xfId="0" applyBorder="1">
      <alignment vertical="center"/>
    </xf>
    <xf numFmtId="0" fontId="0" fillId="14" borderId="24" xfId="0" applyFill="1" applyBorder="1">
      <alignment vertical="center"/>
    </xf>
    <xf numFmtId="0" fontId="10" fillId="14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0" fillId="14" borderId="44" xfId="0" applyFill="1" applyBorder="1">
      <alignment vertical="center"/>
    </xf>
    <xf numFmtId="181" fontId="38" fillId="0" borderId="1" xfId="10" applyNumberFormat="1" applyFont="1" applyBorder="1">
      <alignment vertical="center"/>
    </xf>
    <xf numFmtId="181" fontId="43" fillId="18" borderId="1" xfId="10" applyNumberFormat="1" applyFont="1" applyFill="1" applyBorder="1">
      <alignment vertical="center"/>
    </xf>
    <xf numFmtId="181" fontId="43" fillId="18" borderId="8" xfId="10" applyNumberFormat="1" applyFont="1" applyFill="1" applyBorder="1">
      <alignment vertical="center"/>
    </xf>
    <xf numFmtId="181" fontId="43" fillId="5" borderId="1" xfId="10" applyNumberFormat="1" applyFont="1" applyFill="1" applyBorder="1" applyAlignment="1">
      <alignment horizontal="center" vertical="center"/>
    </xf>
    <xf numFmtId="181" fontId="43" fillId="5" borderId="2" xfId="10" applyNumberFormat="1" applyFont="1" applyFill="1" applyBorder="1" applyAlignment="1">
      <alignment horizontal="center" vertical="center"/>
    </xf>
    <xf numFmtId="181" fontId="43" fillId="18" borderId="1" xfId="10" applyNumberFormat="1" applyFont="1" applyFill="1" applyBorder="1" applyAlignment="1">
      <alignment horizontal="center" vertical="center"/>
    </xf>
    <xf numFmtId="181" fontId="43" fillId="18" borderId="8" xfId="10" applyNumberFormat="1" applyFont="1" applyFill="1" applyBorder="1" applyAlignment="1">
      <alignment horizontal="center" vertical="center"/>
    </xf>
    <xf numFmtId="0" fontId="43" fillId="4" borderId="16" xfId="0" applyFont="1" applyFill="1" applyBorder="1" applyAlignment="1">
      <alignment horizontal="left" vertical="center"/>
    </xf>
    <xf numFmtId="0" fontId="43" fillId="4" borderId="1" xfId="0" applyFont="1" applyFill="1" applyBorder="1" applyAlignment="1">
      <alignment horizontal="center" vertical="center"/>
    </xf>
    <xf numFmtId="181" fontId="43" fillId="4" borderId="2" xfId="10" applyNumberFormat="1" applyFont="1" applyFill="1" applyBorder="1" applyAlignment="1">
      <alignment horizontal="center" vertical="center"/>
    </xf>
    <xf numFmtId="181" fontId="38" fillId="4" borderId="1" xfId="10" applyNumberFormat="1" applyFont="1" applyFill="1" applyBorder="1">
      <alignment vertical="center"/>
    </xf>
    <xf numFmtId="0" fontId="43" fillId="4" borderId="24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/>
    </xf>
    <xf numFmtId="181" fontId="0" fillId="5" borderId="1" xfId="0" applyNumberFormat="1" applyFill="1" applyBorder="1" applyAlignment="1">
      <alignment vertical="center" shrinkToFit="1"/>
    </xf>
    <xf numFmtId="0" fontId="51" fillId="0" borderId="58" xfId="0" applyFont="1" applyBorder="1" applyAlignment="1">
      <alignment horizontal="left" vertical="center" wrapText="1"/>
    </xf>
    <xf numFmtId="0" fontId="51" fillId="0" borderId="56" xfId="0" applyFont="1" applyBorder="1" applyAlignment="1">
      <alignment horizontal="left" vertical="center" wrapText="1"/>
    </xf>
    <xf numFmtId="0" fontId="0" fillId="14" borderId="26" xfId="0" applyFill="1" applyBorder="1" applyAlignment="1">
      <alignment horizontal="center" vertical="center" wrapText="1"/>
    </xf>
    <xf numFmtId="181" fontId="0" fillId="4" borderId="18" xfId="0" applyNumberFormat="1" applyFill="1" applyBorder="1" applyAlignment="1">
      <alignment vertical="center" shrinkToFit="1"/>
    </xf>
    <xf numFmtId="181" fontId="0" fillId="4" borderId="57" xfId="0" applyNumberFormat="1" applyFill="1" applyBorder="1" applyAlignment="1">
      <alignment vertical="center" shrinkToFit="1"/>
    </xf>
    <xf numFmtId="181" fontId="0" fillId="5" borderId="1" xfId="10" applyNumberFormat="1" applyFont="1" applyFill="1" applyBorder="1">
      <alignment vertical="center"/>
    </xf>
    <xf numFmtId="181" fontId="55" fillId="4" borderId="0" xfId="10" applyNumberFormat="1" applyFont="1" applyFill="1">
      <alignment vertical="center"/>
    </xf>
    <xf numFmtId="0" fontId="55" fillId="0" borderId="0" xfId="0" applyFont="1">
      <alignment vertical="center"/>
    </xf>
    <xf numFmtId="0" fontId="21" fillId="0" borderId="1" xfId="0" applyFont="1" applyBorder="1">
      <alignment vertical="center"/>
    </xf>
    <xf numFmtId="0" fontId="0" fillId="0" borderId="17" xfId="0" applyBorder="1" applyAlignment="1">
      <alignment horizontal="center"/>
    </xf>
    <xf numFmtId="0" fontId="10" fillId="0" borderId="24" xfId="0" applyFont="1" applyBorder="1" applyAlignment="1">
      <alignment horizontal="center"/>
    </xf>
    <xf numFmtId="181" fontId="38" fillId="5" borderId="0" xfId="10" applyNumberFormat="1" applyFont="1" applyFill="1">
      <alignment vertical="center"/>
    </xf>
    <xf numFmtId="0" fontId="21" fillId="0" borderId="54" xfId="0" applyFont="1" applyBorder="1" applyAlignment="1">
      <alignment vertical="center" wrapText="1"/>
    </xf>
    <xf numFmtId="181" fontId="21" fillId="0" borderId="24" xfId="0" applyNumberFormat="1" applyFont="1" applyBorder="1" applyAlignment="1">
      <alignment vertical="center" wrapText="1"/>
    </xf>
    <xf numFmtId="181" fontId="21" fillId="0" borderId="41" xfId="0" applyNumberFormat="1" applyFont="1" applyBorder="1" applyAlignment="1">
      <alignment vertical="center" wrapText="1"/>
    </xf>
    <xf numFmtId="181" fontId="59" fillId="0" borderId="24" xfId="0" applyNumberFormat="1" applyFont="1" applyBorder="1" applyAlignment="1">
      <alignment vertical="center" wrapText="1"/>
    </xf>
    <xf numFmtId="181" fontId="41" fillId="0" borderId="0" xfId="10" applyNumberFormat="1" applyFont="1" applyBorder="1" applyAlignment="1">
      <alignment horizontal="right" vertical="center"/>
    </xf>
    <xf numFmtId="0" fontId="41" fillId="0" borderId="0" xfId="0" applyFont="1" applyAlignment="1">
      <alignment horizontal="left" vertical="center"/>
    </xf>
    <xf numFmtId="181" fontId="54" fillId="13" borderId="14" xfId="10" applyNumberFormat="1" applyFont="1" applyFill="1" applyBorder="1">
      <alignment vertical="center"/>
    </xf>
    <xf numFmtId="180" fontId="54" fillId="0" borderId="14" xfId="10" applyNumberFormat="1" applyFont="1" applyFill="1" applyBorder="1">
      <alignment vertical="center"/>
    </xf>
    <xf numFmtId="181" fontId="53" fillId="0" borderId="1" xfId="10" applyNumberFormat="1" applyFont="1" applyFill="1" applyBorder="1" applyAlignment="1">
      <alignment horizontal="center" vertical="center" wrapText="1"/>
    </xf>
    <xf numFmtId="181" fontId="53" fillId="0" borderId="62" xfId="10" applyNumberFormat="1" applyFont="1" applyFill="1" applyBorder="1" applyAlignment="1">
      <alignment horizontal="left" vertical="center" wrapText="1"/>
    </xf>
    <xf numFmtId="0" fontId="53" fillId="0" borderId="16" xfId="0" applyFont="1" applyBorder="1" applyAlignment="1">
      <alignment horizontal="center" vertical="center" wrapText="1" shrinkToFit="1"/>
    </xf>
    <xf numFmtId="181" fontId="53" fillId="0" borderId="26" xfId="10" applyNumberFormat="1" applyFont="1" applyFill="1" applyBorder="1">
      <alignment vertical="center"/>
    </xf>
    <xf numFmtId="49" fontId="9" fillId="0" borderId="26" xfId="0" applyNumberFormat="1" applyFont="1" applyBorder="1" applyAlignment="1">
      <alignment horizontal="center" vertical="center" shrinkToFit="1"/>
    </xf>
    <xf numFmtId="0" fontId="0" fillId="0" borderId="55" xfId="0" applyBorder="1">
      <alignment vertical="center"/>
    </xf>
    <xf numFmtId="181" fontId="0" fillId="0" borderId="40" xfId="10" applyNumberFormat="1" applyFont="1" applyBorder="1">
      <alignment vertical="center"/>
    </xf>
    <xf numFmtId="0" fontId="17" fillId="0" borderId="0" xfId="0" applyFont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38" fontId="23" fillId="4" borderId="0" xfId="0" applyNumberFormat="1" applyFont="1" applyFill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6" fillId="4" borderId="0" xfId="0" applyFont="1" applyFill="1">
      <alignment vertical="center"/>
    </xf>
    <xf numFmtId="0" fontId="6" fillId="18" borderId="74" xfId="0" applyFont="1" applyFill="1" applyBorder="1" applyAlignment="1">
      <alignment horizontal="center"/>
    </xf>
    <xf numFmtId="0" fontId="6" fillId="18" borderId="77" xfId="0" applyFont="1" applyFill="1" applyBorder="1" applyAlignment="1">
      <alignment horizontal="center" wrapText="1"/>
    </xf>
    <xf numFmtId="0" fontId="6" fillId="18" borderId="9" xfId="0" applyFont="1" applyFill="1" applyBorder="1" applyAlignment="1">
      <alignment horizontal="center" wrapText="1"/>
    </xf>
    <xf numFmtId="0" fontId="6" fillId="0" borderId="0" xfId="0" applyFont="1" applyAlignment="1"/>
    <xf numFmtId="0" fontId="6" fillId="18" borderId="80" xfId="0" applyFont="1" applyFill="1" applyBorder="1" applyAlignment="1">
      <alignment horizontal="center"/>
    </xf>
    <xf numFmtId="0" fontId="6" fillId="18" borderId="83" xfId="0" applyFont="1" applyFill="1" applyBorder="1" applyAlignment="1">
      <alignment horizontal="center" wrapText="1"/>
    </xf>
    <xf numFmtId="0" fontId="6" fillId="18" borderId="56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/>
    </xf>
    <xf numFmtId="1" fontId="6" fillId="0" borderId="5" xfId="0" applyNumberFormat="1" applyFont="1" applyBorder="1" applyAlignment="1"/>
    <xf numFmtId="38" fontId="17" fillId="9" borderId="1" xfId="0" applyNumberFormat="1" applyFont="1" applyFill="1" applyBorder="1" applyAlignment="1"/>
    <xf numFmtId="1" fontId="6" fillId="9" borderId="5" xfId="0" applyNumberFormat="1" applyFont="1" applyFill="1" applyBorder="1" applyAlignment="1"/>
    <xf numFmtId="1" fontId="7" fillId="0" borderId="68" xfId="0" applyNumberFormat="1" applyFont="1" applyBorder="1" applyAlignment="1"/>
    <xf numFmtId="1" fontId="6" fillId="0" borderId="0" xfId="0" applyNumberFormat="1" applyFont="1" applyAlignment="1"/>
    <xf numFmtId="181" fontId="6" fillId="0" borderId="0" xfId="0" applyNumberFormat="1" applyFont="1" applyAlignment="1"/>
    <xf numFmtId="1" fontId="6" fillId="0" borderId="1" xfId="0" applyNumberFormat="1" applyFont="1" applyBorder="1" applyAlignment="1"/>
    <xf numFmtId="0" fontId="6" fillId="0" borderId="43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17" xfId="0" applyFont="1" applyBorder="1" applyAlignment="1"/>
    <xf numFmtId="0" fontId="6" fillId="0" borderId="1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" fontId="2" fillId="0" borderId="68" xfId="0" applyNumberFormat="1" applyFont="1" applyBorder="1" applyAlignment="1"/>
    <xf numFmtId="1" fontId="6" fillId="8" borderId="1" xfId="0" applyNumberFormat="1" applyFont="1" applyFill="1" applyBorder="1" applyAlignment="1"/>
    <xf numFmtId="1" fontId="7" fillId="0" borderId="68" xfId="0" applyNumberFormat="1" applyFont="1" applyBorder="1" applyAlignment="1">
      <alignment vertical="center" wrapText="1"/>
    </xf>
    <xf numFmtId="1" fontId="6" fillId="4" borderId="1" xfId="0" applyNumberFormat="1" applyFont="1" applyFill="1" applyBorder="1" applyAlignment="1"/>
    <xf numFmtId="1" fontId="31" fillId="0" borderId="1" xfId="0" applyNumberFormat="1" applyFont="1" applyBorder="1" applyAlignment="1"/>
    <xf numFmtId="1" fontId="6" fillId="23" borderId="1" xfId="0" applyNumberFormat="1" applyFont="1" applyFill="1" applyBorder="1" applyAlignment="1"/>
    <xf numFmtId="0" fontId="6" fillId="0" borderId="28" xfId="0" applyFont="1" applyBorder="1" applyAlignment="1"/>
    <xf numFmtId="1" fontId="6" fillId="0" borderId="14" xfId="0" applyNumberFormat="1" applyFont="1" applyBorder="1" applyAlignment="1"/>
    <xf numFmtId="1" fontId="7" fillId="0" borderId="0" xfId="0" applyNumberFormat="1" applyFont="1" applyAlignment="1"/>
    <xf numFmtId="0" fontId="31" fillId="0" borderId="0" xfId="0" applyFont="1" applyAlignment="1"/>
    <xf numFmtId="181" fontId="31" fillId="0" borderId="0" xfId="0" applyNumberFormat="1" applyFont="1" applyAlignment="1"/>
    <xf numFmtId="1" fontId="62" fillId="0" borderId="0" xfId="0" applyNumberFormat="1" applyFont="1" applyAlignment="1"/>
    <xf numFmtId="1" fontId="7" fillId="5" borderId="1" xfId="0" applyNumberFormat="1" applyFont="1" applyFill="1" applyBorder="1" applyAlignment="1"/>
    <xf numFmtId="0" fontId="7" fillId="0" borderId="0" xfId="0" applyFont="1" applyAlignment="1"/>
    <xf numFmtId="1" fontId="63" fillId="0" borderId="1" xfId="0" applyNumberFormat="1" applyFont="1" applyBorder="1">
      <alignment vertical="center"/>
    </xf>
    <xf numFmtId="0" fontId="21" fillId="0" borderId="1" xfId="0" applyFont="1" applyBorder="1" applyAlignment="1">
      <alignment horizontal="left" vertical="center"/>
    </xf>
    <xf numFmtId="1" fontId="6" fillId="0" borderId="47" xfId="0" applyNumberFormat="1" applyFont="1" applyBorder="1" applyAlignment="1"/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" fillId="4" borderId="0" xfId="0" applyFont="1" applyFill="1" applyAlignment="1"/>
    <xf numFmtId="38" fontId="23" fillId="4" borderId="0" xfId="0" applyNumberFormat="1" applyFont="1" applyFill="1" applyAlignment="1"/>
    <xf numFmtId="1" fontId="7" fillId="4" borderId="0" xfId="0" applyNumberFormat="1" applyFont="1" applyFill="1" applyAlignment="1">
      <alignment horizontal="center"/>
    </xf>
    <xf numFmtId="0" fontId="6" fillId="4" borderId="0" xfId="0" applyFont="1" applyFill="1" applyAlignment="1"/>
    <xf numFmtId="0" fontId="1" fillId="4" borderId="0" xfId="0" applyFont="1" applyFill="1" applyAlignment="1">
      <alignment horizontal="center"/>
    </xf>
    <xf numFmtId="189" fontId="7" fillId="4" borderId="0" xfId="0" applyNumberFormat="1" applyFont="1" applyFill="1" applyAlignment="1"/>
    <xf numFmtId="1" fontId="1" fillId="4" borderId="0" xfId="0" applyNumberFormat="1" applyFont="1" applyFill="1" applyAlignment="1"/>
    <xf numFmtId="0" fontId="7" fillId="4" borderId="0" xfId="0" applyFont="1" applyFill="1" applyAlignment="1"/>
    <xf numFmtId="0" fontId="6" fillId="4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6" fillId="0" borderId="0" xfId="0" applyFont="1" applyAlignment="1">
      <alignment horizontal="left"/>
    </xf>
    <xf numFmtId="38" fontId="23" fillId="0" borderId="0" xfId="0" applyNumberFormat="1" applyFont="1" applyAlignment="1"/>
    <xf numFmtId="0" fontId="64" fillId="0" borderId="0" xfId="0" applyFont="1">
      <alignment vertical="center"/>
    </xf>
    <xf numFmtId="0" fontId="66" fillId="0" borderId="0" xfId="0" applyFont="1" applyAlignment="1">
      <alignment horizontal="right" vertical="center"/>
    </xf>
    <xf numFmtId="0" fontId="64" fillId="5" borderId="0" xfId="0" applyFont="1" applyFill="1">
      <alignment vertical="center"/>
    </xf>
    <xf numFmtId="0" fontId="67" fillId="0" borderId="0" xfId="0" applyFont="1">
      <alignment vertical="center"/>
    </xf>
    <xf numFmtId="0" fontId="5" fillId="0" borderId="3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4" fillId="0" borderId="0" xfId="0" applyFont="1">
      <alignment vertical="center"/>
    </xf>
    <xf numFmtId="0" fontId="67" fillId="5" borderId="0" xfId="0" applyFont="1" applyFill="1">
      <alignment vertical="center"/>
    </xf>
    <xf numFmtId="0" fontId="5" fillId="0" borderId="71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181" fontId="67" fillId="0" borderId="1" xfId="10" applyNumberFormat="1" applyFont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190" fontId="5" fillId="9" borderId="24" xfId="19" applyNumberFormat="1" applyFont="1" applyFill="1" applyBorder="1" applyAlignment="1">
      <alignment horizontal="center" vertical="center" shrinkToFit="1"/>
    </xf>
    <xf numFmtId="0" fontId="5" fillId="0" borderId="24" xfId="0" applyFont="1" applyBorder="1">
      <alignment vertical="center"/>
    </xf>
    <xf numFmtId="0" fontId="5" fillId="0" borderId="1" xfId="0" applyFont="1" applyBorder="1">
      <alignment vertical="center"/>
    </xf>
    <xf numFmtId="190" fontId="5" fillId="0" borderId="16" xfId="19" applyNumberFormat="1" applyFont="1" applyBorder="1" applyAlignment="1">
      <alignment horizontal="center" vertical="center" shrinkToFit="1"/>
    </xf>
    <xf numFmtId="180" fontId="67" fillId="0" borderId="1" xfId="10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90" fontId="5" fillId="21" borderId="24" xfId="19" applyNumberFormat="1" applyFont="1" applyFill="1" applyBorder="1" applyAlignment="1">
      <alignment horizontal="center" vertical="center" shrinkToFit="1"/>
    </xf>
    <xf numFmtId="190" fontId="5" fillId="0" borderId="24" xfId="19" applyNumberFormat="1" applyFont="1" applyBorder="1" applyAlignment="1">
      <alignment horizontal="center" vertical="center" shrinkToFit="1"/>
    </xf>
    <xf numFmtId="190" fontId="5" fillId="4" borderId="16" xfId="19" applyNumberFormat="1" applyFont="1" applyFill="1" applyBorder="1" applyAlignment="1">
      <alignment horizontal="center" vertical="center" shrinkToFit="1"/>
    </xf>
    <xf numFmtId="181" fontId="67" fillId="21" borderId="1" xfId="10" applyNumberFormat="1" applyFont="1" applyFill="1" applyBorder="1">
      <alignment vertical="center"/>
    </xf>
    <xf numFmtId="0" fontId="67" fillId="0" borderId="1" xfId="0" applyFont="1" applyBorder="1">
      <alignment vertical="center"/>
    </xf>
    <xf numFmtId="181" fontId="67" fillId="0" borderId="24" xfId="10" applyNumberFormat="1" applyFont="1" applyBorder="1">
      <alignment vertical="center"/>
    </xf>
    <xf numFmtId="0" fontId="67" fillId="0" borderId="1" xfId="0" applyFont="1" applyBorder="1" applyAlignment="1">
      <alignment horizontal="center" vertical="center"/>
    </xf>
    <xf numFmtId="0" fontId="69" fillId="9" borderId="1" xfId="0" applyFont="1" applyFill="1" applyBorder="1" applyAlignment="1">
      <alignment horizontal="center" vertical="center"/>
    </xf>
    <xf numFmtId="181" fontId="67" fillId="4" borderId="1" xfId="10" applyNumberFormat="1" applyFont="1" applyFill="1" applyBorder="1">
      <alignment vertical="center"/>
    </xf>
    <xf numFmtId="181" fontId="67" fillId="0" borderId="1" xfId="10" applyNumberFormat="1" applyFont="1" applyFill="1" applyBorder="1">
      <alignment vertical="center"/>
    </xf>
    <xf numFmtId="190" fontId="5" fillId="0" borderId="16" xfId="19" applyNumberFormat="1" applyFont="1" applyFill="1" applyBorder="1" applyAlignment="1">
      <alignment horizontal="center" vertical="center" shrinkToFit="1"/>
    </xf>
    <xf numFmtId="0" fontId="67" fillId="21" borderId="60" xfId="0" applyFont="1" applyFill="1" applyBorder="1" applyAlignment="1">
      <alignment horizontal="right" vertical="center"/>
    </xf>
    <xf numFmtId="0" fontId="70" fillId="0" borderId="0" xfId="0" applyFont="1">
      <alignment vertical="center"/>
    </xf>
    <xf numFmtId="181" fontId="70" fillId="21" borderId="1" xfId="10" applyNumberFormat="1" applyFont="1" applyFill="1" applyBorder="1">
      <alignment vertical="center"/>
    </xf>
    <xf numFmtId="0" fontId="70" fillId="0" borderId="1" xfId="0" applyFont="1" applyBorder="1" applyAlignment="1">
      <alignment horizontal="center" vertical="center"/>
    </xf>
    <xf numFmtId="190" fontId="71" fillId="0" borderId="16" xfId="19" applyNumberFormat="1" applyFont="1" applyBorder="1" applyAlignment="1">
      <alignment horizontal="center" vertical="center" shrinkToFit="1"/>
    </xf>
    <xf numFmtId="0" fontId="70" fillId="0" borderId="1" xfId="0" applyFont="1" applyBorder="1">
      <alignment vertical="center"/>
    </xf>
    <xf numFmtId="181" fontId="70" fillId="0" borderId="24" xfId="10" applyNumberFormat="1" applyFont="1" applyBorder="1">
      <alignment vertical="center"/>
    </xf>
    <xf numFmtId="0" fontId="72" fillId="0" borderId="0" xfId="0" applyFont="1">
      <alignment vertical="center"/>
    </xf>
    <xf numFmtId="181" fontId="70" fillId="0" borderId="1" xfId="10" applyNumberFormat="1" applyFont="1" applyBorder="1">
      <alignment vertical="center"/>
    </xf>
    <xf numFmtId="0" fontId="70" fillId="0" borderId="24" xfId="0" applyFont="1" applyBorder="1" applyAlignment="1">
      <alignment horizontal="center" vertical="center"/>
    </xf>
    <xf numFmtId="181" fontId="70" fillId="21" borderId="24" xfId="10" applyNumberFormat="1" applyFont="1" applyFill="1" applyBorder="1">
      <alignment vertical="center"/>
    </xf>
    <xf numFmtId="190" fontId="71" fillId="4" borderId="16" xfId="19" applyNumberFormat="1" applyFont="1" applyFill="1" applyBorder="1" applyAlignment="1">
      <alignment horizontal="center" vertical="center" shrinkToFit="1"/>
    </xf>
    <xf numFmtId="1" fontId="73" fillId="9" borderId="10" xfId="0" applyNumberFormat="1" applyFont="1" applyFill="1" applyBorder="1" applyAlignment="1">
      <alignment horizontal="center" vertical="center"/>
    </xf>
    <xf numFmtId="0" fontId="71" fillId="9" borderId="1" xfId="0" applyFont="1" applyFill="1" applyBorder="1" applyAlignment="1">
      <alignment horizontal="center" vertical="center"/>
    </xf>
    <xf numFmtId="190" fontId="71" fillId="9" borderId="24" xfId="19" applyNumberFormat="1" applyFont="1" applyFill="1" applyBorder="1" applyAlignment="1">
      <alignment horizontal="center" vertical="center" shrinkToFit="1"/>
    </xf>
    <xf numFmtId="0" fontId="70" fillId="0" borderId="24" xfId="0" applyFont="1" applyBorder="1">
      <alignment vertical="center"/>
    </xf>
    <xf numFmtId="0" fontId="72" fillId="0" borderId="1" xfId="0" applyFont="1" applyBorder="1">
      <alignment vertical="center"/>
    </xf>
    <xf numFmtId="190" fontId="71" fillId="0" borderId="16" xfId="19" applyNumberFormat="1" applyFont="1" applyFill="1" applyBorder="1" applyAlignment="1">
      <alignment horizontal="center" vertical="center" shrinkToFit="1"/>
    </xf>
    <xf numFmtId="181" fontId="70" fillId="0" borderId="1" xfId="10" applyNumberFormat="1" applyFont="1" applyFill="1" applyBorder="1">
      <alignment vertical="center"/>
    </xf>
    <xf numFmtId="0" fontId="71" fillId="0" borderId="1" xfId="0" applyFont="1" applyBorder="1">
      <alignment vertical="center"/>
    </xf>
    <xf numFmtId="0" fontId="71" fillId="0" borderId="24" xfId="0" applyFont="1" applyBorder="1">
      <alignment vertical="center"/>
    </xf>
    <xf numFmtId="0" fontId="71" fillId="0" borderId="1" xfId="0" applyFont="1" applyBorder="1" applyAlignment="1">
      <alignment horizontal="center" vertical="center"/>
    </xf>
    <xf numFmtId="0" fontId="70" fillId="5" borderId="0" xfId="0" applyFont="1" applyFill="1">
      <alignment vertical="center"/>
    </xf>
    <xf numFmtId="190" fontId="71" fillId="21" borderId="24" xfId="19" applyNumberFormat="1" applyFont="1" applyFill="1" applyBorder="1" applyAlignment="1">
      <alignment horizontal="center" vertical="center" shrinkToFit="1"/>
    </xf>
    <xf numFmtId="190" fontId="71" fillId="0" borderId="16" xfId="19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181" fontId="74" fillId="0" borderId="1" xfId="10" applyNumberFormat="1" applyFont="1" applyBorder="1">
      <alignment vertical="center"/>
    </xf>
    <xf numFmtId="181" fontId="67" fillId="21" borderId="24" xfId="10" applyNumberFormat="1" applyFont="1" applyFill="1" applyBorder="1">
      <alignment vertical="center"/>
    </xf>
    <xf numFmtId="181" fontId="74" fillId="0" borderId="1" xfId="10" applyNumberFormat="1" applyFont="1" applyFill="1" applyBorder="1">
      <alignment vertical="center"/>
    </xf>
    <xf numFmtId="0" fontId="5" fillId="9" borderId="86" xfId="0" applyFont="1" applyFill="1" applyBorder="1" applyAlignment="1">
      <alignment horizontal="center" vertical="center"/>
    </xf>
    <xf numFmtId="0" fontId="67" fillId="0" borderId="24" xfId="0" applyFont="1" applyBorder="1">
      <alignment vertical="center"/>
    </xf>
    <xf numFmtId="0" fontId="75" fillId="0" borderId="16" xfId="0" applyFont="1" applyBorder="1" applyAlignment="1">
      <alignment horizontal="center" vertical="center"/>
    </xf>
    <xf numFmtId="181" fontId="68" fillId="0" borderId="1" xfId="10" applyNumberFormat="1" applyFont="1" applyFill="1" applyBorder="1">
      <alignment vertical="center"/>
    </xf>
    <xf numFmtId="0" fontId="52" fillId="0" borderId="1" xfId="0" applyFont="1" applyBorder="1" applyAlignment="1">
      <alignment horizontal="left" vertical="center" wrapText="1"/>
    </xf>
    <xf numFmtId="0" fontId="74" fillId="0" borderId="1" xfId="0" applyFont="1" applyBorder="1">
      <alignment vertical="center"/>
    </xf>
    <xf numFmtId="0" fontId="68" fillId="0" borderId="16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51" fillId="5" borderId="0" xfId="0" applyFont="1" applyFill="1">
      <alignment vertical="center"/>
    </xf>
    <xf numFmtId="0" fontId="69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69" fillId="5" borderId="0" xfId="0" applyFont="1" applyFill="1" applyAlignment="1">
      <alignment horizontal="left" vertical="center"/>
    </xf>
    <xf numFmtId="0" fontId="67" fillId="0" borderId="61" xfId="0" applyFont="1" applyBorder="1">
      <alignment vertical="center"/>
    </xf>
    <xf numFmtId="0" fontId="67" fillId="0" borderId="58" xfId="0" applyFont="1" applyBorder="1">
      <alignment vertical="center"/>
    </xf>
    <xf numFmtId="0" fontId="76" fillId="0" borderId="0" xfId="0" applyFont="1" applyAlignment="1">
      <alignment horizontal="right" vertical="center"/>
    </xf>
    <xf numFmtId="0" fontId="76" fillId="0" borderId="39" xfId="0" applyFont="1" applyBorder="1" applyAlignment="1">
      <alignment horizontal="center" vertical="center"/>
    </xf>
    <xf numFmtId="0" fontId="76" fillId="0" borderId="27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76" fillId="0" borderId="71" xfId="0" applyFont="1" applyBorder="1" applyAlignment="1">
      <alignment horizontal="center" vertical="center"/>
    </xf>
    <xf numFmtId="0" fontId="76" fillId="5" borderId="70" xfId="0" applyFont="1" applyFill="1" applyBorder="1" applyAlignment="1">
      <alignment horizontal="center" vertical="center"/>
    </xf>
    <xf numFmtId="0" fontId="76" fillId="0" borderId="70" xfId="0" applyFont="1" applyBorder="1" applyAlignment="1">
      <alignment horizontal="center" vertical="center"/>
    </xf>
    <xf numFmtId="0" fontId="76" fillId="9" borderId="70" xfId="0" applyFont="1" applyFill="1" applyBorder="1" applyAlignment="1">
      <alignment horizontal="center" vertical="center"/>
    </xf>
    <xf numFmtId="0" fontId="68" fillId="9" borderId="16" xfId="0" applyFont="1" applyFill="1" applyBorder="1" applyAlignment="1">
      <alignment horizontal="center" vertical="center"/>
    </xf>
    <xf numFmtId="190" fontId="68" fillId="0" borderId="24" xfId="19" applyNumberFormat="1" applyFont="1" applyFill="1" applyBorder="1" applyAlignment="1">
      <alignment horizontal="center" vertical="center" shrinkToFit="1"/>
    </xf>
    <xf numFmtId="0" fontId="68" fillId="0" borderId="1" xfId="0" applyFont="1" applyBorder="1" applyAlignment="1">
      <alignment horizontal="center" vertical="center"/>
    </xf>
    <xf numFmtId="0" fontId="68" fillId="9" borderId="1" xfId="0" applyFont="1" applyFill="1" applyBorder="1" applyAlignment="1">
      <alignment horizontal="center" vertical="center"/>
    </xf>
    <xf numFmtId="190" fontId="68" fillId="0" borderId="1" xfId="19" applyNumberFormat="1" applyFont="1" applyFill="1" applyBorder="1" applyAlignment="1">
      <alignment horizontal="center" vertical="center" shrinkToFit="1"/>
    </xf>
    <xf numFmtId="190" fontId="68" fillId="0" borderId="16" xfId="19" applyNumberFormat="1" applyFont="1" applyBorder="1" applyAlignment="1">
      <alignment horizontal="center" vertical="center" shrinkToFit="1"/>
    </xf>
    <xf numFmtId="181" fontId="67" fillId="0" borderId="24" xfId="10" applyNumberFormat="1" applyFont="1" applyFill="1" applyBorder="1">
      <alignment vertical="center"/>
    </xf>
    <xf numFmtId="190" fontId="68" fillId="0" borderId="1" xfId="19" applyNumberFormat="1" applyFont="1" applyBorder="1" applyAlignment="1">
      <alignment horizontal="center" vertical="center" shrinkToFit="1"/>
    </xf>
    <xf numFmtId="181" fontId="68" fillId="21" borderId="1" xfId="10" applyNumberFormat="1" applyFont="1" applyFill="1" applyBorder="1">
      <alignment vertical="center"/>
    </xf>
    <xf numFmtId="190" fontId="74" fillId="0" borderId="16" xfId="19" applyNumberFormat="1" applyFont="1" applyBorder="1" applyAlignment="1">
      <alignment horizontal="center" vertical="center" shrinkToFit="1"/>
    </xf>
    <xf numFmtId="0" fontId="67" fillId="0" borderId="0" xfId="0" applyFont="1" applyAlignment="1">
      <alignment horizontal="center" vertical="center"/>
    </xf>
    <xf numFmtId="190" fontId="68" fillId="0" borderId="40" xfId="19" applyNumberFormat="1" applyFont="1" applyBorder="1" applyAlignment="1">
      <alignment horizontal="center" vertical="center" shrinkToFit="1"/>
    </xf>
    <xf numFmtId="0" fontId="67" fillId="9" borderId="1" xfId="0" applyFont="1" applyFill="1" applyBorder="1" applyAlignment="1">
      <alignment horizontal="center" vertical="center"/>
    </xf>
    <xf numFmtId="190" fontId="68" fillId="9" borderId="24" xfId="19" applyNumberFormat="1" applyFont="1" applyFill="1" applyBorder="1" applyAlignment="1">
      <alignment horizontal="center" vertical="center" shrinkToFit="1"/>
    </xf>
    <xf numFmtId="181" fontId="67" fillId="9" borderId="24" xfId="10" applyNumberFormat="1" applyFont="1" applyFill="1" applyBorder="1" applyAlignment="1">
      <alignment horizontal="center" vertical="center"/>
    </xf>
    <xf numFmtId="190" fontId="68" fillId="0" borderId="16" xfId="19" applyNumberFormat="1" applyFont="1" applyFill="1" applyBorder="1" applyAlignment="1">
      <alignment horizontal="center" vertical="center" shrinkToFit="1"/>
    </xf>
    <xf numFmtId="181" fontId="67" fillId="9" borderId="1" xfId="10" applyNumberFormat="1" applyFont="1" applyFill="1" applyBorder="1" applyAlignment="1">
      <alignment horizontal="center" vertical="center"/>
    </xf>
    <xf numFmtId="181" fontId="0" fillId="6" borderId="16" xfId="10" applyNumberFormat="1" applyFont="1" applyFill="1" applyBorder="1" applyAlignment="1">
      <alignment horizontal="center" vertical="center" wrapText="1"/>
    </xf>
    <xf numFmtId="190" fontId="68" fillId="0" borderId="10" xfId="19" applyNumberFormat="1" applyFont="1" applyBorder="1" applyAlignment="1">
      <alignment horizontal="center" vertical="center" shrinkToFit="1"/>
    </xf>
    <xf numFmtId="0" fontId="74" fillId="0" borderId="16" xfId="0" applyFont="1" applyBorder="1" applyAlignment="1">
      <alignment horizontal="center" vertical="center"/>
    </xf>
    <xf numFmtId="0" fontId="68" fillId="9" borderId="86" xfId="0" applyFont="1" applyFill="1" applyBorder="1" applyAlignment="1">
      <alignment horizontal="center" vertical="center"/>
    </xf>
    <xf numFmtId="0" fontId="68" fillId="9" borderId="93" xfId="0" applyFont="1" applyFill="1" applyBorder="1" applyAlignment="1">
      <alignment horizontal="center" vertical="center"/>
    </xf>
    <xf numFmtId="0" fontId="79" fillId="0" borderId="16" xfId="0" applyFont="1" applyBorder="1" applyAlignment="1">
      <alignment horizontal="center" vertical="center"/>
    </xf>
    <xf numFmtId="0" fontId="68" fillId="4" borderId="0" xfId="0" applyFont="1" applyFill="1">
      <alignment vertical="center"/>
    </xf>
    <xf numFmtId="0" fontId="68" fillId="4" borderId="16" xfId="0" applyFont="1" applyFill="1" applyBorder="1" applyAlignment="1">
      <alignment horizontal="center" vertical="center"/>
    </xf>
    <xf numFmtId="181" fontId="68" fillId="4" borderId="1" xfId="10" applyNumberFormat="1" applyFont="1" applyFill="1" applyBorder="1">
      <alignment vertical="center"/>
    </xf>
    <xf numFmtId="0" fontId="68" fillId="4" borderId="1" xfId="0" applyFont="1" applyFill="1" applyBorder="1">
      <alignment vertical="center"/>
    </xf>
    <xf numFmtId="0" fontId="68" fillId="4" borderId="24" xfId="0" applyFont="1" applyFill="1" applyBorder="1">
      <alignment vertical="center"/>
    </xf>
    <xf numFmtId="0" fontId="74" fillId="4" borderId="16" xfId="0" applyFont="1" applyFill="1" applyBorder="1" applyAlignment="1">
      <alignment horizontal="center" vertical="center"/>
    </xf>
    <xf numFmtId="181" fontId="74" fillId="4" borderId="1" xfId="10" applyNumberFormat="1" applyFont="1" applyFill="1" applyBorder="1">
      <alignment vertical="center"/>
    </xf>
    <xf numFmtId="0" fontId="68" fillId="5" borderId="0" xfId="0" applyFont="1" applyFill="1">
      <alignment vertical="center"/>
    </xf>
    <xf numFmtId="0" fontId="68" fillId="4" borderId="1" xfId="0" applyFont="1" applyFill="1" applyBorder="1" applyAlignment="1">
      <alignment horizontal="center" vertical="center"/>
    </xf>
    <xf numFmtId="0" fontId="30" fillId="4" borderId="0" xfId="0" applyFont="1" applyFill="1">
      <alignment vertical="center"/>
    </xf>
    <xf numFmtId="0" fontId="80" fillId="4" borderId="0" xfId="0" applyFont="1" applyFill="1">
      <alignment vertical="center"/>
    </xf>
    <xf numFmtId="0" fontId="80" fillId="4" borderId="16" xfId="0" applyFont="1" applyFill="1" applyBorder="1" applyAlignment="1">
      <alignment horizontal="center" vertical="center"/>
    </xf>
    <xf numFmtId="181" fontId="80" fillId="4" borderId="1" xfId="10" applyNumberFormat="1" applyFont="1" applyFill="1" applyBorder="1">
      <alignment vertical="center"/>
    </xf>
    <xf numFmtId="0" fontId="80" fillId="4" borderId="1" xfId="0" applyFont="1" applyFill="1" applyBorder="1">
      <alignment vertical="center"/>
    </xf>
    <xf numFmtId="0" fontId="80" fillId="4" borderId="24" xfId="0" applyFont="1" applyFill="1" applyBorder="1">
      <alignment vertical="center"/>
    </xf>
    <xf numFmtId="0" fontId="80" fillId="5" borderId="0" xfId="0" applyFont="1" applyFill="1">
      <alignment vertical="center"/>
    </xf>
    <xf numFmtId="0" fontId="80" fillId="4" borderId="1" xfId="0" applyFont="1" applyFill="1" applyBorder="1" applyAlignment="1">
      <alignment horizontal="center" vertical="center"/>
    </xf>
    <xf numFmtId="0" fontId="81" fillId="4" borderId="0" xfId="0" applyFont="1" applyFill="1">
      <alignment vertical="center"/>
    </xf>
    <xf numFmtId="0" fontId="50" fillId="16" borderId="10" xfId="0" applyFont="1" applyFill="1" applyBorder="1" applyAlignment="1">
      <alignment horizontal="center" vertical="center"/>
    </xf>
    <xf numFmtId="0" fontId="50" fillId="16" borderId="5" xfId="0" applyFont="1" applyFill="1" applyBorder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49" fontId="82" fillId="0" borderId="30" xfId="0" applyNumberFormat="1" applyFont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82" fillId="0" borderId="26" xfId="0" applyFont="1" applyBorder="1">
      <alignment vertical="center"/>
    </xf>
    <xf numFmtId="0" fontId="14" fillId="4" borderId="30" xfId="0" applyFont="1" applyFill="1" applyBorder="1">
      <alignment vertical="center"/>
    </xf>
    <xf numFmtId="0" fontId="1" fillId="4" borderId="26" xfId="0" applyFont="1" applyFill="1" applyBorder="1">
      <alignment vertical="center"/>
    </xf>
    <xf numFmtId="0" fontId="6" fillId="0" borderId="26" xfId="0" applyFont="1" applyBorder="1">
      <alignment vertical="center"/>
    </xf>
    <xf numFmtId="0" fontId="1" fillId="0" borderId="26" xfId="0" applyFont="1" applyBorder="1">
      <alignment vertical="center"/>
    </xf>
    <xf numFmtId="0" fontId="26" fillId="0" borderId="26" xfId="0" applyFont="1" applyBorder="1">
      <alignment vertical="center"/>
    </xf>
    <xf numFmtId="0" fontId="10" fillId="0" borderId="26" xfId="0" applyFont="1" applyBorder="1">
      <alignment vertical="center"/>
    </xf>
    <xf numFmtId="0" fontId="1" fillId="4" borderId="26" xfId="0" applyFont="1" applyFill="1" applyBorder="1" applyAlignment="1">
      <alignment horizontal="left" vertical="center" shrinkToFit="1"/>
    </xf>
    <xf numFmtId="0" fontId="14" fillId="0" borderId="26" xfId="0" applyFont="1" applyBorder="1">
      <alignment vertical="center"/>
    </xf>
    <xf numFmtId="181" fontId="27" fillId="0" borderId="32" xfId="10" applyNumberFormat="1" applyFont="1" applyFill="1" applyBorder="1" applyAlignment="1">
      <alignment vertical="center"/>
    </xf>
    <xf numFmtId="0" fontId="17" fillId="4" borderId="0" xfId="0" applyFont="1" applyFill="1">
      <alignment vertical="center"/>
    </xf>
    <xf numFmtId="0" fontId="17" fillId="0" borderId="0" xfId="0" applyFont="1">
      <alignment vertical="center"/>
    </xf>
    <xf numFmtId="49" fontId="25" fillId="21" borderId="47" xfId="0" applyNumberFormat="1" applyFont="1" applyFill="1" applyBorder="1" applyAlignment="1">
      <alignment horizontal="center"/>
    </xf>
    <xf numFmtId="0" fontId="6" fillId="21" borderId="42" xfId="0" applyFont="1" applyFill="1" applyBorder="1" applyAlignment="1">
      <alignment horizontal="center"/>
    </xf>
    <xf numFmtId="0" fontId="6" fillId="21" borderId="97" xfId="0" applyFont="1" applyFill="1" applyBorder="1" applyAlignment="1">
      <alignment horizontal="center"/>
    </xf>
    <xf numFmtId="0" fontId="10" fillId="21" borderId="53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8" fillId="0" borderId="1" xfId="0" applyFont="1" applyBorder="1" applyAlignment="1"/>
    <xf numFmtId="49" fontId="25" fillId="21" borderId="5" xfId="0" applyNumberFormat="1" applyFont="1" applyFill="1" applyBorder="1" applyAlignment="1">
      <alignment horizontal="center"/>
    </xf>
    <xf numFmtId="0" fontId="6" fillId="21" borderId="59" xfId="0" applyFont="1" applyFill="1" applyBorder="1" applyAlignment="1">
      <alignment horizontal="center"/>
    </xf>
    <xf numFmtId="0" fontId="6" fillId="21" borderId="80" xfId="0" applyFont="1" applyFill="1" applyBorder="1" applyAlignment="1">
      <alignment horizontal="center"/>
    </xf>
    <xf numFmtId="0" fontId="6" fillId="21" borderId="82" xfId="0" applyFont="1" applyFill="1" applyBorder="1" applyAlignment="1">
      <alignment horizontal="center" vertical="center" wrapText="1"/>
    </xf>
    <xf numFmtId="0" fontId="10" fillId="21" borderId="73" xfId="0" applyFont="1" applyFill="1" applyBorder="1" applyAlignment="1">
      <alignment horizontal="center" wrapText="1"/>
    </xf>
    <xf numFmtId="187" fontId="83" fillId="0" borderId="1" xfId="0" applyNumberFormat="1" applyFont="1" applyBorder="1" applyAlignment="1"/>
    <xf numFmtId="0" fontId="10" fillId="0" borderId="1" xfId="0" applyFont="1" applyBorder="1" applyAlignment="1"/>
    <xf numFmtId="0" fontId="17" fillId="0" borderId="1" xfId="0" applyFont="1" applyBorder="1" applyAlignment="1"/>
    <xf numFmtId="49" fontId="25" fillId="0" borderId="1" xfId="0" applyNumberFormat="1" applyFont="1" applyBorder="1" applyAlignment="1">
      <alignment horizontal="center"/>
    </xf>
    <xf numFmtId="0" fontId="6" fillId="5" borderId="60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6" fillId="5" borderId="5" xfId="0" applyNumberFormat="1" applyFont="1" applyFill="1" applyBorder="1" applyAlignment="1"/>
    <xf numFmtId="1" fontId="31" fillId="21" borderId="1" xfId="0" applyNumberFormat="1" applyFont="1" applyFill="1" applyBorder="1" applyAlignment="1"/>
    <xf numFmtId="1" fontId="17" fillId="5" borderId="5" xfId="0" applyNumberFormat="1" applyFont="1" applyFill="1" applyBorder="1" applyAlignment="1"/>
    <xf numFmtId="1" fontId="10" fillId="0" borderId="1" xfId="0" applyNumberFormat="1" applyFont="1" applyBorder="1" applyAlignment="1"/>
    <xf numFmtId="1" fontId="31" fillId="4" borderId="0" xfId="0" applyNumberFormat="1" applyFont="1" applyFill="1" applyAlignment="1">
      <alignment horizontal="left" shrinkToFit="1"/>
    </xf>
    <xf numFmtId="181" fontId="27" fillId="0" borderId="5" xfId="10" applyNumberFormat="1" applyFont="1" applyFill="1" applyBorder="1" applyAlignment="1"/>
    <xf numFmtId="1" fontId="83" fillId="0" borderId="1" xfId="0" applyNumberFormat="1" applyFont="1" applyBorder="1" applyAlignment="1"/>
    <xf numFmtId="49" fontId="25" fillId="16" borderId="1" xfId="0" applyNumberFormat="1" applyFont="1" applyFill="1" applyBorder="1" applyAlignment="1">
      <alignment horizontal="center"/>
    </xf>
    <xf numFmtId="181" fontId="14" fillId="0" borderId="1" xfId="10" applyNumberFormat="1" applyFont="1" applyFill="1" applyBorder="1" applyAlignment="1"/>
    <xf numFmtId="181" fontId="27" fillId="19" borderId="5" xfId="10" applyNumberFormat="1" applyFont="1" applyFill="1" applyBorder="1" applyAlignment="1"/>
    <xf numFmtId="1" fontId="31" fillId="0" borderId="5" xfId="0" applyNumberFormat="1" applyFont="1" applyBorder="1" applyAlignment="1"/>
    <xf numFmtId="1" fontId="6" fillId="4" borderId="0" xfId="0" applyNumberFormat="1" applyFont="1" applyFill="1" applyAlignment="1">
      <alignment horizontal="left" shrinkToFit="1"/>
    </xf>
    <xf numFmtId="181" fontId="14" fillId="4" borderId="1" xfId="10" applyNumberFormat="1" applyFont="1" applyFill="1" applyBorder="1" applyAlignment="1"/>
    <xf numFmtId="1" fontId="17" fillId="0" borderId="5" xfId="0" applyNumberFormat="1" applyFont="1" applyBorder="1" applyAlignment="1"/>
    <xf numFmtId="1" fontId="6" fillId="25" borderId="1" xfId="0" applyNumberFormat="1" applyFont="1" applyFill="1" applyBorder="1" applyAlignment="1"/>
    <xf numFmtId="49" fontId="29" fillId="21" borderId="0" xfId="0" applyNumberFormat="1" applyFont="1" applyFill="1" applyAlignment="1">
      <alignment horizontal="center"/>
    </xf>
    <xf numFmtId="1" fontId="10" fillId="21" borderId="0" xfId="0" applyNumberFormat="1" applyFont="1" applyFill="1" applyAlignment="1">
      <alignment horizontal="center"/>
    </xf>
    <xf numFmtId="1" fontId="6" fillId="4" borderId="0" xfId="0" applyNumberFormat="1" applyFont="1" applyFill="1" applyAlignment="1"/>
    <xf numFmtId="1" fontId="25" fillId="4" borderId="5" xfId="0" applyNumberFormat="1" applyFont="1" applyFill="1" applyBorder="1" applyAlignment="1"/>
    <xf numFmtId="0" fontId="6" fillId="6" borderId="60" xfId="0" applyFont="1" applyFill="1" applyBorder="1" applyAlignment="1">
      <alignment horizontal="center"/>
    </xf>
    <xf numFmtId="1" fontId="25" fillId="0" borderId="5" xfId="0" applyNumberFormat="1" applyFont="1" applyBorder="1" applyAlignment="1"/>
    <xf numFmtId="1" fontId="17" fillId="9" borderId="5" xfId="0" applyNumberFormat="1" applyFont="1" applyFill="1" applyBorder="1" applyAlignment="1"/>
    <xf numFmtId="0" fontId="6" fillId="0" borderId="29" xfId="0" applyFont="1" applyBorder="1" applyAlignment="1">
      <alignment horizontal="center"/>
    </xf>
    <xf numFmtId="1" fontId="84" fillId="0" borderId="14" xfId="0" applyNumberFormat="1" applyFont="1" applyBorder="1">
      <alignment vertical="center"/>
    </xf>
    <xf numFmtId="181" fontId="27" fillId="0" borderId="47" xfId="10" applyNumberFormat="1" applyFont="1" applyFill="1" applyBorder="1" applyAlignment="1"/>
    <xf numFmtId="49" fontId="25" fillId="9" borderId="8" xfId="0" applyNumberFormat="1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1" fontId="85" fillId="9" borderId="32" xfId="0" applyNumberFormat="1" applyFont="1" applyFill="1" applyBorder="1">
      <alignment vertical="center"/>
    </xf>
    <xf numFmtId="1" fontId="6" fillId="9" borderId="6" xfId="0" applyNumberFormat="1" applyFont="1" applyFill="1" applyBorder="1">
      <alignment vertical="center"/>
    </xf>
    <xf numFmtId="49" fontId="25" fillId="21" borderId="27" xfId="0" applyNumberFormat="1" applyFont="1" applyFill="1" applyBorder="1" applyAlignment="1">
      <alignment horizontal="center"/>
    </xf>
    <xf numFmtId="0" fontId="6" fillId="21" borderId="33" xfId="0" applyFont="1" applyFill="1" applyBorder="1" applyAlignment="1">
      <alignment horizontal="center"/>
    </xf>
    <xf numFmtId="1" fontId="6" fillId="21" borderId="76" xfId="0" applyNumberFormat="1" applyFont="1" applyFill="1" applyBorder="1" applyAlignment="1">
      <alignment horizontal="center" vertical="center" wrapText="1"/>
    </xf>
    <xf numFmtId="0" fontId="6" fillId="21" borderId="75" xfId="0" applyFont="1" applyFill="1" applyBorder="1" applyAlignment="1">
      <alignment horizontal="center"/>
    </xf>
    <xf numFmtId="1" fontId="6" fillId="21" borderId="103" xfId="0" applyNumberFormat="1" applyFont="1" applyFill="1" applyBorder="1" applyAlignment="1"/>
    <xf numFmtId="0" fontId="84" fillId="21" borderId="9" xfId="0" applyFont="1" applyFill="1" applyBorder="1">
      <alignment vertical="center"/>
    </xf>
    <xf numFmtId="0" fontId="6" fillId="21" borderId="76" xfId="0" applyFont="1" applyFill="1" applyBorder="1" applyAlignment="1">
      <alignment horizontal="center" wrapText="1"/>
    </xf>
    <xf numFmtId="0" fontId="6" fillId="21" borderId="103" xfId="0" applyFont="1" applyFill="1" applyBorder="1" applyAlignment="1">
      <alignment horizontal="center" wrapText="1"/>
    </xf>
    <xf numFmtId="0" fontId="10" fillId="21" borderId="77" xfId="0" applyFont="1" applyFill="1" applyBorder="1" applyAlignment="1">
      <alignment horizontal="center"/>
    </xf>
    <xf numFmtId="49" fontId="25" fillId="21" borderId="1" xfId="0" applyNumberFormat="1" applyFont="1" applyFill="1" applyBorder="1" applyAlignment="1">
      <alignment horizontal="center"/>
    </xf>
    <xf numFmtId="0" fontId="6" fillId="21" borderId="81" xfId="0" applyFont="1" applyFill="1" applyBorder="1" applyAlignment="1">
      <alignment horizontal="center"/>
    </xf>
    <xf numFmtId="1" fontId="6" fillId="21" borderId="106" xfId="0" applyNumberFormat="1" applyFont="1" applyFill="1" applyBorder="1" applyAlignment="1">
      <alignment horizontal="center"/>
    </xf>
    <xf numFmtId="0" fontId="84" fillId="21" borderId="56" xfId="0" applyFont="1" applyFill="1" applyBorder="1">
      <alignment vertical="center"/>
    </xf>
    <xf numFmtId="0" fontId="6" fillId="21" borderId="82" xfId="0" applyFont="1" applyFill="1" applyBorder="1" applyAlignment="1">
      <alignment horizontal="center" wrapText="1"/>
    </xf>
    <xf numFmtId="0" fontId="6" fillId="21" borderId="106" xfId="0" applyFont="1" applyFill="1" applyBorder="1" applyAlignment="1">
      <alignment horizontal="center" wrapText="1"/>
    </xf>
    <xf numFmtId="0" fontId="10" fillId="21" borderId="83" xfId="0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" fontId="29" fillId="0" borderId="28" xfId="0" applyNumberFormat="1" applyFont="1" applyBorder="1" applyAlignment="1"/>
    <xf numFmtId="0" fontId="84" fillId="0" borderId="5" xfId="0" applyFont="1" applyBorder="1">
      <alignment vertical="center"/>
    </xf>
    <xf numFmtId="1" fontId="29" fillId="0" borderId="17" xfId="0" applyNumberFormat="1" applyFont="1" applyBorder="1" applyAlignment="1"/>
    <xf numFmtId="0" fontId="84" fillId="0" borderId="1" xfId="0" applyFont="1" applyBorder="1">
      <alignment vertical="center"/>
    </xf>
    <xf numFmtId="1" fontId="6" fillId="9" borderId="1" xfId="0" applyNumberFormat="1" applyFont="1" applyFill="1" applyBorder="1" applyAlignment="1"/>
    <xf numFmtId="181" fontId="27" fillId="19" borderId="1" xfId="10" applyNumberFormat="1" applyFont="1" applyFill="1" applyBorder="1" applyAlignment="1"/>
    <xf numFmtId="1" fontId="33" fillId="0" borderId="0" xfId="0" applyNumberFormat="1" applyFont="1" applyAlignment="1">
      <alignment horizontal="left" shrinkToFit="1"/>
    </xf>
    <xf numFmtId="181" fontId="27" fillId="0" borderId="1" xfId="10" applyNumberFormat="1" applyFont="1" applyBorder="1" applyAlignment="1"/>
    <xf numFmtId="181" fontId="27" fillId="0" borderId="1" xfId="10" applyNumberFormat="1" applyFont="1" applyFill="1" applyBorder="1" applyAlignment="1"/>
    <xf numFmtId="49" fontId="25" fillId="9" borderId="1" xfId="0" applyNumberFormat="1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" fontId="6" fillId="9" borderId="31" xfId="0" applyNumberFormat="1" applyFont="1" applyFill="1" applyBorder="1" applyAlignment="1"/>
    <xf numFmtId="1" fontId="10" fillId="9" borderId="31" xfId="0" applyNumberFormat="1" applyFont="1" applyFill="1" applyBorder="1" applyAlignment="1"/>
    <xf numFmtId="49" fontId="6" fillId="0" borderId="1" xfId="0" applyNumberFormat="1" applyFont="1" applyBorder="1" applyAlignment="1">
      <alignment horizontal="center" vertical="center" shrinkToFit="1"/>
    </xf>
    <xf numFmtId="0" fontId="6" fillId="0" borderId="59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 shrinkToFit="1"/>
    </xf>
    <xf numFmtId="0" fontId="17" fillId="0" borderId="26" xfId="0" applyFont="1" applyBorder="1" applyAlignment="1">
      <alignment vertical="center" shrinkToFit="1"/>
    </xf>
    <xf numFmtId="1" fontId="8" fillId="0" borderId="3" xfId="0" applyNumberFormat="1" applyFont="1" applyBorder="1" applyAlignment="1">
      <alignment vertical="center" shrinkToFit="1"/>
    </xf>
    <xf numFmtId="1" fontId="17" fillId="0" borderId="3" xfId="0" applyNumberFormat="1" applyFont="1" applyBorder="1" applyAlignment="1">
      <alignment vertical="center" shrinkToFit="1"/>
    </xf>
    <xf numFmtId="49" fontId="6" fillId="4" borderId="0" xfId="0" applyNumberFormat="1" applyFont="1" applyFill="1" applyAlignment="1">
      <alignment horizontal="center" vertical="center" shrinkToFit="1"/>
    </xf>
    <xf numFmtId="0" fontId="6" fillId="4" borderId="0" xfId="0" applyFont="1" applyFill="1" applyAlignment="1">
      <alignment horizontal="center" vertical="center" shrinkToFit="1"/>
    </xf>
    <xf numFmtId="0" fontId="17" fillId="4" borderId="0" xfId="0" applyFont="1" applyFill="1" applyAlignment="1">
      <alignment vertical="center" shrinkToFit="1"/>
    </xf>
    <xf numFmtId="1" fontId="8" fillId="4" borderId="0" xfId="0" applyNumberFormat="1" applyFont="1" applyFill="1" applyAlignment="1">
      <alignment vertical="center" shrinkToFit="1"/>
    </xf>
    <xf numFmtId="1" fontId="17" fillId="4" borderId="0" xfId="0" applyNumberFormat="1" applyFont="1" applyFill="1" applyAlignment="1">
      <alignment vertical="center" shrinkToFit="1"/>
    </xf>
    <xf numFmtId="1" fontId="17" fillId="0" borderId="0" xfId="0" applyNumberFormat="1" applyFont="1" applyAlignment="1">
      <alignment vertical="center" shrinkToFit="1"/>
    </xf>
    <xf numFmtId="1" fontId="10" fillId="4" borderId="0" xfId="0" applyNumberFormat="1" applyFont="1" applyFill="1" applyAlignment="1">
      <alignment vertical="center" shrinkToFit="1"/>
    </xf>
    <xf numFmtId="49" fontId="25" fillId="4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0" fillId="4" borderId="0" xfId="0" applyFont="1" applyFill="1" applyAlignment="1"/>
    <xf numFmtId="181" fontId="27" fillId="4" borderId="0" xfId="10" applyNumberFormat="1" applyFont="1" applyFill="1" applyAlignment="1"/>
    <xf numFmtId="49" fontId="2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/>
    <xf numFmtId="1" fontId="10" fillId="0" borderId="0" xfId="0" applyNumberFormat="1" applyFont="1" applyAlignment="1">
      <alignment vertical="center" shrinkToFit="1"/>
    </xf>
    <xf numFmtId="1" fontId="10" fillId="16" borderId="11" xfId="0" applyNumberFormat="1" applyFont="1" applyFill="1" applyBorder="1" applyAlignment="1">
      <alignment horizontal="left" shrinkToFit="1"/>
    </xf>
    <xf numFmtId="181" fontId="14" fillId="16" borderId="44" xfId="0" applyNumberFormat="1" applyFont="1" applyFill="1" applyBorder="1" applyAlignment="1"/>
    <xf numFmtId="0" fontId="84" fillId="0" borderId="0" xfId="0" applyFont="1">
      <alignment vertical="center"/>
    </xf>
    <xf numFmtId="0" fontId="1" fillId="4" borderId="0" xfId="0" applyFont="1" applyFill="1" applyAlignment="1">
      <alignment horizontal="left" shrinkToFit="1"/>
    </xf>
    <xf numFmtId="0" fontId="14" fillId="0" borderId="0" xfId="0" applyFont="1" applyAlignment="1"/>
    <xf numFmtId="181" fontId="27" fillId="0" borderId="0" xfId="10" applyNumberFormat="1" applyFont="1" applyAlignment="1"/>
    <xf numFmtId="0" fontId="24" fillId="5" borderId="17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" fontId="47" fillId="6" borderId="16" xfId="0" applyNumberFormat="1" applyFont="1" applyFill="1" applyBorder="1" applyAlignment="1"/>
    <xf numFmtId="0" fontId="10" fillId="6" borderId="24" xfId="0" applyFont="1" applyFill="1" applyBorder="1" applyAlignment="1">
      <alignment horizontal="center"/>
    </xf>
    <xf numFmtId="1" fontId="47" fillId="0" borderId="16" xfId="0" applyNumberFormat="1" applyFont="1" applyBorder="1" applyAlignment="1"/>
    <xf numFmtId="0" fontId="46" fillId="0" borderId="1" xfId="0" applyFont="1" applyBorder="1" applyAlignment="1"/>
    <xf numFmtId="1" fontId="47" fillId="0" borderId="40" xfId="0" applyNumberFormat="1" applyFont="1" applyBorder="1" applyAlignment="1"/>
    <xf numFmtId="0" fontId="46" fillId="0" borderId="14" xfId="0" applyFont="1" applyBorder="1" applyAlignment="1"/>
    <xf numFmtId="0" fontId="10" fillId="0" borderId="41" xfId="0" applyFont="1" applyBorder="1" applyAlignment="1">
      <alignment horizontal="center"/>
    </xf>
    <xf numFmtId="181" fontId="10" fillId="13" borderId="6" xfId="10" applyNumberFormat="1" applyFont="1" applyFill="1" applyBorder="1" applyAlignment="1"/>
    <xf numFmtId="1" fontId="10" fillId="13" borderId="3" xfId="0" applyNumberFormat="1" applyFont="1" applyFill="1" applyBorder="1" applyAlignment="1"/>
    <xf numFmtId="1" fontId="10" fillId="13" borderId="34" xfId="0" applyNumberFormat="1" applyFont="1" applyFill="1" applyBorder="1" applyAlignment="1">
      <alignment horizontal="center"/>
    </xf>
    <xf numFmtId="181" fontId="0" fillId="0" borderId="17" xfId="10" applyNumberFormat="1" applyFont="1" applyFill="1" applyBorder="1" applyAlignment="1">
      <alignment horizontal="center"/>
    </xf>
    <xf numFmtId="181" fontId="0" fillId="0" borderId="1" xfId="10" applyNumberFormat="1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181" fontId="0" fillId="0" borderId="1" xfId="10" applyNumberFormat="1" applyFont="1" applyBorder="1" applyAlignment="1">
      <alignment horizontal="center" vertical="center"/>
    </xf>
    <xf numFmtId="181" fontId="0" fillId="0" borderId="1" xfId="10" applyNumberFormat="1" applyFont="1" applyFill="1" applyBorder="1" applyAlignment="1">
      <alignment horizontal="center" vertical="center"/>
    </xf>
    <xf numFmtId="181" fontId="0" fillId="0" borderId="1" xfId="10" applyNumberFormat="1" applyFont="1" applyFill="1" applyBorder="1" applyAlignment="1">
      <alignment horizontal="left" vertical="center"/>
    </xf>
    <xf numFmtId="181" fontId="26" fillId="13" borderId="1" xfId="10" applyNumberFormat="1" applyFont="1" applyFill="1" applyBorder="1">
      <alignment vertical="center"/>
    </xf>
    <xf numFmtId="181" fontId="26" fillId="13" borderId="1" xfId="10" applyNumberFormat="1" applyFont="1" applyFill="1" applyBorder="1" applyAlignment="1">
      <alignment horizontal="center" vertical="center"/>
    </xf>
    <xf numFmtId="181" fontId="10" fillId="0" borderId="0" xfId="10" applyNumberFormat="1" applyFon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87" fillId="0" borderId="0" xfId="0" applyNumberFormat="1" applyFont="1">
      <alignment vertical="center"/>
    </xf>
    <xf numFmtId="0" fontId="26" fillId="5" borderId="0" xfId="0" applyFont="1" applyFill="1">
      <alignment vertical="center"/>
    </xf>
    <xf numFmtId="181" fontId="88" fillId="0" borderId="0" xfId="0" applyNumberFormat="1" applyFont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1" fontId="89" fillId="0" borderId="16" xfId="0" applyNumberFormat="1" applyFont="1" applyBorder="1" applyAlignment="1"/>
    <xf numFmtId="0" fontId="46" fillId="0" borderId="24" xfId="0" applyFont="1" applyBorder="1" applyAlignment="1">
      <alignment horizontal="center"/>
    </xf>
    <xf numFmtId="0" fontId="88" fillId="0" borderId="17" xfId="0" applyFont="1" applyBorder="1" applyAlignment="1">
      <alignment horizontal="center"/>
    </xf>
    <xf numFmtId="0" fontId="88" fillId="0" borderId="1" xfId="0" applyFont="1" applyBorder="1" applyAlignment="1">
      <alignment horizontal="center"/>
    </xf>
    <xf numFmtId="1" fontId="47" fillId="6" borderId="40" xfId="0" applyNumberFormat="1" applyFont="1" applyFill="1" applyBorder="1" applyAlignment="1"/>
    <xf numFmtId="0" fontId="10" fillId="0" borderId="14" xfId="0" applyFont="1" applyBorder="1" applyAlignment="1"/>
    <xf numFmtId="0" fontId="10" fillId="6" borderId="41" xfId="0" applyFont="1" applyFill="1" applyBorder="1" applyAlignment="1">
      <alignment horizontal="center"/>
    </xf>
    <xf numFmtId="181" fontId="26" fillId="13" borderId="6" xfId="10" applyNumberFormat="1" applyFont="1" applyFill="1" applyBorder="1" applyAlignment="1"/>
    <xf numFmtId="181" fontId="0" fillId="5" borderId="17" xfId="10" applyNumberFormat="1" applyFont="1" applyFill="1" applyBorder="1" applyAlignment="1">
      <alignment horizontal="center"/>
    </xf>
    <xf numFmtId="181" fontId="0" fillId="5" borderId="1" xfId="10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 vertical="center" shrinkToFit="1"/>
    </xf>
    <xf numFmtId="38" fontId="1" fillId="0" borderId="0" xfId="0" applyNumberFormat="1" applyFont="1" applyAlignment="1"/>
    <xf numFmtId="1" fontId="5" fillId="0" borderId="71" xfId="0" applyNumberFormat="1" applyFont="1" applyBorder="1" applyAlignment="1">
      <alignment horizontal="center" vertical="center"/>
    </xf>
    <xf numFmtId="190" fontId="5" fillId="0" borderId="24" xfId="19" applyNumberFormat="1" applyFont="1" applyFill="1" applyBorder="1" applyAlignment="1">
      <alignment horizontal="center" vertical="center" shrinkToFit="1"/>
    </xf>
    <xf numFmtId="1" fontId="90" fillId="0" borderId="1" xfId="0" applyNumberFormat="1" applyFont="1" applyBorder="1" applyAlignment="1"/>
    <xf numFmtId="1" fontId="90" fillId="0" borderId="1" xfId="0" applyNumberFormat="1" applyFont="1" applyBorder="1" applyAlignment="1">
      <alignment horizontal="left"/>
    </xf>
    <xf numFmtId="181" fontId="0" fillId="14" borderId="3" xfId="10" applyNumberFormat="1" applyFont="1" applyFill="1" applyBorder="1" applyAlignment="1">
      <alignment horizontal="center" vertical="center" wrapText="1"/>
    </xf>
    <xf numFmtId="181" fontId="0" fillId="14" borderId="5" xfId="10" applyNumberFormat="1" applyFont="1" applyFill="1" applyBorder="1" applyAlignment="1">
      <alignment vertical="center" shrinkToFit="1"/>
    </xf>
    <xf numFmtId="0" fontId="1" fillId="21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" fontId="31" fillId="0" borderId="47" xfId="0" applyNumberFormat="1" applyFont="1" applyBorder="1" applyAlignment="1"/>
    <xf numFmtId="2" fontId="5" fillId="0" borderId="1" xfId="0" applyNumberFormat="1" applyFont="1" applyBorder="1" applyAlignment="1">
      <alignment horizontal="center" vertical="center"/>
    </xf>
    <xf numFmtId="181" fontId="57" fillId="0" borderId="57" xfId="17" applyNumberFormat="1" applyFont="1" applyFill="1" applyBorder="1" applyAlignment="1">
      <alignment vertical="center" wrapText="1"/>
    </xf>
    <xf numFmtId="181" fontId="53" fillId="0" borderId="36" xfId="10" applyNumberFormat="1" applyFont="1" applyFill="1" applyBorder="1" applyAlignment="1">
      <alignment horizontal="left" vertical="center" wrapText="1"/>
    </xf>
    <xf numFmtId="181" fontId="53" fillId="0" borderId="60" xfId="10" applyNumberFormat="1" applyFont="1" applyFill="1" applyBorder="1" applyAlignment="1">
      <alignment horizontal="left" vertical="center" wrapText="1"/>
    </xf>
    <xf numFmtId="0" fontId="21" fillId="4" borderId="0" xfId="0" applyFont="1" applyFill="1" applyAlignment="1">
      <alignment horizontal="right" vertical="center"/>
    </xf>
    <xf numFmtId="181" fontId="1" fillId="4" borderId="0" xfId="0" applyNumberFormat="1" applyFont="1" applyFill="1" applyAlignment="1"/>
    <xf numFmtId="1" fontId="0" fillId="0" borderId="0" xfId="0" applyNumberFormat="1" applyAlignment="1">
      <alignment horizontal="center" vertical="center"/>
    </xf>
    <xf numFmtId="181" fontId="6" fillId="4" borderId="0" xfId="0" applyNumberFormat="1" applyFont="1" applyFill="1" applyAlignment="1"/>
    <xf numFmtId="181" fontId="14" fillId="0" borderId="0" xfId="0" applyNumberFormat="1" applyFont="1" applyAlignment="1"/>
    <xf numFmtId="0" fontId="0" fillId="0" borderId="0" xfId="0" applyAlignment="1"/>
    <xf numFmtId="1" fontId="1" fillId="0" borderId="0" xfId="0" applyNumberFormat="1" applyFont="1" applyAlignment="1"/>
    <xf numFmtId="181" fontId="25" fillId="0" borderId="0" xfId="10" applyNumberFormat="1" applyFont="1" applyFill="1" applyAlignment="1"/>
    <xf numFmtId="1" fontId="61" fillId="0" borderId="0" xfId="0" applyNumberFormat="1" applyFont="1" applyAlignment="1">
      <alignment horizontal="left" shrinkToFit="1"/>
    </xf>
    <xf numFmtId="0" fontId="90" fillId="0" borderId="5" xfId="0" applyFont="1" applyBorder="1" applyAlignment="1"/>
    <xf numFmtId="0" fontId="21" fillId="9" borderId="39" xfId="0" applyFont="1" applyFill="1" applyBorder="1" applyAlignment="1">
      <alignment horizontal="center" vertical="center" shrinkToFit="1"/>
    </xf>
    <xf numFmtId="49" fontId="21" fillId="9" borderId="27" xfId="0" applyNumberFormat="1" applyFont="1" applyFill="1" applyBorder="1" applyAlignment="1">
      <alignment horizontal="center" vertical="center" shrinkToFit="1"/>
    </xf>
    <xf numFmtId="49" fontId="49" fillId="9" borderId="27" xfId="0" applyNumberFormat="1" applyFont="1" applyFill="1" applyBorder="1" applyAlignment="1">
      <alignment horizontal="center" vertical="center" shrinkToFit="1"/>
    </xf>
    <xf numFmtId="181" fontId="91" fillId="9" borderId="27" xfId="10" applyNumberFormat="1" applyFont="1" applyFill="1" applyBorder="1" applyAlignment="1">
      <alignment horizontal="center" vertical="center" wrapText="1"/>
    </xf>
    <xf numFmtId="0" fontId="21" fillId="9" borderId="27" xfId="0" applyFont="1" applyFill="1" applyBorder="1" applyAlignment="1">
      <alignment horizontal="center" vertical="center" wrapText="1"/>
    </xf>
    <xf numFmtId="181" fontId="49" fillId="9" borderId="27" xfId="10" applyNumberFormat="1" applyFont="1" applyFill="1" applyBorder="1" applyAlignment="1">
      <alignment horizontal="center" vertical="center" wrapText="1"/>
    </xf>
    <xf numFmtId="181" fontId="59" fillId="7" borderId="27" xfId="10" applyNumberFormat="1" applyFont="1" applyFill="1" applyBorder="1" applyAlignment="1">
      <alignment horizontal="center" vertical="center" wrapText="1"/>
    </xf>
    <xf numFmtId="0" fontId="49" fillId="9" borderId="27" xfId="0" applyFont="1" applyFill="1" applyBorder="1" applyAlignment="1">
      <alignment horizontal="center" vertical="center" wrapText="1"/>
    </xf>
    <xf numFmtId="181" fontId="21" fillId="9" borderId="52" xfId="10" applyNumberFormat="1" applyFont="1" applyFill="1" applyBorder="1" applyAlignment="1">
      <alignment horizontal="center" vertical="center" wrapText="1"/>
    </xf>
    <xf numFmtId="0" fontId="21" fillId="9" borderId="37" xfId="0" applyFont="1" applyFill="1" applyBorder="1" applyAlignment="1">
      <alignment horizontal="center" vertical="center" shrinkToFit="1"/>
    </xf>
    <xf numFmtId="181" fontId="21" fillId="9" borderId="27" xfId="10" applyNumberFormat="1" applyFont="1" applyFill="1" applyBorder="1" applyAlignment="1">
      <alignment horizontal="center" vertical="center"/>
    </xf>
    <xf numFmtId="181" fontId="21" fillId="18" borderId="27" xfId="10" applyNumberFormat="1" applyFont="1" applyFill="1" applyBorder="1" applyAlignment="1">
      <alignment horizontal="center" vertical="center" wrapText="1"/>
    </xf>
    <xf numFmtId="181" fontId="21" fillId="9" borderId="37" xfId="10" applyNumberFormat="1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9" fillId="0" borderId="0" xfId="10" applyNumberFormat="1" applyFont="1" applyFill="1" applyBorder="1" applyAlignment="1">
      <alignment horizontal="left" vertical="center"/>
    </xf>
    <xf numFmtId="181" fontId="21" fillId="0" borderId="24" xfId="10" applyNumberFormat="1" applyFont="1" applyFill="1" applyBorder="1" applyAlignment="1">
      <alignment vertical="center" shrinkToFit="1"/>
    </xf>
    <xf numFmtId="0" fontId="21" fillId="0" borderId="24" xfId="0" applyFont="1" applyBorder="1" applyAlignment="1">
      <alignment vertical="center" shrinkToFit="1"/>
    </xf>
    <xf numFmtId="0" fontId="21" fillId="0" borderId="24" xfId="0" applyFont="1" applyBorder="1" applyAlignment="1">
      <alignment horizontal="left" vertical="center" shrinkToFit="1"/>
    </xf>
    <xf numFmtId="0" fontId="21" fillId="0" borderId="54" xfId="0" applyFont="1" applyBorder="1" applyAlignment="1">
      <alignment horizontal="left" vertical="center" shrinkToFit="1"/>
    </xf>
    <xf numFmtId="179" fontId="21" fillId="0" borderId="41" xfId="0" applyNumberFormat="1" applyFont="1" applyBorder="1" applyAlignment="1">
      <alignment vertical="center" shrinkToFit="1"/>
    </xf>
    <xf numFmtId="179" fontId="21" fillId="0" borderId="55" xfId="0" applyNumberFormat="1" applyFont="1" applyBorder="1" applyAlignment="1">
      <alignment vertical="center" shrinkToFit="1"/>
    </xf>
    <xf numFmtId="179" fontId="21" fillId="0" borderId="54" xfId="0" applyNumberFormat="1" applyFont="1" applyBorder="1" applyAlignment="1">
      <alignment vertical="center" shrinkToFit="1"/>
    </xf>
    <xf numFmtId="0" fontId="41" fillId="0" borderId="54" xfId="0" applyFont="1" applyBorder="1" applyAlignment="1">
      <alignment horizontal="left" vertical="center" shrinkToFit="1"/>
    </xf>
    <xf numFmtId="0" fontId="44" fillId="0" borderId="41" xfId="0" applyFont="1" applyBorder="1" applyAlignment="1">
      <alignment horizontal="left" vertical="center" shrinkToFit="1"/>
    </xf>
    <xf numFmtId="0" fontId="41" fillId="4" borderId="54" xfId="0" applyFont="1" applyFill="1" applyBorder="1" applyAlignment="1">
      <alignment horizontal="left" vertical="center" shrinkToFit="1"/>
    </xf>
    <xf numFmtId="0" fontId="21" fillId="13" borderId="44" xfId="0" applyFont="1" applyFill="1" applyBorder="1" applyAlignment="1">
      <alignment vertical="center" shrinkToFit="1"/>
    </xf>
    <xf numFmtId="0" fontId="21" fillId="0" borderId="0" xfId="0" applyFont="1" applyAlignment="1">
      <alignment vertical="center" shrinkToFit="1"/>
    </xf>
    <xf numFmtId="0" fontId="41" fillId="14" borderId="0" xfId="0" applyFont="1" applyFill="1">
      <alignment vertical="center"/>
    </xf>
    <xf numFmtId="0" fontId="41" fillId="14" borderId="0" xfId="0" applyFont="1" applyFill="1" applyAlignment="1">
      <alignment vertical="center" shrinkToFit="1"/>
    </xf>
    <xf numFmtId="0" fontId="41" fillId="14" borderId="0" xfId="0" applyFont="1" applyFill="1" applyAlignment="1">
      <alignment horizontal="left" vertical="center" shrinkToFit="1"/>
    </xf>
    <xf numFmtId="181" fontId="53" fillId="4" borderId="26" xfId="10" applyNumberFormat="1" applyFont="1" applyFill="1" applyBorder="1" applyAlignment="1">
      <alignment vertical="center"/>
    </xf>
    <xf numFmtId="181" fontId="48" fillId="0" borderId="21" xfId="17" applyNumberFormat="1" applyFont="1" applyFill="1" applyBorder="1" applyAlignment="1">
      <alignment vertical="center" wrapText="1"/>
    </xf>
    <xf numFmtId="181" fontId="62" fillId="0" borderId="21" xfId="17" applyNumberFormat="1" applyFont="1" applyFill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4" borderId="0" xfId="0" applyFont="1" applyFill="1" applyAlignment="1">
      <alignment horizontal="center" vertical="center"/>
    </xf>
    <xf numFmtId="0" fontId="59" fillId="4" borderId="1" xfId="0" applyFont="1" applyFill="1" applyBorder="1" applyAlignment="1">
      <alignment horizontal="center" vertical="center"/>
    </xf>
    <xf numFmtId="181" fontId="53" fillId="0" borderId="1" xfId="10" applyNumberFormat="1" applyFont="1" applyFill="1" applyBorder="1" applyAlignment="1"/>
    <xf numFmtId="181" fontId="53" fillId="4" borderId="1" xfId="10" applyNumberFormat="1" applyFont="1" applyFill="1" applyBorder="1" applyAlignment="1"/>
    <xf numFmtId="181" fontId="24" fillId="0" borderId="0" xfId="0" applyNumberFormat="1" applyFont="1">
      <alignment vertical="center"/>
    </xf>
    <xf numFmtId="180" fontId="0" fillId="0" borderId="0" xfId="10" applyNumberFormat="1" applyFont="1">
      <alignment vertical="center"/>
    </xf>
    <xf numFmtId="192" fontId="0" fillId="0" borderId="0" xfId="10" applyNumberFormat="1" applyFont="1">
      <alignment vertical="center"/>
    </xf>
    <xf numFmtId="193" fontId="0" fillId="0" borderId="0" xfId="10" applyNumberFormat="1" applyFont="1">
      <alignment vertical="center"/>
    </xf>
    <xf numFmtId="181" fontId="23" fillId="0" borderId="0" xfId="0" applyNumberFormat="1" applyFont="1" applyAlignment="1">
      <alignment horizontal="center" vertical="center"/>
    </xf>
    <xf numFmtId="181" fontId="0" fillId="14" borderId="1" xfId="10" applyNumberFormat="1" applyFont="1" applyFill="1" applyBorder="1" applyAlignment="1">
      <alignment vertical="center" shrinkToFit="1"/>
    </xf>
    <xf numFmtId="0" fontId="65" fillId="0" borderId="56" xfId="0" applyFont="1" applyBorder="1" applyAlignment="1">
      <alignment horizontal="left" vertical="center"/>
    </xf>
    <xf numFmtId="0" fontId="5" fillId="0" borderId="5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69" fillId="9" borderId="2" xfId="0" applyFont="1" applyFill="1" applyBorder="1" applyAlignment="1">
      <alignment horizontal="center" vertical="center"/>
    </xf>
    <xf numFmtId="0" fontId="69" fillId="9" borderId="18" xfId="0" applyFont="1" applyFill="1" applyBorder="1" applyAlignment="1">
      <alignment horizontal="center" vertical="center"/>
    </xf>
    <xf numFmtId="0" fontId="69" fillId="9" borderId="60" xfId="0" applyFont="1" applyFill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181" fontId="67" fillId="0" borderId="2" xfId="10" applyNumberFormat="1" applyFont="1" applyBorder="1" applyAlignment="1">
      <alignment horizontal="center" vertical="center"/>
    </xf>
    <xf numFmtId="181" fontId="67" fillId="0" borderId="18" xfId="10" applyNumberFormat="1" applyFont="1" applyBorder="1" applyAlignment="1">
      <alignment horizontal="center" vertical="center"/>
    </xf>
    <xf numFmtId="181" fontId="67" fillId="0" borderId="60" xfId="10" applyNumberFormat="1" applyFont="1" applyBorder="1" applyAlignment="1">
      <alignment horizontal="center" vertical="center"/>
    </xf>
    <xf numFmtId="181" fontId="67" fillId="21" borderId="2" xfId="10" applyNumberFormat="1" applyFont="1" applyFill="1" applyBorder="1" applyAlignment="1">
      <alignment horizontal="center" vertical="center"/>
    </xf>
    <xf numFmtId="181" fontId="67" fillId="21" borderId="18" xfId="10" applyNumberFormat="1" applyFont="1" applyFill="1" applyBorder="1" applyAlignment="1">
      <alignment horizontal="center" vertical="center"/>
    </xf>
    <xf numFmtId="181" fontId="67" fillId="21" borderId="60" xfId="10" applyNumberFormat="1" applyFont="1" applyFill="1" applyBorder="1" applyAlignment="1">
      <alignment horizontal="center" vertical="center"/>
    </xf>
    <xf numFmtId="0" fontId="64" fillId="0" borderId="61" xfId="0" applyFont="1" applyBorder="1" applyAlignment="1">
      <alignment horizontal="left" vertical="center"/>
    </xf>
    <xf numFmtId="0" fontId="51" fillId="0" borderId="42" xfId="0" applyFont="1" applyBorder="1" applyAlignment="1">
      <alignment horizontal="left" vertical="center"/>
    </xf>
    <xf numFmtId="0" fontId="67" fillId="0" borderId="56" xfId="0" applyFont="1" applyBorder="1" applyAlignment="1">
      <alignment horizontal="left" vertical="center"/>
    </xf>
    <xf numFmtId="0" fontId="67" fillId="0" borderId="59" xfId="0" applyFont="1" applyBorder="1" applyAlignment="1">
      <alignment horizontal="left" vertical="center"/>
    </xf>
    <xf numFmtId="0" fontId="50" fillId="4" borderId="26" xfId="0" applyFont="1" applyFill="1" applyBorder="1" applyAlignment="1">
      <alignment horizontal="right" vertical="center"/>
    </xf>
    <xf numFmtId="181" fontId="53" fillId="4" borderId="1" xfId="10" applyNumberFormat="1" applyFont="1" applyFill="1" applyBorder="1" applyAlignment="1">
      <alignment horizontal="right" vertical="center"/>
    </xf>
    <xf numFmtId="182" fontId="53" fillId="0" borderId="14" xfId="10" applyNumberFormat="1" applyFont="1" applyFill="1" applyBorder="1" applyAlignment="1">
      <alignment horizontal="right" vertical="center"/>
    </xf>
    <xf numFmtId="182" fontId="53" fillId="0" borderId="1" xfId="10" applyNumberFormat="1" applyFont="1" applyFill="1" applyBorder="1" applyAlignment="1">
      <alignment horizontal="right" vertical="center"/>
    </xf>
    <xf numFmtId="182" fontId="53" fillId="4" borderId="1" xfId="10" applyNumberFormat="1" applyFont="1" applyFill="1" applyBorder="1" applyAlignment="1">
      <alignment horizontal="right" vertical="center"/>
    </xf>
    <xf numFmtId="1" fontId="53" fillId="4" borderId="1" xfId="10" applyNumberFormat="1" applyFont="1" applyFill="1" applyBorder="1" applyAlignment="1">
      <alignment horizontal="right" vertical="center"/>
    </xf>
    <xf numFmtId="0" fontId="53" fillId="13" borderId="8" xfId="0" applyFont="1" applyFill="1" applyBorder="1" applyAlignment="1">
      <alignment horizontal="right" vertical="center"/>
    </xf>
    <xf numFmtId="0" fontId="54" fillId="0" borderId="0" xfId="0" applyFont="1" applyAlignment="1">
      <alignment horizontal="right" vertical="center"/>
    </xf>
    <xf numFmtId="0" fontId="53" fillId="4" borderId="0" xfId="0" applyFont="1" applyFill="1" applyAlignment="1">
      <alignment horizontal="right" vertical="center"/>
    </xf>
    <xf numFmtId="0" fontId="64" fillId="0" borderId="107" xfId="0" applyFont="1" applyBorder="1" applyAlignment="1">
      <alignment horizontal="left" vertical="center"/>
    </xf>
    <xf numFmtId="0" fontId="52" fillId="0" borderId="36" xfId="0" applyFont="1" applyBorder="1" applyAlignment="1">
      <alignment horizontal="left" vertical="center"/>
    </xf>
    <xf numFmtId="0" fontId="52" fillId="0" borderId="62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10" fillId="0" borderId="68" xfId="0" applyFont="1" applyBorder="1" applyAlignment="1"/>
    <xf numFmtId="1" fontId="0" fillId="0" borderId="17" xfId="0" applyNumberForma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95" fillId="0" borderId="0" xfId="0" applyFont="1">
      <alignment vertical="center"/>
    </xf>
    <xf numFmtId="176" fontId="21" fillId="0" borderId="17" xfId="0" applyNumberFormat="1" applyFont="1" applyBorder="1" applyAlignment="1">
      <alignment horizontal="left" vertical="center"/>
    </xf>
    <xf numFmtId="184" fontId="21" fillId="0" borderId="2" xfId="0" applyNumberFormat="1" applyFont="1" applyBorder="1">
      <alignment vertical="center"/>
    </xf>
    <xf numFmtId="0" fontId="21" fillId="0" borderId="17" xfId="0" applyFont="1" applyBorder="1" applyAlignment="1">
      <alignment vertical="top" wrapText="1"/>
    </xf>
    <xf numFmtId="194" fontId="21" fillId="0" borderId="17" xfId="0" applyNumberFormat="1" applyFont="1" applyBorder="1" applyAlignment="1">
      <alignment horizontal="left" vertical="center"/>
    </xf>
    <xf numFmtId="0" fontId="41" fillId="0" borderId="0" xfId="0" applyFont="1" applyAlignment="1">
      <alignment horizontal="fill" vertical="center"/>
    </xf>
    <xf numFmtId="0" fontId="59" fillId="5" borderId="1" xfId="0" applyFont="1" applyFill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35" fillId="0" borderId="14" xfId="0" applyFont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181" fontId="0" fillId="0" borderId="2" xfId="10" applyNumberFormat="1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 vertical="center"/>
    </xf>
    <xf numFmtId="181" fontId="0" fillId="0" borderId="2" xfId="10" applyNumberFormat="1" applyFont="1" applyBorder="1" applyAlignment="1">
      <alignment horizontal="center" vertical="center"/>
    </xf>
    <xf numFmtId="181" fontId="0" fillId="0" borderId="2" xfId="10" applyNumberFormat="1" applyFont="1" applyFill="1" applyBorder="1" applyAlignment="1">
      <alignment horizontal="left" vertical="center"/>
    </xf>
    <xf numFmtId="181" fontId="26" fillId="13" borderId="2" xfId="10" applyNumberFormat="1" applyFont="1" applyFill="1" applyBorder="1">
      <alignment vertical="center"/>
    </xf>
    <xf numFmtId="0" fontId="88" fillId="0" borderId="2" xfId="0" applyFont="1" applyBorder="1" applyAlignment="1">
      <alignment horizontal="center"/>
    </xf>
    <xf numFmtId="181" fontId="0" fillId="5" borderId="2" xfId="10" applyNumberFormat="1" applyFont="1" applyFill="1" applyBorder="1" applyAlignment="1">
      <alignment horizontal="center"/>
    </xf>
    <xf numFmtId="0" fontId="0" fillId="13" borderId="17" xfId="0" applyFill="1" applyBorder="1" applyAlignment="1">
      <alignment horizontal="center" vertical="center"/>
    </xf>
    <xf numFmtId="1" fontId="47" fillId="6" borderId="17" xfId="0" applyNumberFormat="1" applyFont="1" applyFill="1" applyBorder="1" applyAlignment="1"/>
    <xf numFmtId="1" fontId="47" fillId="0" borderId="17" xfId="0" applyNumberFormat="1" applyFont="1" applyBorder="1" applyAlignment="1"/>
    <xf numFmtId="1" fontId="47" fillId="0" borderId="29" xfId="0" applyNumberFormat="1" applyFont="1" applyBorder="1" applyAlignment="1"/>
    <xf numFmtId="181" fontId="10" fillId="13" borderId="31" xfId="10" applyNumberFormat="1" applyFont="1" applyFill="1" applyBorder="1" applyAlignment="1"/>
    <xf numFmtId="1" fontId="89" fillId="0" borderId="17" xfId="0" applyNumberFormat="1" applyFont="1" applyBorder="1" applyAlignment="1"/>
    <xf numFmtId="1" fontId="47" fillId="6" borderId="29" xfId="0" applyNumberFormat="1" applyFont="1" applyFill="1" applyBorder="1" applyAlignment="1"/>
    <xf numFmtId="181" fontId="26" fillId="13" borderId="31" xfId="10" applyNumberFormat="1" applyFont="1" applyFill="1" applyBorder="1" applyAlignment="1"/>
    <xf numFmtId="0" fontId="0" fillId="0" borderId="108" xfId="0" applyBorder="1" applyAlignment="1">
      <alignment horizontal="center" vertical="center"/>
    </xf>
    <xf numFmtId="0" fontId="0" fillId="0" borderId="109" xfId="0" applyBorder="1">
      <alignment vertical="center"/>
    </xf>
    <xf numFmtId="0" fontId="0" fillId="0" borderId="109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>
      <alignment vertical="center"/>
    </xf>
    <xf numFmtId="0" fontId="0" fillId="0" borderId="112" xfId="0" applyBorder="1">
      <alignment vertical="center"/>
    </xf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0" fillId="0" borderId="114" xfId="0" applyBorder="1">
      <alignment vertical="center"/>
    </xf>
    <xf numFmtId="0" fontId="0" fillId="0" borderId="114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188" fontId="21" fillId="0" borderId="2" xfId="0" applyNumberFormat="1" applyFont="1" applyBorder="1">
      <alignment vertical="center"/>
    </xf>
    <xf numFmtId="0" fontId="44" fillId="4" borderId="24" xfId="0" applyFont="1" applyFill="1" applyBorder="1" applyAlignment="1">
      <alignment horizontal="left" vertical="center" shrinkToFit="1"/>
    </xf>
    <xf numFmtId="181" fontId="6" fillId="0" borderId="0" xfId="0" applyNumberFormat="1" applyFont="1" applyAlignment="1">
      <alignment horizontal="center"/>
    </xf>
    <xf numFmtId="194" fontId="21" fillId="0" borderId="2" xfId="0" applyNumberFormat="1" applyFont="1" applyBorder="1" applyAlignment="1">
      <alignment vertical="center" wrapText="1"/>
    </xf>
    <xf numFmtId="181" fontId="56" fillId="5" borderId="29" xfId="10" applyNumberFormat="1" applyFont="1" applyFill="1" applyBorder="1">
      <alignment vertical="center"/>
    </xf>
    <xf numFmtId="181" fontId="55" fillId="0" borderId="1" xfId="10" applyNumberFormat="1" applyFont="1" applyFill="1" applyBorder="1">
      <alignment vertical="center"/>
    </xf>
    <xf numFmtId="181" fontId="55" fillId="0" borderId="29" xfId="10" applyNumberFormat="1" applyFont="1" applyFill="1" applyBorder="1">
      <alignment vertical="center"/>
    </xf>
    <xf numFmtId="181" fontId="24" fillId="0" borderId="1" xfId="10" applyNumberFormat="1" applyFont="1" applyFill="1" applyBorder="1">
      <alignment vertical="center"/>
    </xf>
    <xf numFmtId="181" fontId="55" fillId="0" borderId="14" xfId="10" applyNumberFormat="1" applyFont="1" applyFill="1" applyBorder="1">
      <alignment vertical="center"/>
    </xf>
    <xf numFmtId="180" fontId="55" fillId="0" borderId="14" xfId="10" applyNumberFormat="1" applyFont="1" applyFill="1" applyBorder="1">
      <alignment vertical="center"/>
    </xf>
    <xf numFmtId="1" fontId="62" fillId="0" borderId="68" xfId="0" applyNumberFormat="1" applyFont="1" applyBorder="1" applyAlignment="1"/>
    <xf numFmtId="190" fontId="5" fillId="0" borderId="16" xfId="19" applyNumberFormat="1" applyFont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1" fontId="6" fillId="14" borderId="8" xfId="0" applyNumberFormat="1" applyFont="1" applyFill="1" applyBorder="1" applyAlignment="1"/>
    <xf numFmtId="180" fontId="54" fillId="0" borderId="1" xfId="10" applyNumberFormat="1" applyFont="1" applyFill="1" applyBorder="1" applyAlignment="1">
      <alignment horizontal="right" vertical="center"/>
    </xf>
    <xf numFmtId="182" fontId="54" fillId="0" borderId="1" xfId="10" applyNumberFormat="1" applyFont="1" applyFill="1" applyBorder="1" applyAlignment="1">
      <alignment horizontal="right" vertical="center"/>
    </xf>
    <xf numFmtId="181" fontId="21" fillId="9" borderId="50" xfId="10" applyNumberFormat="1" applyFont="1" applyFill="1" applyBorder="1" applyAlignment="1">
      <alignment horizontal="center" vertical="center" wrapText="1"/>
    </xf>
    <xf numFmtId="181" fontId="53" fillId="0" borderId="60" xfId="10" applyNumberFormat="1" applyFont="1" applyBorder="1" applyAlignment="1">
      <alignment horizontal="left" vertical="center" wrapText="1"/>
    </xf>
    <xf numFmtId="181" fontId="53" fillId="0" borderId="63" xfId="10" applyNumberFormat="1" applyFont="1" applyFill="1" applyBorder="1" applyAlignment="1">
      <alignment horizontal="left" vertical="center" wrapText="1"/>
    </xf>
    <xf numFmtId="0" fontId="53" fillId="0" borderId="17" xfId="0" applyFont="1" applyBorder="1" applyAlignment="1">
      <alignment horizontal="left" vertical="center"/>
    </xf>
    <xf numFmtId="181" fontId="53" fillId="0" borderId="72" xfId="10" applyNumberFormat="1" applyFont="1" applyFill="1" applyBorder="1" applyAlignment="1">
      <alignment horizontal="left" vertical="center" wrapText="1"/>
    </xf>
    <xf numFmtId="181" fontId="21" fillId="9" borderId="39" xfId="10" applyNumberFormat="1" applyFont="1" applyFill="1" applyBorder="1" applyAlignment="1">
      <alignment horizontal="center" vertical="center"/>
    </xf>
    <xf numFmtId="181" fontId="53" fillId="0" borderId="16" xfId="10" applyNumberFormat="1" applyFont="1" applyBorder="1">
      <alignment vertical="center"/>
    </xf>
    <xf numFmtId="181" fontId="53" fillId="0" borderId="16" xfId="10" applyNumberFormat="1" applyFont="1" applyFill="1" applyBorder="1">
      <alignment vertical="center"/>
    </xf>
    <xf numFmtId="181" fontId="53" fillId="0" borderId="40" xfId="10" applyNumberFormat="1" applyFont="1" applyFill="1" applyBorder="1">
      <alignment vertical="center"/>
    </xf>
    <xf numFmtId="0" fontId="53" fillId="0" borderId="62" xfId="0" applyFont="1" applyBorder="1" applyAlignment="1">
      <alignment horizontal="center" vertical="center"/>
    </xf>
    <xf numFmtId="181" fontId="53" fillId="0" borderId="10" xfId="10" applyNumberFormat="1" applyFont="1" applyFill="1" applyBorder="1">
      <alignment vertical="center"/>
    </xf>
    <xf numFmtId="181" fontId="55" fillId="0" borderId="40" xfId="10" applyNumberFormat="1" applyFont="1" applyFill="1" applyBorder="1">
      <alignment vertical="center"/>
    </xf>
    <xf numFmtId="0" fontId="55" fillId="0" borderId="62" xfId="0" applyFont="1" applyBorder="1" applyAlignment="1">
      <alignment horizontal="center" vertical="center"/>
    </xf>
    <xf numFmtId="181" fontId="1" fillId="0" borderId="16" xfId="10" applyNumberFormat="1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181" fontId="0" fillId="8" borderId="40" xfId="10" applyNumberFormat="1" applyFont="1" applyFill="1" applyBorder="1">
      <alignment vertical="center"/>
    </xf>
    <xf numFmtId="181" fontId="53" fillId="13" borderId="72" xfId="0" applyNumberFormat="1" applyFont="1" applyFill="1" applyBorder="1" applyAlignment="1">
      <alignment horizontal="center" vertical="center"/>
    </xf>
    <xf numFmtId="0" fontId="76" fillId="21" borderId="27" xfId="0" applyFont="1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65" fillId="0" borderId="56" xfId="0" applyFont="1" applyBorder="1" applyAlignment="1">
      <alignment horizontal="center" vertical="center"/>
    </xf>
    <xf numFmtId="181" fontId="53" fillId="0" borderId="29" xfId="1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81" fontId="22" fillId="0" borderId="5" xfId="10" applyNumberFormat="1" applyFont="1" applyFill="1" applyBorder="1" applyAlignment="1">
      <alignment vertical="center" shrinkToFit="1"/>
    </xf>
    <xf numFmtId="180" fontId="12" fillId="0" borderId="5" xfId="10" applyNumberFormat="1" applyFont="1" applyFill="1" applyBorder="1" applyAlignment="1">
      <alignment vertical="center" shrinkToFit="1"/>
    </xf>
    <xf numFmtId="0" fontId="67" fillId="0" borderId="60" xfId="0" applyFont="1" applyBorder="1">
      <alignment vertical="center"/>
    </xf>
    <xf numFmtId="181" fontId="74" fillId="0" borderId="1" xfId="10" applyNumberFormat="1" applyFont="1" applyBorder="1" applyAlignment="1">
      <alignment horizontal="right" vertical="center" wrapText="1"/>
    </xf>
    <xf numFmtId="0" fontId="74" fillId="0" borderId="1" xfId="0" applyFont="1" applyBorder="1" applyAlignment="1">
      <alignment horizontal="center" vertical="center" wrapText="1"/>
    </xf>
    <xf numFmtId="184" fontId="21" fillId="0" borderId="19" xfId="0" applyNumberFormat="1" applyFont="1" applyBorder="1">
      <alignment vertical="center"/>
    </xf>
    <xf numFmtId="176" fontId="21" fillId="0" borderId="29" xfId="0" applyNumberFormat="1" applyFont="1" applyBorder="1">
      <alignment vertical="center"/>
    </xf>
    <xf numFmtId="176" fontId="21" fillId="0" borderId="17" xfId="0" applyNumberFormat="1" applyFont="1" applyBorder="1">
      <alignment vertical="center"/>
    </xf>
    <xf numFmtId="181" fontId="53" fillId="0" borderId="5" xfId="10" applyNumberFormat="1" applyFont="1" applyBorder="1">
      <alignment vertical="center"/>
    </xf>
    <xf numFmtId="178" fontId="67" fillId="0" borderId="1" xfId="10" applyFont="1" applyBorder="1">
      <alignment vertical="center"/>
    </xf>
    <xf numFmtId="0" fontId="50" fillId="4" borderId="16" xfId="0" applyFont="1" applyFill="1" applyBorder="1" applyAlignment="1">
      <alignment horizontal="left" vertical="center"/>
    </xf>
    <xf numFmtId="181" fontId="53" fillId="4" borderId="14" xfId="10" applyNumberFormat="1" applyFont="1" applyFill="1" applyBorder="1" applyAlignment="1">
      <alignment horizontal="right" vertical="center" wrapText="1"/>
    </xf>
    <xf numFmtId="182" fontId="53" fillId="4" borderId="14" xfId="10" applyNumberFormat="1" applyFont="1" applyFill="1" applyBorder="1" applyAlignment="1">
      <alignment horizontal="right" vertical="center"/>
    </xf>
    <xf numFmtId="180" fontId="54" fillId="4" borderId="14" xfId="10" applyNumberFormat="1" applyFont="1" applyFill="1" applyBorder="1">
      <alignment vertical="center"/>
    </xf>
    <xf numFmtId="181" fontId="54" fillId="4" borderId="14" xfId="10" applyNumberFormat="1" applyFont="1" applyFill="1" applyBorder="1" applyAlignment="1">
      <alignment horizontal="right" vertical="center" wrapText="1"/>
    </xf>
    <xf numFmtId="0" fontId="49" fillId="0" borderId="36" xfId="0" applyFont="1" applyBorder="1" applyAlignment="1">
      <alignment horizontal="left" vertical="center"/>
    </xf>
    <xf numFmtId="0" fontId="74" fillId="4" borderId="1" xfId="0" applyFont="1" applyFill="1" applyBorder="1">
      <alignment vertical="center"/>
    </xf>
    <xf numFmtId="1" fontId="6" fillId="0" borderId="29" xfId="0" applyNumberFormat="1" applyFont="1" applyBorder="1" applyAlignment="1"/>
    <xf numFmtId="0" fontId="21" fillId="4" borderId="41" xfId="0" applyFont="1" applyFill="1" applyBorder="1" applyAlignment="1">
      <alignment horizontal="left" vertical="center" shrinkToFit="1"/>
    </xf>
    <xf numFmtId="0" fontId="100" fillId="0" borderId="0" xfId="0" applyFont="1" applyAlignment="1">
      <alignment horizontal="left" vertical="center"/>
    </xf>
    <xf numFmtId="0" fontId="100" fillId="0" borderId="42" xfId="0" applyFont="1" applyBorder="1" applyAlignment="1">
      <alignment horizontal="left" vertical="center"/>
    </xf>
    <xf numFmtId="179" fontId="101" fillId="0" borderId="41" xfId="0" applyNumberFormat="1" applyFont="1" applyBorder="1" applyAlignment="1">
      <alignment horizontal="left" vertical="center" shrinkToFit="1"/>
    </xf>
    <xf numFmtId="0" fontId="59" fillId="4" borderId="41" xfId="0" applyFont="1" applyFill="1" applyBorder="1" applyAlignment="1">
      <alignment horizontal="left" vertical="center" shrinkToFit="1"/>
    </xf>
    <xf numFmtId="1" fontId="98" fillId="0" borderId="0" xfId="0" applyNumberFormat="1" applyFont="1" applyAlignment="1">
      <alignment horizontal="left" shrinkToFit="1"/>
    </xf>
    <xf numFmtId="179" fontId="52" fillId="0" borderId="1" xfId="0" quotePrefix="1" applyNumberFormat="1" applyFont="1" applyBorder="1" applyAlignment="1">
      <alignment horizontal="center" vertical="center" wrapText="1"/>
    </xf>
    <xf numFmtId="182" fontId="0" fillId="14" borderId="1" xfId="0" applyNumberFormat="1" applyFill="1" applyBorder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179" fontId="67" fillId="0" borderId="0" xfId="0" applyNumberFormat="1" applyFont="1">
      <alignment vertical="center"/>
    </xf>
    <xf numFmtId="0" fontId="103" fillId="0" borderId="1" xfId="0" applyFont="1" applyBorder="1">
      <alignment vertical="center"/>
    </xf>
    <xf numFmtId="190" fontId="5" fillId="0" borderId="16" xfId="19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81" fontId="1" fillId="5" borderId="1" xfId="10" applyNumberFormat="1" applyFill="1" applyBorder="1" applyAlignment="1">
      <alignment vertical="center" shrinkToFit="1"/>
    </xf>
    <xf numFmtId="0" fontId="21" fillId="5" borderId="1" xfId="0" applyFont="1" applyFill="1" applyBorder="1" applyAlignment="1">
      <alignment horizontal="left" vertical="center"/>
    </xf>
    <xf numFmtId="181" fontId="1" fillId="5" borderId="14" xfId="10" applyNumberFormat="1" applyFill="1" applyBorder="1" applyAlignment="1">
      <alignment vertical="center" shrinkToFit="1"/>
    </xf>
    <xf numFmtId="182" fontId="0" fillId="18" borderId="1" xfId="0" applyNumberForma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41" fillId="4" borderId="24" xfId="0" applyFont="1" applyFill="1" applyBorder="1" applyAlignment="1">
      <alignment horizontal="left" vertical="center" shrinkToFit="1"/>
    </xf>
    <xf numFmtId="0" fontId="74" fillId="0" borderId="0" xfId="0" applyFont="1">
      <alignment vertical="center"/>
    </xf>
    <xf numFmtId="181" fontId="104" fillId="4" borderId="0" xfId="10" applyNumberFormat="1" applyFont="1" applyFill="1" applyAlignment="1">
      <alignment horizontal="right" vertical="center"/>
    </xf>
    <xf numFmtId="0" fontId="104" fillId="4" borderId="0" xfId="0" applyFont="1" applyFill="1" applyAlignment="1">
      <alignment horizontal="right" vertical="center"/>
    </xf>
    <xf numFmtId="0" fontId="104" fillId="0" borderId="0" xfId="0" applyFont="1" applyAlignment="1">
      <alignment horizontal="right" vertical="center"/>
    </xf>
    <xf numFmtId="181" fontId="56" fillId="0" borderId="14" xfId="10" applyNumberFormat="1" applyFont="1" applyFill="1" applyBorder="1">
      <alignment vertical="center"/>
    </xf>
    <xf numFmtId="181" fontId="56" fillId="0" borderId="1" xfId="10" applyNumberFormat="1" applyFont="1" applyFill="1" applyBorder="1">
      <alignment vertical="center"/>
    </xf>
    <xf numFmtId="181" fontId="41" fillId="5" borderId="21" xfId="17" applyNumberFormat="1" applyFont="1" applyFill="1" applyBorder="1" applyAlignment="1">
      <alignment vertical="center" wrapText="1"/>
    </xf>
    <xf numFmtId="181" fontId="44" fillId="5" borderId="21" xfId="17" applyNumberFormat="1" applyFont="1" applyFill="1" applyBorder="1" applyAlignment="1">
      <alignment vertical="center" wrapText="1"/>
    </xf>
    <xf numFmtId="49" fontId="55" fillId="4" borderId="1" xfId="0" applyNumberFormat="1" applyFont="1" applyFill="1" applyBorder="1" applyAlignment="1">
      <alignment horizontal="center" vertical="center" shrinkToFit="1"/>
    </xf>
    <xf numFmtId="181" fontId="56" fillId="0" borderId="5" xfId="10" applyNumberFormat="1" applyFont="1" applyFill="1" applyBorder="1">
      <alignment vertical="center"/>
    </xf>
    <xf numFmtId="181" fontId="52" fillId="0" borderId="26" xfId="10" applyNumberFormat="1" applyFont="1" applyFill="1" applyBorder="1" applyAlignment="1">
      <alignment horizontal="center" vertical="center"/>
    </xf>
    <xf numFmtId="181" fontId="56" fillId="13" borderId="8" xfId="10" applyNumberFormat="1" applyFont="1" applyFill="1" applyBorder="1">
      <alignment vertical="center"/>
    </xf>
    <xf numFmtId="181" fontId="44" fillId="0" borderId="27" xfId="10" applyNumberFormat="1" applyFont="1" applyFill="1" applyBorder="1" applyAlignment="1">
      <alignment horizontal="center" vertical="center" wrapText="1"/>
    </xf>
    <xf numFmtId="181" fontId="56" fillId="0" borderId="0" xfId="10" applyNumberFormat="1" applyFont="1" applyFill="1">
      <alignment vertical="center"/>
    </xf>
    <xf numFmtId="0" fontId="56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185" fontId="0" fillId="18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" fontId="6" fillId="5" borderId="1" xfId="0" applyNumberFormat="1" applyFont="1" applyFill="1" applyBorder="1" applyAlignment="1"/>
    <xf numFmtId="0" fontId="2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shrinkToFit="1"/>
    </xf>
    <xf numFmtId="181" fontId="12" fillId="5" borderId="5" xfId="10" applyNumberFormat="1" applyFont="1" applyFill="1" applyBorder="1" applyAlignment="1">
      <alignment vertical="center" shrinkToFit="1"/>
    </xf>
    <xf numFmtId="181" fontId="12" fillId="5" borderId="1" xfId="10" applyNumberFormat="1" applyFont="1" applyFill="1" applyBorder="1" applyAlignment="1">
      <alignment vertical="center" shrinkToFit="1"/>
    </xf>
    <xf numFmtId="181" fontId="0" fillId="5" borderId="5" xfId="10" applyNumberFormat="1" applyFont="1" applyFill="1" applyBorder="1" applyAlignment="1">
      <alignment vertical="center" shrinkToFit="1"/>
    </xf>
    <xf numFmtId="181" fontId="1" fillId="5" borderId="1" xfId="10" applyNumberFormat="1" applyFont="1" applyFill="1" applyBorder="1" applyAlignment="1">
      <alignment vertical="center" shrinkToFit="1"/>
    </xf>
    <xf numFmtId="181" fontId="1" fillId="5" borderId="2" xfId="10" applyNumberFormat="1" applyFont="1" applyFill="1" applyBorder="1" applyAlignment="1">
      <alignment vertical="center" shrinkToFit="1"/>
    </xf>
    <xf numFmtId="181" fontId="0" fillId="5" borderId="4" xfId="0" applyNumberFormat="1" applyFill="1" applyBorder="1" applyAlignment="1">
      <alignment vertical="center" shrinkToFit="1"/>
    </xf>
    <xf numFmtId="0" fontId="0" fillId="5" borderId="17" xfId="0" applyFill="1" applyBorder="1" applyAlignment="1">
      <alignment vertical="center" shrinkToFit="1"/>
    </xf>
    <xf numFmtId="0" fontId="4" fillId="5" borderId="1" xfId="0" applyFont="1" applyFill="1" applyBorder="1" applyAlignment="1">
      <alignment horizontal="left" vertical="center"/>
    </xf>
    <xf numFmtId="178" fontId="12" fillId="5" borderId="5" xfId="10" applyFont="1" applyFill="1" applyBorder="1" applyAlignment="1">
      <alignment vertical="center" shrinkToFit="1"/>
    </xf>
    <xf numFmtId="181" fontId="0" fillId="5" borderId="1" xfId="10" applyNumberFormat="1" applyFont="1" applyFill="1" applyBorder="1" applyAlignment="1">
      <alignment vertical="center" shrinkToFit="1"/>
    </xf>
    <xf numFmtId="181" fontId="0" fillId="5" borderId="2" xfId="10" applyNumberFormat="1" applyFont="1" applyFill="1" applyBorder="1" applyAlignment="1">
      <alignment vertical="center" shrinkToFit="1"/>
    </xf>
    <xf numFmtId="181" fontId="0" fillId="5" borderId="21" xfId="0" applyNumberFormat="1" applyFill="1" applyBorder="1" applyAlignment="1">
      <alignment vertical="center" shrinkToFit="1"/>
    </xf>
    <xf numFmtId="0" fontId="0" fillId="5" borderId="1" xfId="0" applyFill="1" applyBorder="1" applyAlignment="1">
      <alignment vertical="center" shrinkToFit="1"/>
    </xf>
    <xf numFmtId="0" fontId="0" fillId="5" borderId="2" xfId="0" applyFill="1" applyBorder="1" applyAlignment="1">
      <alignment vertical="center" shrinkToFit="1"/>
    </xf>
    <xf numFmtId="181" fontId="0" fillId="5" borderId="46" xfId="0" applyNumberFormat="1" applyFill="1" applyBorder="1" applyAlignment="1">
      <alignment vertical="center" shrinkToFit="1"/>
    </xf>
    <xf numFmtId="0" fontId="10" fillId="5" borderId="5" xfId="0" applyFont="1" applyFill="1" applyBorder="1">
      <alignment vertical="center"/>
    </xf>
    <xf numFmtId="0" fontId="59" fillId="5" borderId="24" xfId="0" applyFont="1" applyFill="1" applyBorder="1" applyAlignment="1">
      <alignment horizontal="left" vertical="center" wrapText="1" shrinkToFit="1"/>
    </xf>
    <xf numFmtId="181" fontId="54" fillId="4" borderId="5" xfId="10" applyNumberFormat="1" applyFont="1" applyFill="1" applyBorder="1">
      <alignment vertical="center"/>
    </xf>
    <xf numFmtId="181" fontId="56" fillId="0" borderId="47" xfId="10" applyNumberFormat="1" applyFont="1" applyFill="1" applyBorder="1">
      <alignment vertical="center"/>
    </xf>
    <xf numFmtId="181" fontId="54" fillId="4" borderId="47" xfId="10" applyNumberFormat="1" applyFont="1" applyFill="1" applyBorder="1">
      <alignment vertical="center"/>
    </xf>
    <xf numFmtId="181" fontId="53" fillId="4" borderId="5" xfId="10" applyNumberFormat="1" applyFont="1" applyFill="1" applyBorder="1">
      <alignment vertical="center"/>
    </xf>
    <xf numFmtId="180" fontId="54" fillId="4" borderId="5" xfId="10" applyNumberFormat="1" applyFont="1" applyFill="1" applyBorder="1">
      <alignment vertical="center"/>
    </xf>
    <xf numFmtId="181" fontId="1" fillId="0" borderId="10" xfId="10" applyNumberFormat="1" applyFont="1" applyFill="1" applyBorder="1" applyAlignment="1">
      <alignment vertical="center"/>
    </xf>
    <xf numFmtId="181" fontId="0" fillId="8" borderId="5" xfId="10" applyNumberFormat="1" applyFont="1" applyFill="1" applyBorder="1">
      <alignment vertical="center"/>
    </xf>
    <xf numFmtId="181" fontId="0" fillId="0" borderId="5" xfId="10" applyNumberFormat="1" applyFont="1" applyFill="1" applyBorder="1">
      <alignment vertical="center"/>
    </xf>
    <xf numFmtId="49" fontId="54" fillId="0" borderId="27" xfId="0" applyNumberFormat="1" applyFont="1" applyBorder="1" applyAlignment="1">
      <alignment horizontal="center" vertical="center" shrinkToFit="1"/>
    </xf>
    <xf numFmtId="181" fontId="54" fillId="0" borderId="27" xfId="10" applyNumberFormat="1" applyFont="1" applyFill="1" applyBorder="1" applyAlignment="1">
      <alignment horizontal="right" vertical="center" wrapText="1"/>
    </xf>
    <xf numFmtId="181" fontId="53" fillId="0" borderId="27" xfId="10" applyNumberFormat="1" applyFont="1" applyFill="1" applyBorder="1" applyAlignment="1">
      <alignment horizontal="right" vertical="center"/>
    </xf>
    <xf numFmtId="181" fontId="56" fillId="0" borderId="27" xfId="10" applyNumberFormat="1" applyFont="1" applyFill="1" applyBorder="1">
      <alignment vertical="center"/>
    </xf>
    <xf numFmtId="181" fontId="53" fillId="4" borderId="27" xfId="10" applyNumberFormat="1" applyFont="1" applyFill="1" applyBorder="1">
      <alignment vertical="center"/>
    </xf>
    <xf numFmtId="181" fontId="53" fillId="0" borderId="27" xfId="10" applyNumberFormat="1" applyFont="1" applyFill="1" applyBorder="1">
      <alignment vertical="center"/>
    </xf>
    <xf numFmtId="181" fontId="54" fillId="4" borderId="27" xfId="10" applyNumberFormat="1" applyFont="1" applyFill="1" applyBorder="1">
      <alignment vertical="center"/>
    </xf>
    <xf numFmtId="180" fontId="54" fillId="0" borderId="27" xfId="10" applyNumberFormat="1" applyFont="1" applyFill="1" applyBorder="1">
      <alignment vertical="center"/>
    </xf>
    <xf numFmtId="179" fontId="21" fillId="0" borderId="65" xfId="0" applyNumberFormat="1" applyFont="1" applyBorder="1" applyAlignment="1">
      <alignment vertical="center" shrinkToFit="1"/>
    </xf>
    <xf numFmtId="181" fontId="1" fillId="0" borderId="39" xfId="10" applyNumberFormat="1" applyFont="1" applyFill="1" applyBorder="1" applyAlignment="1">
      <alignment vertical="center"/>
    </xf>
    <xf numFmtId="181" fontId="0" fillId="0" borderId="27" xfId="10" applyNumberFormat="1" applyFont="1" applyBorder="1">
      <alignment vertical="center"/>
    </xf>
    <xf numFmtId="181" fontId="0" fillId="0" borderId="27" xfId="10" applyNumberFormat="1" applyFont="1" applyFill="1" applyBorder="1">
      <alignment vertical="center"/>
    </xf>
    <xf numFmtId="49" fontId="54" fillId="4" borderId="8" xfId="0" applyNumberFormat="1" applyFont="1" applyFill="1" applyBorder="1" applyAlignment="1">
      <alignment horizontal="center" vertical="center" shrinkToFit="1"/>
    </xf>
    <xf numFmtId="181" fontId="54" fillId="4" borderId="8" xfId="10" applyNumberFormat="1" applyFont="1" applyFill="1" applyBorder="1" applyAlignment="1">
      <alignment horizontal="right" vertical="center" wrapText="1"/>
    </xf>
    <xf numFmtId="182" fontId="53" fillId="0" borderId="8" xfId="10" applyNumberFormat="1" applyFont="1" applyFill="1" applyBorder="1" applyAlignment="1">
      <alignment horizontal="right" vertical="center"/>
    </xf>
    <xf numFmtId="181" fontId="56" fillId="0" borderId="8" xfId="10" applyNumberFormat="1" applyFont="1" applyFill="1" applyBorder="1">
      <alignment vertical="center"/>
    </xf>
    <xf numFmtId="181" fontId="54" fillId="4" borderId="8" xfId="10" applyNumberFormat="1" applyFont="1" applyFill="1" applyBorder="1">
      <alignment vertical="center"/>
    </xf>
    <xf numFmtId="181" fontId="53" fillId="0" borderId="8" xfId="10" applyNumberFormat="1" applyFont="1" applyFill="1" applyBorder="1">
      <alignment vertical="center"/>
    </xf>
    <xf numFmtId="180" fontId="54" fillId="0" borderId="8" xfId="10" applyNumberFormat="1" applyFont="1" applyFill="1" applyBorder="1">
      <alignment vertical="center"/>
    </xf>
    <xf numFmtId="181" fontId="53" fillId="0" borderId="11" xfId="10" applyNumberFormat="1" applyFont="1" applyFill="1" applyBorder="1">
      <alignment vertical="center"/>
    </xf>
    <xf numFmtId="181" fontId="53" fillId="0" borderId="8" xfId="10" applyNumberFormat="1" applyFont="1" applyFill="1" applyBorder="1" applyAlignment="1">
      <alignment horizontal="center" vertical="center" wrapText="1"/>
    </xf>
    <xf numFmtId="0" fontId="53" fillId="0" borderId="44" xfId="0" applyFont="1" applyBorder="1" applyAlignment="1">
      <alignment horizontal="center" vertical="center"/>
    </xf>
    <xf numFmtId="181" fontId="53" fillId="4" borderId="47" xfId="10" applyNumberFormat="1" applyFont="1" applyFill="1" applyBorder="1">
      <alignment vertical="center"/>
    </xf>
    <xf numFmtId="181" fontId="0" fillId="0" borderId="28" xfId="10" applyNumberFormat="1" applyFont="1" applyBorder="1">
      <alignment vertical="center"/>
    </xf>
    <xf numFmtId="181" fontId="0" fillId="8" borderId="28" xfId="10" applyNumberFormat="1" applyFont="1" applyFill="1" applyBorder="1">
      <alignment vertical="center"/>
    </xf>
    <xf numFmtId="181" fontId="0" fillId="0" borderId="28" xfId="10" applyNumberFormat="1" applyFont="1" applyFill="1" applyBorder="1">
      <alignment vertical="center"/>
    </xf>
    <xf numFmtId="180" fontId="53" fillId="4" borderId="5" xfId="10" applyNumberFormat="1" applyFont="1" applyFill="1" applyBorder="1" applyAlignment="1">
      <alignment horizontal="right" vertical="center"/>
    </xf>
    <xf numFmtId="0" fontId="0" fillId="4" borderId="0" xfId="0" applyFill="1" applyAlignment="1"/>
    <xf numFmtId="0" fontId="0" fillId="0" borderId="0" xfId="0" quotePrefix="1" applyAlignment="1"/>
    <xf numFmtId="190" fontId="105" fillId="4" borderId="16" xfId="19" applyNumberFormat="1" applyFont="1" applyFill="1" applyBorder="1" applyAlignment="1">
      <alignment horizontal="center" vertical="center" shrinkToFit="1"/>
    </xf>
    <xf numFmtId="190" fontId="106" fillId="4" borderId="16" xfId="19" applyNumberFormat="1" applyFont="1" applyFill="1" applyBorder="1" applyAlignment="1">
      <alignment horizontal="center" vertical="center" shrinkToFit="1"/>
    </xf>
    <xf numFmtId="190" fontId="105" fillId="0" borderId="16" xfId="19" applyNumberFormat="1" applyFont="1" applyBorder="1" applyAlignment="1">
      <alignment horizontal="center" vertical="center" shrinkToFit="1"/>
    </xf>
    <xf numFmtId="181" fontId="80" fillId="21" borderId="1" xfId="10" applyNumberFormat="1" applyFont="1" applyFill="1" applyBorder="1">
      <alignment vertical="center"/>
    </xf>
    <xf numFmtId="180" fontId="74" fillId="0" borderId="1" xfId="10" applyNumberFormat="1" applyFont="1" applyBorder="1">
      <alignment vertical="center"/>
    </xf>
    <xf numFmtId="181" fontId="74" fillId="21" borderId="1" xfId="10" applyNumberFormat="1" applyFont="1" applyFill="1" applyBorder="1">
      <alignment vertical="center"/>
    </xf>
    <xf numFmtId="181" fontId="74" fillId="0" borderId="24" xfId="10" applyNumberFormat="1" applyFont="1" applyBorder="1">
      <alignment vertical="center"/>
    </xf>
    <xf numFmtId="0" fontId="105" fillId="4" borderId="1" xfId="0" applyFont="1" applyFill="1" applyBorder="1" applyAlignment="1">
      <alignment horizontal="center" vertical="center"/>
    </xf>
    <xf numFmtId="190" fontId="105" fillId="4" borderId="24" xfId="19" applyNumberFormat="1" applyFont="1" applyFill="1" applyBorder="1" applyAlignment="1">
      <alignment horizontal="center" vertical="center" shrinkToFit="1"/>
    </xf>
    <xf numFmtId="0" fontId="106" fillId="4" borderId="1" xfId="0" applyFont="1" applyFill="1" applyBorder="1">
      <alignment vertical="center"/>
    </xf>
    <xf numFmtId="190" fontId="105" fillId="4" borderId="1" xfId="19" applyNumberFormat="1" applyFont="1" applyFill="1" applyBorder="1" applyAlignment="1">
      <alignment horizontal="center" vertical="center" shrinkToFit="1"/>
    </xf>
    <xf numFmtId="190" fontId="80" fillId="4" borderId="24" xfId="19" applyNumberFormat="1" applyFont="1" applyFill="1" applyBorder="1" applyAlignment="1">
      <alignment horizontal="center" vertical="center" shrinkToFit="1"/>
    </xf>
    <xf numFmtId="0" fontId="105" fillId="4" borderId="2" xfId="0" applyFont="1" applyFill="1" applyBorder="1" applyAlignment="1">
      <alignment horizontal="center" vertical="center"/>
    </xf>
    <xf numFmtId="0" fontId="80" fillId="4" borderId="60" xfId="0" applyFont="1" applyFill="1" applyBorder="1" applyAlignment="1">
      <alignment horizontal="right" vertical="center"/>
    </xf>
    <xf numFmtId="0" fontId="105" fillId="4" borderId="16" xfId="0" applyFont="1" applyFill="1" applyBorder="1" applyAlignment="1">
      <alignment horizontal="center" vertical="center"/>
    </xf>
    <xf numFmtId="0" fontId="105" fillId="0" borderId="1" xfId="0" applyFont="1" applyBorder="1" applyAlignment="1">
      <alignment horizontal="center" vertical="center"/>
    </xf>
    <xf numFmtId="190" fontId="105" fillId="0" borderId="24" xfId="19" applyNumberFormat="1" applyFont="1" applyFill="1" applyBorder="1" applyAlignment="1">
      <alignment horizontal="center" vertical="center" shrinkToFit="1"/>
    </xf>
    <xf numFmtId="180" fontId="67" fillId="0" borderId="1" xfId="10" applyNumberFormat="1" applyFont="1" applyFill="1" applyBorder="1">
      <alignment vertical="center"/>
    </xf>
    <xf numFmtId="0" fontId="69" fillId="0" borderId="1" xfId="0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190" fontId="5" fillId="0" borderId="16" xfId="19" applyNumberFormat="1" applyFont="1" applyFill="1" applyBorder="1" applyAlignment="1">
      <alignment horizontal="center" vertical="center" wrapText="1"/>
    </xf>
    <xf numFmtId="183" fontId="52" fillId="0" borderId="1" xfId="0" quotePrefix="1" applyNumberFormat="1" applyFont="1" applyBorder="1" applyAlignment="1">
      <alignment horizontal="center" vertical="center" wrapText="1"/>
    </xf>
    <xf numFmtId="181" fontId="68" fillId="0" borderId="1" xfId="10" applyNumberFormat="1" applyFont="1" applyBorder="1">
      <alignment vertical="center"/>
    </xf>
    <xf numFmtId="179" fontId="21" fillId="5" borderId="55" xfId="0" applyNumberFormat="1" applyFont="1" applyFill="1" applyBorder="1" applyAlignment="1">
      <alignment vertical="center" shrinkToFit="1"/>
    </xf>
    <xf numFmtId="181" fontId="44" fillId="0" borderId="54" xfId="10" applyNumberFormat="1" applyFont="1" applyFill="1" applyBorder="1" applyAlignment="1">
      <alignment vertical="center" wrapText="1" shrinkToFit="1"/>
    </xf>
    <xf numFmtId="176" fontId="21" fillId="0" borderId="17" xfId="0" applyNumberFormat="1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13" borderId="1" xfId="0" applyFill="1" applyBorder="1" applyAlignment="1">
      <alignment horizontal="center" vertical="center"/>
    </xf>
    <xf numFmtId="182" fontId="53" fillId="4" borderId="5" xfId="10" applyNumberFormat="1" applyFont="1" applyFill="1" applyBorder="1" applyAlignment="1">
      <alignment horizontal="right" vertical="center"/>
    </xf>
    <xf numFmtId="181" fontId="44" fillId="4" borderId="54" xfId="10" applyNumberFormat="1" applyFont="1" applyFill="1" applyBorder="1" applyAlignment="1">
      <alignment vertical="center" wrapText="1" shrinkToFit="1"/>
    </xf>
    <xf numFmtId="181" fontId="44" fillId="4" borderId="54" xfId="10" applyNumberFormat="1" applyFont="1" applyFill="1" applyBorder="1" applyAlignment="1">
      <alignment horizontal="left" vertical="center" wrapText="1" shrinkToFit="1"/>
    </xf>
    <xf numFmtId="181" fontId="56" fillId="4" borderId="14" xfId="10" applyNumberFormat="1" applyFont="1" applyFill="1" applyBorder="1">
      <alignment vertical="center"/>
    </xf>
    <xf numFmtId="181" fontId="55" fillId="4" borderId="1" xfId="10" applyNumberFormat="1" applyFont="1" applyFill="1" applyBorder="1" applyAlignment="1">
      <alignment horizontal="right" vertical="center" wrapText="1"/>
    </xf>
    <xf numFmtId="179" fontId="44" fillId="4" borderId="55" xfId="0" applyNumberFormat="1" applyFont="1" applyFill="1" applyBorder="1" applyAlignment="1">
      <alignment horizontal="left" vertical="center" shrinkToFit="1"/>
    </xf>
    <xf numFmtId="0" fontId="93" fillId="4" borderId="54" xfId="0" applyFont="1" applyFill="1" applyBorder="1" applyAlignment="1">
      <alignment horizontal="left" vertical="center" wrapText="1" shrinkToFit="1"/>
    </xf>
    <xf numFmtId="0" fontId="67" fillId="0" borderId="61" xfId="0" applyFont="1" applyBorder="1" applyAlignment="1">
      <alignment horizontal="right" vertical="center"/>
    </xf>
    <xf numFmtId="1" fontId="31" fillId="4" borderId="1" xfId="0" applyNumberFormat="1" applyFont="1" applyFill="1" applyBorder="1" applyAlignment="1"/>
    <xf numFmtId="181" fontId="53" fillId="9" borderId="62" xfId="10" applyNumberFormat="1" applyFont="1" applyFill="1" applyBorder="1" applyAlignment="1">
      <alignment horizontal="left" vertical="center" wrapText="1"/>
    </xf>
    <xf numFmtId="0" fontId="63" fillId="0" borderId="40" xfId="0" applyFont="1" applyBorder="1" applyAlignment="1">
      <alignment horizontal="center" vertical="center" shrinkToFit="1"/>
    </xf>
    <xf numFmtId="49" fontId="63" fillId="0" borderId="14" xfId="0" applyNumberFormat="1" applyFont="1" applyBorder="1" applyAlignment="1">
      <alignment horizontal="center" vertical="center" shrinkToFit="1"/>
    </xf>
    <xf numFmtId="181" fontId="63" fillId="0" borderId="60" xfId="10" applyNumberFormat="1" applyFont="1" applyFill="1" applyBorder="1" applyAlignment="1">
      <alignment horizontal="left" vertical="center" wrapText="1"/>
    </xf>
    <xf numFmtId="181" fontId="63" fillId="8" borderId="51" xfId="10" applyNumberFormat="1" applyFont="1" applyFill="1" applyBorder="1">
      <alignment vertical="center"/>
    </xf>
    <xf numFmtId="181" fontId="63" fillId="8" borderId="47" xfId="10" applyNumberFormat="1" applyFont="1" applyFill="1" applyBorder="1">
      <alignment vertical="center"/>
    </xf>
    <xf numFmtId="181" fontId="63" fillId="8" borderId="47" xfId="10" applyNumberFormat="1" applyFont="1" applyFill="1" applyBorder="1" applyAlignment="1">
      <alignment horizontal="center" vertical="center" wrapText="1"/>
    </xf>
    <xf numFmtId="0" fontId="63" fillId="8" borderId="55" xfId="0" applyFont="1" applyFill="1" applyBorder="1" applyAlignment="1">
      <alignment horizontal="center" vertical="center"/>
    </xf>
    <xf numFmtId="49" fontId="55" fillId="4" borderId="14" xfId="0" applyNumberFormat="1" applyFont="1" applyFill="1" applyBorder="1" applyAlignment="1">
      <alignment horizontal="center" vertical="center" shrinkToFit="1"/>
    </xf>
    <xf numFmtId="181" fontId="55" fillId="4" borderId="14" xfId="10" applyNumberFormat="1" applyFont="1" applyFill="1" applyBorder="1" applyAlignment="1">
      <alignment horizontal="right" vertical="center" wrapText="1"/>
    </xf>
    <xf numFmtId="182" fontId="55" fillId="4" borderId="14" xfId="10" applyNumberFormat="1" applyFont="1" applyFill="1" applyBorder="1" applyAlignment="1">
      <alignment horizontal="right" vertical="center"/>
    </xf>
    <xf numFmtId="181" fontId="55" fillId="4" borderId="14" xfId="10" applyNumberFormat="1" applyFont="1" applyFill="1" applyBorder="1">
      <alignment vertical="center"/>
    </xf>
    <xf numFmtId="180" fontId="55" fillId="4" borderId="14" xfId="10" applyNumberFormat="1" applyFont="1" applyFill="1" applyBorder="1">
      <alignment vertical="center"/>
    </xf>
    <xf numFmtId="181" fontId="56" fillId="18" borderId="14" xfId="10" applyNumberFormat="1" applyFont="1" applyFill="1" applyBorder="1" applyAlignment="1">
      <alignment vertical="center"/>
    </xf>
    <xf numFmtId="0" fontId="15" fillId="21" borderId="27" xfId="0" applyFont="1" applyFill="1" applyBorder="1" applyAlignment="1">
      <alignment horizontal="center" vertical="center"/>
    </xf>
    <xf numFmtId="0" fontId="15" fillId="21" borderId="37" xfId="0" applyFont="1" applyFill="1" applyBorder="1" applyAlignment="1">
      <alignment horizontal="center" vertical="center"/>
    </xf>
    <xf numFmtId="0" fontId="15" fillId="0" borderId="16" xfId="0" applyFont="1" applyBorder="1">
      <alignment vertical="center"/>
    </xf>
    <xf numFmtId="181" fontId="15" fillId="0" borderId="1" xfId="10" applyNumberFormat="1" applyFont="1" applyBorder="1">
      <alignment vertical="center"/>
    </xf>
    <xf numFmtId="181" fontId="15" fillId="0" borderId="1" xfId="10" applyNumberFormat="1" applyFont="1" applyBorder="1" applyAlignment="1">
      <alignment horizontal="center" vertical="center"/>
    </xf>
    <xf numFmtId="181" fontId="15" fillId="0" borderId="24" xfId="10" applyNumberFormat="1" applyFont="1" applyBorder="1" applyAlignment="1">
      <alignment horizontal="center" vertical="center"/>
    </xf>
    <xf numFmtId="181" fontId="15" fillId="0" borderId="1" xfId="10" applyNumberFormat="1" applyFont="1" applyFill="1" applyBorder="1" applyAlignment="1">
      <alignment horizontal="center" vertical="center"/>
    </xf>
    <xf numFmtId="181" fontId="15" fillId="0" borderId="24" xfId="10" applyNumberFormat="1" applyFont="1" applyFill="1" applyBorder="1" applyAlignment="1">
      <alignment horizontal="left" vertical="center"/>
    </xf>
    <xf numFmtId="181" fontId="32" fillId="13" borderId="8" xfId="10" applyNumberFormat="1" applyFont="1" applyFill="1" applyBorder="1">
      <alignment vertical="center"/>
    </xf>
    <xf numFmtId="181" fontId="32" fillId="13" borderId="8" xfId="10" applyNumberFormat="1" applyFont="1" applyFill="1" applyBorder="1" applyAlignment="1">
      <alignment horizontal="center" vertical="center"/>
    </xf>
    <xf numFmtId="181" fontId="32" fillId="13" borderId="44" xfId="10" applyNumberFormat="1" applyFont="1" applyFill="1" applyBorder="1">
      <alignment vertical="center"/>
    </xf>
    <xf numFmtId="190" fontId="5" fillId="0" borderId="16" xfId="19" applyNumberFormat="1" applyFont="1" applyFill="1" applyBorder="1" applyAlignment="1">
      <alignment horizontal="left" vertical="center" wrapText="1"/>
    </xf>
    <xf numFmtId="181" fontId="70" fillId="0" borderId="24" xfId="10" applyNumberFormat="1" applyFont="1" applyFill="1" applyBorder="1">
      <alignment vertical="center"/>
    </xf>
    <xf numFmtId="181" fontId="1" fillId="0" borderId="17" xfId="10" applyNumberFormat="1" applyFont="1" applyFill="1" applyBorder="1" applyAlignment="1">
      <alignment vertical="center"/>
    </xf>
    <xf numFmtId="181" fontId="59" fillId="0" borderId="24" xfId="0" applyNumberFormat="1" applyFont="1" applyBorder="1" applyAlignment="1">
      <alignment horizontal="left" vertical="center" wrapText="1"/>
    </xf>
    <xf numFmtId="0" fontId="7" fillId="9" borderId="11" xfId="0" applyFont="1" applyFill="1" applyBorder="1" applyAlignment="1">
      <alignment horizontal="center" vertical="center" shrinkToFit="1"/>
    </xf>
    <xf numFmtId="0" fontId="0" fillId="9" borderId="8" xfId="0" applyFill="1" applyBorder="1" applyAlignment="1">
      <alignment horizontal="center" vertical="center" shrinkToFit="1"/>
    </xf>
    <xf numFmtId="0" fontId="4" fillId="9" borderId="8" xfId="0" applyFont="1" applyFill="1" applyBorder="1" applyAlignment="1">
      <alignment vertical="center" shrinkToFit="1"/>
    </xf>
    <xf numFmtId="181" fontId="12" fillId="9" borderId="8" xfId="10" applyNumberFormat="1" applyFont="1" applyFill="1" applyBorder="1" applyAlignment="1">
      <alignment vertical="center" shrinkToFit="1"/>
    </xf>
    <xf numFmtId="181" fontId="0" fillId="14" borderId="8" xfId="10" applyNumberFormat="1" applyFont="1" applyFill="1" applyBorder="1" applyAlignment="1">
      <alignment vertical="center" shrinkToFit="1"/>
    </xf>
    <xf numFmtId="181" fontId="0" fillId="9" borderId="8" xfId="10" applyNumberFormat="1" applyFont="1" applyFill="1" applyBorder="1" applyAlignment="1">
      <alignment vertical="center" shrinkToFit="1"/>
    </xf>
    <xf numFmtId="181" fontId="0" fillId="0" borderId="44" xfId="0" applyNumberFormat="1" applyBorder="1" applyAlignment="1">
      <alignment vertical="center" wrapText="1"/>
    </xf>
    <xf numFmtId="0" fontId="0" fillId="0" borderId="36" xfId="0" applyBorder="1" applyAlignment="1">
      <alignment vertical="center" shrinkToFit="1"/>
    </xf>
    <xf numFmtId="0" fontId="0" fillId="5" borderId="18" xfId="0" applyFill="1" applyBorder="1" applyAlignment="1">
      <alignment vertical="center" shrinkToFit="1"/>
    </xf>
    <xf numFmtId="181" fontId="0" fillId="9" borderId="13" xfId="10" applyNumberFormat="1" applyFont="1" applyFill="1" applyBorder="1" applyAlignment="1">
      <alignment vertical="center" shrinkToFit="1"/>
    </xf>
    <xf numFmtId="181" fontId="0" fillId="9" borderId="38" xfId="10" applyNumberFormat="1" applyFont="1" applyFill="1" applyBorder="1" applyAlignment="1">
      <alignment vertical="center" shrinkToFit="1"/>
    </xf>
    <xf numFmtId="181" fontId="0" fillId="21" borderId="107" xfId="0" applyNumberFormat="1" applyFill="1" applyBorder="1" applyAlignment="1">
      <alignment vertical="center" shrinkToFit="1"/>
    </xf>
    <xf numFmtId="0" fontId="0" fillId="0" borderId="42" xfId="0" applyBorder="1" applyAlignment="1">
      <alignment vertical="center" shrinkToFit="1"/>
    </xf>
    <xf numFmtId="181" fontId="0" fillId="9" borderId="11" xfId="10" applyNumberFormat="1" applyFont="1" applyFill="1" applyBorder="1" applyAlignment="1">
      <alignment vertical="center" shrinkToFit="1"/>
    </xf>
    <xf numFmtId="181" fontId="0" fillId="9" borderId="44" xfId="10" applyNumberFormat="1" applyFont="1" applyFill="1" applyBorder="1" applyAlignment="1">
      <alignment vertical="center" shrinkToFit="1"/>
    </xf>
    <xf numFmtId="0" fontId="0" fillId="21" borderId="30" xfId="0" applyFill="1" applyBorder="1" applyAlignment="1">
      <alignment horizontal="center" vertical="center" wrapText="1"/>
    </xf>
    <xf numFmtId="181" fontId="0" fillId="5" borderId="25" xfId="0" applyNumberFormat="1" applyFill="1" applyBorder="1" applyAlignment="1">
      <alignment vertical="center" shrinkToFit="1"/>
    </xf>
    <xf numFmtId="181" fontId="0" fillId="21" borderId="25" xfId="0" applyNumberFormat="1" applyFill="1" applyBorder="1" applyAlignment="1">
      <alignment vertical="center" shrinkToFit="1"/>
    </xf>
    <xf numFmtId="181" fontId="0" fillId="9" borderId="64" xfId="10" applyNumberFormat="1" applyFont="1" applyFill="1" applyBorder="1" applyAlignment="1">
      <alignment vertical="center" shrinkToFit="1"/>
    </xf>
    <xf numFmtId="181" fontId="0" fillId="5" borderId="57" xfId="0" applyNumberFormat="1" applyFill="1" applyBorder="1" applyAlignment="1">
      <alignment vertical="center" shrinkToFit="1"/>
    </xf>
    <xf numFmtId="181" fontId="0" fillId="4" borderId="0" xfId="0" applyNumberFormat="1" applyFill="1" applyAlignment="1">
      <alignment vertical="center" shrinkToFit="1"/>
    </xf>
    <xf numFmtId="181" fontId="0" fillId="0" borderId="17" xfId="0" applyNumberFormat="1" applyBorder="1" applyAlignment="1">
      <alignment vertical="center" shrinkToFit="1"/>
    </xf>
    <xf numFmtId="181" fontId="0" fillId="5" borderId="17" xfId="0" applyNumberFormat="1" applyFill="1" applyBorder="1" applyAlignment="1">
      <alignment vertical="center" shrinkToFit="1"/>
    </xf>
    <xf numFmtId="0" fontId="0" fillId="14" borderId="22" xfId="0" applyFill="1" applyBorder="1" applyAlignment="1">
      <alignment horizontal="center" vertical="center" wrapText="1"/>
    </xf>
    <xf numFmtId="181" fontId="26" fillId="5" borderId="21" xfId="0" applyNumberFormat="1" applyFont="1" applyFill="1" applyBorder="1" applyAlignment="1">
      <alignment vertical="center" shrinkToFit="1"/>
    </xf>
    <xf numFmtId="181" fontId="0" fillId="4" borderId="4" xfId="0" applyNumberFormat="1" applyFill="1" applyBorder="1" applyAlignment="1">
      <alignment vertical="center" shrinkToFit="1"/>
    </xf>
    <xf numFmtId="181" fontId="0" fillId="4" borderId="21" xfId="0" applyNumberFormat="1" applyFill="1" applyBorder="1" applyAlignment="1">
      <alignment vertical="center" shrinkToFit="1"/>
    </xf>
    <xf numFmtId="181" fontId="10" fillId="4" borderId="20" xfId="0" applyNumberFormat="1" applyFont="1" applyFill="1" applyBorder="1" applyAlignment="1">
      <alignment vertical="center" shrinkToFit="1"/>
    </xf>
    <xf numFmtId="181" fontId="0" fillId="0" borderId="4" xfId="0" applyNumberFormat="1" applyBorder="1" applyAlignment="1">
      <alignment vertical="center" shrinkToFit="1"/>
    </xf>
    <xf numFmtId="181" fontId="10" fillId="5" borderId="4" xfId="0" applyNumberFormat="1" applyFont="1" applyFill="1" applyBorder="1" applyAlignment="1">
      <alignment vertical="center" shrinkToFit="1"/>
    </xf>
    <xf numFmtId="181" fontId="0" fillId="9" borderId="12" xfId="10" applyNumberFormat="1" applyFont="1" applyFill="1" applyBorder="1" applyAlignment="1">
      <alignment vertical="center" shrinkToFit="1"/>
    </xf>
    <xf numFmtId="0" fontId="10" fillId="15" borderId="31" xfId="0" applyFont="1" applyFill="1" applyBorder="1" applyAlignment="1">
      <alignment horizontal="right" vertical="center" wrapText="1"/>
    </xf>
    <xf numFmtId="0" fontId="10" fillId="5" borderId="17" xfId="0" applyFont="1" applyFill="1" applyBorder="1">
      <alignment vertical="center"/>
    </xf>
    <xf numFmtId="181" fontId="0" fillId="0" borderId="28" xfId="0" applyNumberFormat="1" applyBorder="1" applyAlignment="1">
      <alignment vertical="center" shrinkToFit="1"/>
    </xf>
    <xf numFmtId="181" fontId="0" fillId="0" borderId="29" xfId="0" applyNumberFormat="1" applyBorder="1" applyAlignment="1">
      <alignment vertical="center" shrinkToFit="1"/>
    </xf>
    <xf numFmtId="0" fontId="0" fillId="13" borderId="22" xfId="0" applyFill="1" applyBorder="1" applyAlignment="1">
      <alignment horizontal="center" vertical="center" wrapText="1"/>
    </xf>
    <xf numFmtId="181" fontId="0" fillId="0" borderId="21" xfId="0" applyNumberFormat="1" applyBorder="1" applyAlignment="1">
      <alignment vertical="center" shrinkToFit="1"/>
    </xf>
    <xf numFmtId="181" fontId="0" fillId="13" borderId="24" xfId="0" applyNumberFormat="1" applyFill="1" applyBorder="1" applyAlignment="1">
      <alignment vertical="center" shrinkToFit="1"/>
    </xf>
    <xf numFmtId="181" fontId="0" fillId="5" borderId="24" xfId="0" applyNumberFormat="1" applyFill="1" applyBorder="1" applyAlignment="1">
      <alignment vertical="center" shrinkToFit="1"/>
    </xf>
    <xf numFmtId="0" fontId="6" fillId="0" borderId="0" xfId="0" applyFont="1" applyAlignment="1">
      <alignment horizontal="right" vertical="center"/>
    </xf>
    <xf numFmtId="181" fontId="0" fillId="0" borderId="16" xfId="10" applyNumberFormat="1" applyFont="1" applyFill="1" applyBorder="1" applyAlignment="1">
      <alignment horizontal="center" vertical="center" wrapText="1"/>
    </xf>
    <xf numFmtId="1" fontId="90" fillId="0" borderId="14" xfId="0" applyNumberFormat="1" applyFont="1" applyBorder="1" applyAlignment="1">
      <alignment horizontal="left"/>
    </xf>
    <xf numFmtId="181" fontId="53" fillId="0" borderId="5" xfId="10" applyNumberFormat="1" applyFont="1" applyFill="1" applyBorder="1" applyAlignment="1">
      <alignment horizontal="center" vertical="center" wrapText="1"/>
    </xf>
    <xf numFmtId="0" fontId="67" fillId="0" borderId="16" xfId="0" applyFont="1" applyBorder="1" applyAlignment="1">
      <alignment horizontal="center" vertical="center"/>
    </xf>
    <xf numFmtId="0" fontId="21" fillId="5" borderId="41" xfId="0" applyFont="1" applyFill="1" applyBorder="1" applyAlignment="1">
      <alignment horizontal="left" vertical="center" wrapText="1" shrinkToFit="1"/>
    </xf>
    <xf numFmtId="181" fontId="54" fillId="5" borderId="47" xfId="10" applyNumberFormat="1" applyFont="1" applyFill="1" applyBorder="1">
      <alignment vertical="center"/>
    </xf>
    <xf numFmtId="179" fontId="44" fillId="5" borderId="55" xfId="0" applyNumberFormat="1" applyFont="1" applyFill="1" applyBorder="1" applyAlignment="1">
      <alignment horizontal="left" vertical="center" shrinkToFit="1"/>
    </xf>
    <xf numFmtId="181" fontId="44" fillId="4" borderId="41" xfId="10" applyNumberFormat="1" applyFont="1" applyFill="1" applyBorder="1" applyAlignment="1">
      <alignment horizontal="left" vertical="center" wrapText="1" shrinkToFit="1"/>
    </xf>
    <xf numFmtId="49" fontId="25" fillId="0" borderId="14" xfId="0" applyNumberFormat="1" applyFont="1" applyBorder="1" applyAlignment="1">
      <alignment horizontal="center"/>
    </xf>
    <xf numFmtId="0" fontId="108" fillId="0" borderId="0" xfId="0" applyFont="1" applyAlignment="1">
      <alignment vertical="center" wrapText="1"/>
    </xf>
    <xf numFmtId="49" fontId="2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79" fontId="101" fillId="0" borderId="55" xfId="0" applyNumberFormat="1" applyFont="1" applyBorder="1" applyAlignment="1">
      <alignment horizontal="left" vertical="center" shrinkToFit="1"/>
    </xf>
    <xf numFmtId="49" fontId="55" fillId="0" borderId="5" xfId="0" applyNumberFormat="1" applyFont="1" applyBorder="1" applyAlignment="1">
      <alignment horizontal="center" vertical="center" shrinkToFit="1"/>
    </xf>
    <xf numFmtId="0" fontId="50" fillId="16" borderId="16" xfId="0" applyFont="1" applyFill="1" applyBorder="1" applyAlignment="1">
      <alignment horizontal="center" vertical="center"/>
    </xf>
    <xf numFmtId="181" fontId="59" fillId="5" borderId="21" xfId="17" applyNumberFormat="1" applyFont="1" applyFill="1" applyBorder="1" applyAlignment="1">
      <alignment vertical="center" wrapText="1"/>
    </xf>
    <xf numFmtId="0" fontId="41" fillId="5" borderId="41" xfId="0" applyFont="1" applyFill="1" applyBorder="1" applyAlignment="1">
      <alignment horizontal="left" vertical="center" shrinkToFit="1"/>
    </xf>
    <xf numFmtId="0" fontId="109" fillId="0" borderId="0" xfId="0" applyFont="1">
      <alignment vertical="center"/>
    </xf>
    <xf numFmtId="49" fontId="53" fillId="5" borderId="1" xfId="0" applyNumberFormat="1" applyFont="1" applyFill="1" applyBorder="1" applyAlignment="1">
      <alignment horizontal="center" vertical="center" shrinkToFit="1"/>
    </xf>
    <xf numFmtId="0" fontId="112" fillId="5" borderId="41" xfId="0" applyFont="1" applyFill="1" applyBorder="1" applyAlignment="1">
      <alignment horizontal="left" vertical="center" shrinkToFit="1"/>
    </xf>
    <xf numFmtId="181" fontId="56" fillId="5" borderId="14" xfId="10" applyNumberFormat="1" applyFont="1" applyFill="1" applyBorder="1">
      <alignment vertical="center"/>
    </xf>
    <xf numFmtId="0" fontId="4" fillId="5" borderId="5" xfId="0" applyFont="1" applyFill="1" applyBorder="1" applyAlignment="1">
      <alignment horizontal="left" vertical="center"/>
    </xf>
    <xf numFmtId="181" fontId="30" fillId="9" borderId="5" xfId="10" applyNumberFormat="1" applyFont="1" applyFill="1" applyBorder="1" applyAlignment="1">
      <alignment vertical="center"/>
    </xf>
    <xf numFmtId="0" fontId="44" fillId="5" borderId="41" xfId="0" applyFont="1" applyFill="1" applyBorder="1" applyAlignment="1">
      <alignment horizontal="left" vertical="center" wrapText="1" shrinkToFit="1"/>
    </xf>
    <xf numFmtId="181" fontId="53" fillId="0" borderId="1" xfId="10" applyNumberFormat="1" applyFont="1" applyFill="1" applyBorder="1" applyAlignment="1">
      <alignment horizontal="right" vertical="center" wrapText="1"/>
    </xf>
    <xf numFmtId="181" fontId="53" fillId="0" borderId="5" xfId="10" applyNumberFormat="1" applyFont="1" applyFill="1" applyBorder="1" applyAlignment="1">
      <alignment horizontal="right" vertical="center"/>
    </xf>
    <xf numFmtId="186" fontId="54" fillId="0" borderId="1" xfId="10" applyNumberFormat="1" applyFont="1" applyFill="1" applyBorder="1">
      <alignment vertical="center"/>
    </xf>
    <xf numFmtId="0" fontId="54" fillId="0" borderId="5" xfId="0" applyFont="1" applyBorder="1">
      <alignment vertical="center"/>
    </xf>
    <xf numFmtId="180" fontId="53" fillId="0" borderId="5" xfId="10" applyNumberFormat="1" applyFont="1" applyFill="1" applyBorder="1" applyAlignment="1">
      <alignment horizontal="right" vertical="center"/>
    </xf>
    <xf numFmtId="186" fontId="54" fillId="0" borderId="5" xfId="10" applyNumberFormat="1" applyFont="1" applyFill="1" applyBorder="1">
      <alignment vertical="center"/>
    </xf>
    <xf numFmtId="181" fontId="54" fillId="5" borderId="14" xfId="10" applyNumberFormat="1" applyFont="1" applyFill="1" applyBorder="1" applyAlignment="1">
      <alignment horizontal="right" vertical="center" wrapText="1"/>
    </xf>
    <xf numFmtId="182" fontId="53" fillId="5" borderId="14" xfId="10" applyNumberFormat="1" applyFont="1" applyFill="1" applyBorder="1" applyAlignment="1">
      <alignment horizontal="right" vertical="center"/>
    </xf>
    <xf numFmtId="181" fontId="54" fillId="5" borderId="14" xfId="10" applyNumberFormat="1" applyFont="1" applyFill="1" applyBorder="1">
      <alignment vertical="center"/>
    </xf>
    <xf numFmtId="180" fontId="54" fillId="5" borderId="14" xfId="10" applyNumberFormat="1" applyFont="1" applyFill="1" applyBorder="1">
      <alignment vertical="center"/>
    </xf>
    <xf numFmtId="181" fontId="30" fillId="5" borderId="47" xfId="10" applyNumberFormat="1" applyFont="1" applyFill="1" applyBorder="1" applyAlignment="1">
      <alignment horizontal="center" vertical="center"/>
    </xf>
    <xf numFmtId="0" fontId="39" fillId="5" borderId="54" xfId="0" applyFont="1" applyFill="1" applyBorder="1" applyAlignment="1">
      <alignment vertical="center" wrapText="1" shrinkToFit="1"/>
    </xf>
    <xf numFmtId="181" fontId="57" fillId="0" borderId="1" xfId="17" applyNumberFormat="1" applyFont="1" applyFill="1" applyBorder="1" applyAlignment="1">
      <alignment vertical="center" wrapText="1"/>
    </xf>
    <xf numFmtId="1" fontId="90" fillId="5" borderId="14" xfId="0" applyNumberFormat="1" applyFont="1" applyFill="1" applyBorder="1">
      <alignment vertical="center"/>
    </xf>
    <xf numFmtId="0" fontId="52" fillId="0" borderId="0" xfId="0" applyFont="1" applyAlignment="1">
      <alignment vertical="center" wrapText="1"/>
    </xf>
    <xf numFmtId="0" fontId="52" fillId="0" borderId="42" xfId="0" applyFont="1" applyBorder="1" applyAlignment="1">
      <alignment vertical="center" wrapText="1"/>
    </xf>
    <xf numFmtId="0" fontId="52" fillId="0" borderId="56" xfId="0" applyFont="1" applyBorder="1" applyAlignment="1">
      <alignment vertical="center" wrapText="1"/>
    </xf>
    <xf numFmtId="0" fontId="52" fillId="0" borderId="59" xfId="0" applyFont="1" applyBorder="1" applyAlignment="1">
      <alignment vertical="center" wrapText="1"/>
    </xf>
    <xf numFmtId="180" fontId="53" fillId="4" borderId="1" xfId="10" applyNumberFormat="1" applyFont="1" applyFill="1" applyBorder="1" applyAlignment="1">
      <alignment horizontal="right" vertical="center"/>
    </xf>
    <xf numFmtId="0" fontId="54" fillId="5" borderId="0" xfId="0" applyFont="1" applyFill="1">
      <alignment vertical="center"/>
    </xf>
    <xf numFmtId="0" fontId="52" fillId="5" borderId="26" xfId="0" applyFont="1" applyFill="1" applyBorder="1">
      <alignment vertical="center"/>
    </xf>
    <xf numFmtId="181" fontId="53" fillId="4" borderId="1" xfId="10" applyNumberFormat="1" applyFont="1" applyFill="1" applyBorder="1" applyAlignment="1">
      <alignment horizontal="right" vertical="center" wrapText="1"/>
    </xf>
    <xf numFmtId="181" fontId="53" fillId="4" borderId="14" xfId="10" applyNumberFormat="1" applyFont="1" applyFill="1" applyBorder="1">
      <alignment vertical="center"/>
    </xf>
    <xf numFmtId="0" fontId="53" fillId="4" borderId="1" xfId="10" applyNumberFormat="1" applyFont="1" applyFill="1" applyBorder="1" applyAlignment="1">
      <alignment horizontal="right" vertical="center"/>
    </xf>
    <xf numFmtId="1" fontId="0" fillId="4" borderId="1" xfId="0" applyNumberFormat="1" applyFill="1" applyBorder="1" applyAlignment="1"/>
    <xf numFmtId="1" fontId="21" fillId="0" borderId="0" xfId="0" applyNumberFormat="1" applyFont="1" applyAlignment="1">
      <alignment horizontal="left" shrinkToFit="1"/>
    </xf>
    <xf numFmtId="0" fontId="78" fillId="0" borderId="0" xfId="0" applyFont="1">
      <alignment vertical="center"/>
    </xf>
    <xf numFmtId="181" fontId="1" fillId="0" borderId="47" xfId="10" applyNumberFormat="1" applyFont="1" applyFill="1" applyBorder="1" applyAlignment="1">
      <alignment horizontal="center" vertical="center"/>
    </xf>
    <xf numFmtId="181" fontId="1" fillId="0" borderId="47" xfId="10" applyNumberFormat="1" applyFont="1" applyFill="1" applyBorder="1" applyAlignment="1">
      <alignment vertical="center" shrinkToFit="1"/>
    </xf>
    <xf numFmtId="181" fontId="1" fillId="0" borderId="47" xfId="10" applyNumberFormat="1" applyFont="1" applyFill="1" applyBorder="1">
      <alignment vertical="center"/>
    </xf>
    <xf numFmtId="1" fontId="0" fillId="0" borderId="47" xfId="0" applyNumberFormat="1" applyBorder="1">
      <alignment vertical="center"/>
    </xf>
    <xf numFmtId="178" fontId="0" fillId="0" borderId="47" xfId="0" applyNumberFormat="1" applyBorder="1">
      <alignment vertical="center"/>
    </xf>
    <xf numFmtId="1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5" xfId="0" applyBorder="1" applyAlignment="1">
      <alignment vertical="center" wrapText="1"/>
    </xf>
    <xf numFmtId="1" fontId="83" fillId="0" borderId="67" xfId="0" applyNumberFormat="1" applyFont="1" applyBorder="1" applyAlignment="1"/>
    <xf numFmtId="0" fontId="17" fillId="0" borderId="0" xfId="0" applyFont="1" applyAlignment="1"/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/>
    </xf>
    <xf numFmtId="1" fontId="6" fillId="4" borderId="31" xfId="0" applyNumberFormat="1" applyFont="1" applyFill="1" applyBorder="1" applyAlignment="1"/>
    <xf numFmtId="0" fontId="6" fillId="0" borderId="40" xfId="0" applyFont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53" fillId="4" borderId="14" xfId="10" applyNumberFormat="1" applyFont="1" applyFill="1" applyBorder="1" applyAlignment="1">
      <alignment horizontal="right" vertical="center"/>
    </xf>
    <xf numFmtId="0" fontId="41" fillId="4" borderId="55" xfId="0" applyFont="1" applyFill="1" applyBorder="1" applyAlignment="1">
      <alignment horizontal="left" vertical="center" shrinkToFit="1"/>
    </xf>
    <xf numFmtId="0" fontId="4" fillId="0" borderId="1" xfId="0" applyFont="1" applyBorder="1">
      <alignment vertical="center"/>
    </xf>
    <xf numFmtId="0" fontId="9" fillId="4" borderId="14" xfId="0" applyFont="1" applyFill="1" applyBorder="1" applyAlignment="1">
      <alignment horizontal="center" vertical="center"/>
    </xf>
    <xf numFmtId="49" fontId="54" fillId="4" borderId="14" xfId="0" applyNumberFormat="1" applyFont="1" applyFill="1" applyBorder="1" applyAlignment="1">
      <alignment horizontal="center" vertical="center" shrinkToFit="1"/>
    </xf>
    <xf numFmtId="181" fontId="54" fillId="0" borderId="47" xfId="10" applyNumberFormat="1" applyFont="1" applyFill="1" applyBorder="1" applyAlignment="1">
      <alignment horizontal="right" vertical="center" wrapText="1"/>
    </xf>
    <xf numFmtId="181" fontId="53" fillId="0" borderId="1" xfId="10" applyNumberFormat="1" applyFont="1" applyFill="1" applyBorder="1" applyAlignment="1">
      <alignment horizontal="right" vertical="center"/>
    </xf>
    <xf numFmtId="181" fontId="54" fillId="5" borderId="5" xfId="10" applyNumberFormat="1" applyFont="1" applyFill="1" applyBorder="1">
      <alignment vertical="center"/>
    </xf>
    <xf numFmtId="0" fontId="0" fillId="5" borderId="47" xfId="0" applyFill="1" applyBorder="1" applyAlignment="1">
      <alignment vertical="center" wrapText="1"/>
    </xf>
    <xf numFmtId="181" fontId="53" fillId="4" borderId="1" xfId="10" applyNumberFormat="1" applyFont="1" applyFill="1" applyBorder="1" applyAlignment="1">
      <alignment horizontal="right" vertical="center" indent="2"/>
    </xf>
    <xf numFmtId="181" fontId="54" fillId="12" borderId="1" xfId="10" applyNumberFormat="1" applyFont="1" applyFill="1" applyBorder="1">
      <alignment vertical="center"/>
    </xf>
    <xf numFmtId="181" fontId="53" fillId="12" borderId="5" xfId="10" applyNumberFormat="1" applyFont="1" applyFill="1" applyBorder="1">
      <alignment vertical="center"/>
    </xf>
    <xf numFmtId="181" fontId="54" fillId="12" borderId="5" xfId="10" applyNumberFormat="1" applyFont="1" applyFill="1" applyBorder="1">
      <alignment vertical="center"/>
    </xf>
    <xf numFmtId="181" fontId="53" fillId="12" borderId="1" xfId="10" applyNumberFormat="1" applyFont="1" applyFill="1" applyBorder="1">
      <alignment vertical="center"/>
    </xf>
    <xf numFmtId="181" fontId="54" fillId="12" borderId="14" xfId="10" applyNumberFormat="1" applyFont="1" applyFill="1" applyBorder="1">
      <alignment vertical="center"/>
    </xf>
    <xf numFmtId="181" fontId="53" fillId="12" borderId="14" xfId="10" applyNumberFormat="1" applyFont="1" applyFill="1" applyBorder="1">
      <alignment vertical="center"/>
    </xf>
    <xf numFmtId="181" fontId="54" fillId="12" borderId="27" xfId="10" applyNumberFormat="1" applyFont="1" applyFill="1" applyBorder="1">
      <alignment vertical="center"/>
    </xf>
    <xf numFmtId="181" fontId="55" fillId="12" borderId="14" xfId="10" applyNumberFormat="1" applyFont="1" applyFill="1" applyBorder="1">
      <alignment vertical="center"/>
    </xf>
    <xf numFmtId="181" fontId="55" fillId="12" borderId="1" xfId="10" applyNumberFormat="1" applyFont="1" applyFill="1" applyBorder="1">
      <alignment vertical="center"/>
    </xf>
    <xf numFmtId="181" fontId="54" fillId="12" borderId="8" xfId="10" applyNumberFormat="1" applyFont="1" applyFill="1" applyBorder="1">
      <alignment vertical="center"/>
    </xf>
    <xf numFmtId="181" fontId="34" fillId="12" borderId="8" xfId="10" applyNumberFormat="1" applyFont="1" applyFill="1" applyBorder="1">
      <alignment vertical="center"/>
    </xf>
    <xf numFmtId="0" fontId="17" fillId="12" borderId="1" xfId="0" applyFont="1" applyFill="1" applyBorder="1" applyAlignment="1">
      <alignment horizontal="center"/>
    </xf>
    <xf numFmtId="0" fontId="21" fillId="4" borderId="1" xfId="0" applyFont="1" applyFill="1" applyBorder="1">
      <alignment vertical="center"/>
    </xf>
    <xf numFmtId="0" fontId="21" fillId="4" borderId="14" xfId="0" applyFont="1" applyFill="1" applyBorder="1" applyAlignment="1">
      <alignment horizontal="left" vertical="center"/>
    </xf>
    <xf numFmtId="0" fontId="49" fillId="5" borderId="36" xfId="0" applyFont="1" applyFill="1" applyBorder="1" applyAlignment="1">
      <alignment horizontal="left" vertical="center"/>
    </xf>
    <xf numFmtId="1" fontId="7" fillId="0" borderId="2" xfId="0" applyNumberFormat="1" applyFont="1" applyBorder="1" applyAlignment="1"/>
    <xf numFmtId="181" fontId="1" fillId="4" borderId="1" xfId="10" applyNumberFormat="1" applyFont="1" applyFill="1" applyBorder="1" applyAlignment="1">
      <alignment horizontal="center" vertical="center"/>
    </xf>
    <xf numFmtId="181" fontId="6" fillId="4" borderId="1" xfId="10" applyNumberFormat="1" applyFont="1" applyFill="1" applyBorder="1" applyAlignment="1">
      <alignment horizontal="center"/>
    </xf>
    <xf numFmtId="181" fontId="1" fillId="0" borderId="1" xfId="10" applyNumberFormat="1" applyFont="1" applyFill="1" applyBorder="1" applyAlignment="1"/>
    <xf numFmtId="181" fontId="1" fillId="4" borderId="1" xfId="10" applyNumberFormat="1" applyFont="1" applyFill="1" applyBorder="1" applyAlignment="1"/>
    <xf numFmtId="1" fontId="26" fillId="12" borderId="1" xfId="0" applyNumberFormat="1" applyFont="1" applyFill="1" applyBorder="1">
      <alignment vertical="center"/>
    </xf>
    <xf numFmtId="1" fontId="1" fillId="9" borderId="1" xfId="0" applyNumberFormat="1" applyFont="1" applyFill="1" applyBorder="1">
      <alignment vertical="center"/>
    </xf>
    <xf numFmtId="1" fontId="10" fillId="12" borderId="1" xfId="0" applyNumberFormat="1" applyFont="1" applyFill="1" applyBorder="1">
      <alignment vertical="center"/>
    </xf>
    <xf numFmtId="181" fontId="6" fillId="0" borderId="1" xfId="10" applyNumberFormat="1" applyFont="1" applyBorder="1" applyAlignment="1"/>
    <xf numFmtId="181" fontId="6" fillId="18" borderId="1" xfId="10" applyNumberFormat="1" applyFont="1" applyFill="1" applyBorder="1" applyAlignment="1"/>
    <xf numFmtId="0" fontId="21" fillId="4" borderId="0" xfId="0" applyFont="1" applyFill="1" applyAlignment="1"/>
    <xf numFmtId="0" fontId="21" fillId="0" borderId="0" xfId="0" applyFont="1" applyAlignment="1"/>
    <xf numFmtId="0" fontId="41" fillId="4" borderId="0" xfId="0" applyFont="1" applyFill="1" applyAlignment="1">
      <alignment horizontal="left" vertical="center"/>
    </xf>
    <xf numFmtId="0" fontId="21" fillId="0" borderId="5" xfId="0" applyFont="1" applyBorder="1" applyAlignment="1"/>
    <xf numFmtId="0" fontId="21" fillId="0" borderId="1" xfId="0" applyFont="1" applyBorder="1" applyAlignment="1"/>
    <xf numFmtId="1" fontId="21" fillId="0" borderId="1" xfId="0" applyNumberFormat="1" applyFont="1" applyBorder="1" applyAlignment="1"/>
    <xf numFmtId="1" fontId="21" fillId="0" borderId="1" xfId="0" applyNumberFormat="1" applyFont="1" applyBorder="1" applyAlignment="1">
      <alignment horizontal="left"/>
    </xf>
    <xf numFmtId="1" fontId="21" fillId="4" borderId="1" xfId="0" applyNumberFormat="1" applyFont="1" applyFill="1" applyBorder="1" applyAlignment="1"/>
    <xf numFmtId="1" fontId="21" fillId="5" borderId="1" xfId="0" applyNumberFormat="1" applyFont="1" applyFill="1" applyBorder="1" applyAlignment="1">
      <alignment horizontal="left"/>
    </xf>
    <xf numFmtId="1" fontId="21" fillId="0" borderId="14" xfId="0" applyNumberFormat="1" applyFont="1" applyBorder="1" applyAlignment="1"/>
    <xf numFmtId="1" fontId="21" fillId="5" borderId="14" xfId="0" applyNumberFormat="1" applyFont="1" applyFill="1" applyBorder="1" applyAlignment="1"/>
    <xf numFmtId="1" fontId="21" fillId="0" borderId="8" xfId="0" applyNumberFormat="1" applyFont="1" applyBorder="1" applyAlignment="1"/>
    <xf numFmtId="0" fontId="21" fillId="0" borderId="0" xfId="0" applyFont="1" applyAlignment="1">
      <alignment horizontal="center"/>
    </xf>
    <xf numFmtId="1" fontId="6" fillId="5" borderId="14" xfId="0" applyNumberFormat="1" applyFont="1" applyFill="1" applyBorder="1" applyAlignment="1"/>
    <xf numFmtId="1" fontId="63" fillId="5" borderId="14" xfId="0" applyNumberFormat="1" applyFont="1" applyFill="1" applyBorder="1">
      <alignment vertical="center"/>
    </xf>
    <xf numFmtId="181" fontId="86" fillId="0" borderId="23" xfId="10" applyNumberFormat="1" applyFont="1" applyBorder="1" applyAlignment="1">
      <alignment horizontal="center" shrinkToFit="1"/>
    </xf>
    <xf numFmtId="181" fontId="116" fillId="0" borderId="1" xfId="10" applyNumberFormat="1" applyFont="1" applyFill="1" applyBorder="1" applyAlignment="1"/>
    <xf numFmtId="0" fontId="117" fillId="5" borderId="1" xfId="0" applyFont="1" applyFill="1" applyBorder="1" applyAlignment="1">
      <alignment horizontal="center" vertical="center"/>
    </xf>
    <xf numFmtId="0" fontId="117" fillId="9" borderId="1" xfId="0" applyFont="1" applyFill="1" applyBorder="1">
      <alignment vertical="center"/>
    </xf>
    <xf numFmtId="0" fontId="117" fillId="9" borderId="1" xfId="0" applyFont="1" applyFill="1" applyBorder="1" applyAlignment="1">
      <alignment horizontal="center" vertical="center"/>
    </xf>
    <xf numFmtId="181" fontId="117" fillId="0" borderId="1" xfId="10" applyNumberFormat="1" applyFont="1" applyFill="1" applyBorder="1" applyAlignment="1"/>
    <xf numFmtId="181" fontId="118" fillId="9" borderId="1" xfId="10" applyNumberFormat="1" applyFont="1" applyFill="1" applyBorder="1" applyAlignment="1"/>
    <xf numFmtId="181" fontId="117" fillId="4" borderId="1" xfId="10" applyNumberFormat="1" applyFont="1" applyFill="1" applyBorder="1" applyAlignment="1"/>
    <xf numFmtId="181" fontId="118" fillId="0" borderId="1" xfId="10" applyNumberFormat="1" applyFont="1" applyFill="1" applyBorder="1" applyAlignment="1"/>
    <xf numFmtId="181" fontId="118" fillId="4" borderId="1" xfId="10" applyNumberFormat="1" applyFont="1" applyFill="1" applyBorder="1" applyAlignment="1"/>
    <xf numFmtId="181" fontId="117" fillId="9" borderId="1" xfId="10" applyNumberFormat="1" applyFont="1" applyFill="1" applyBorder="1" applyAlignment="1"/>
    <xf numFmtId="1" fontId="117" fillId="5" borderId="1" xfId="0" applyNumberFormat="1" applyFont="1" applyFill="1" applyBorder="1">
      <alignment vertical="center"/>
    </xf>
    <xf numFmtId="1" fontId="117" fillId="9" borderId="1" xfId="0" applyNumberFormat="1" applyFont="1" applyFill="1" applyBorder="1">
      <alignment vertical="center"/>
    </xf>
    <xf numFmtId="0" fontId="93" fillId="5" borderId="1" xfId="0" applyFont="1" applyFill="1" applyBorder="1">
      <alignment vertical="center"/>
    </xf>
    <xf numFmtId="181" fontId="86" fillId="0" borderId="9" xfId="10" applyNumberFormat="1" applyFont="1" applyBorder="1" applyAlignment="1">
      <alignment horizontal="center" shrinkToFit="1"/>
    </xf>
    <xf numFmtId="181" fontId="86" fillId="0" borderId="61" xfId="10" applyNumberFormat="1" applyFont="1" applyBorder="1" applyAlignment="1">
      <alignment horizontal="center" shrinkToFit="1"/>
    </xf>
    <xf numFmtId="181" fontId="86" fillId="0" borderId="0" xfId="10" applyNumberFormat="1" applyFont="1" applyBorder="1" applyAlignment="1">
      <alignment horizontal="center" shrinkToFit="1"/>
    </xf>
    <xf numFmtId="181" fontId="14" fillId="22" borderId="1" xfId="10" applyNumberFormat="1" applyFont="1" applyFill="1" applyBorder="1" applyAlignment="1"/>
    <xf numFmtId="181" fontId="119" fillId="0" borderId="1" xfId="10" applyNumberFormat="1" applyFont="1" applyFill="1" applyBorder="1" applyAlignment="1"/>
    <xf numFmtId="191" fontId="119" fillId="4" borderId="1" xfId="0" applyNumberFormat="1" applyFont="1" applyFill="1" applyBorder="1" applyAlignment="1"/>
    <xf numFmtId="181" fontId="26" fillId="4" borderId="1" xfId="10" applyNumberFormat="1" applyFont="1" applyFill="1" applyBorder="1" applyAlignment="1"/>
    <xf numFmtId="181" fontId="86" fillId="0" borderId="1" xfId="10" applyNumberFormat="1" applyFont="1" applyBorder="1" applyAlignment="1">
      <alignment horizontal="center" shrinkToFit="1"/>
    </xf>
    <xf numFmtId="181" fontId="1" fillId="18" borderId="1" xfId="10" applyNumberFormat="1" applyFont="1" applyFill="1" applyBorder="1" applyAlignment="1"/>
    <xf numFmtId="181" fontId="53" fillId="18" borderId="1" xfId="10" applyNumberFormat="1" applyFont="1" applyFill="1" applyBorder="1" applyAlignment="1"/>
    <xf numFmtId="181" fontId="68" fillId="0" borderId="87" xfId="10" applyNumberFormat="1" applyFont="1" applyFill="1" applyBorder="1" applyAlignment="1">
      <alignment horizontal="center" vertical="center"/>
    </xf>
    <xf numFmtId="181" fontId="68" fillId="0" borderId="88" xfId="10" applyNumberFormat="1" applyFont="1" applyFill="1" applyBorder="1" applyAlignment="1">
      <alignment horizontal="center" vertical="center"/>
    </xf>
    <xf numFmtId="181" fontId="68" fillId="0" borderId="89" xfId="10" applyNumberFormat="1" applyFont="1" applyFill="1" applyBorder="1" applyAlignment="1">
      <alignment horizontal="center" vertical="center"/>
    </xf>
    <xf numFmtId="0" fontId="52" fillId="0" borderId="0" xfId="0" applyFont="1" applyAlignment="1">
      <alignment horizontal="left" vertical="center" wrapText="1"/>
    </xf>
    <xf numFmtId="0" fontId="52" fillId="0" borderId="42" xfId="0" applyFont="1" applyBorder="1" applyAlignment="1">
      <alignment horizontal="left" vertical="center" wrapText="1"/>
    </xf>
    <xf numFmtId="0" fontId="52" fillId="0" borderId="36" xfId="0" applyFont="1" applyBorder="1" applyAlignment="1">
      <alignment horizontal="left" vertical="center" wrapText="1"/>
    </xf>
    <xf numFmtId="0" fontId="52" fillId="0" borderId="62" xfId="0" applyFont="1" applyBorder="1" applyAlignment="1">
      <alignment horizontal="left" vertical="center" wrapText="1"/>
    </xf>
    <xf numFmtId="181" fontId="53" fillId="5" borderId="62" xfId="10" applyNumberFormat="1" applyFont="1" applyFill="1" applyBorder="1" applyAlignment="1">
      <alignment horizontal="left" vertical="center" wrapText="1"/>
    </xf>
    <xf numFmtId="181" fontId="53" fillId="4" borderId="5" xfId="10" applyNumberFormat="1" applyFont="1" applyFill="1" applyBorder="1" applyAlignment="1">
      <alignment horizontal="center" vertical="center" wrapText="1"/>
    </xf>
    <xf numFmtId="181" fontId="53" fillId="4" borderId="10" xfId="10" applyNumberFormat="1" applyFont="1" applyFill="1" applyBorder="1">
      <alignment vertical="center"/>
    </xf>
    <xf numFmtId="181" fontId="53" fillId="4" borderId="28" xfId="10" applyNumberFormat="1" applyFont="1" applyFill="1" applyBorder="1">
      <alignment vertical="center"/>
    </xf>
    <xf numFmtId="181" fontId="53" fillId="4" borderId="28" xfId="10" applyNumberFormat="1" applyFont="1" applyFill="1" applyBorder="1" applyAlignment="1">
      <alignment horizontal="center" vertical="center" wrapText="1"/>
    </xf>
    <xf numFmtId="0" fontId="53" fillId="4" borderId="54" xfId="0" applyFont="1" applyFill="1" applyBorder="1" applyAlignment="1">
      <alignment horizontal="center" vertical="center"/>
    </xf>
    <xf numFmtId="1" fontId="120" fillId="5" borderId="0" xfId="0" applyNumberFormat="1" applyFont="1" applyFill="1" applyAlignment="1">
      <alignment wrapText="1"/>
    </xf>
    <xf numFmtId="188" fontId="121" fillId="5" borderId="56" xfId="0" applyNumberFormat="1" applyFont="1" applyFill="1" applyBorder="1" applyAlignment="1">
      <alignment horizontal="left"/>
    </xf>
    <xf numFmtId="181" fontId="37" fillId="9" borderId="6" xfId="10" applyNumberFormat="1" applyFont="1" applyFill="1" applyBorder="1">
      <alignment vertical="center"/>
    </xf>
    <xf numFmtId="181" fontId="26" fillId="9" borderId="22" xfId="10" applyNumberFormat="1" applyFont="1" applyFill="1" applyBorder="1">
      <alignment vertical="center"/>
    </xf>
    <xf numFmtId="1" fontId="122" fillId="4" borderId="0" xfId="0" applyNumberFormat="1" applyFont="1" applyFill="1" applyAlignment="1">
      <alignment horizontal="left" shrinkToFit="1"/>
    </xf>
    <xf numFmtId="0" fontId="15" fillId="9" borderId="2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36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/>
    </xf>
    <xf numFmtId="49" fontId="15" fillId="13" borderId="8" xfId="0" applyNumberFormat="1" applyFont="1" applyFill="1" applyBorder="1" applyAlignment="1">
      <alignment horizontal="center" vertical="center" shrinkToFit="1"/>
    </xf>
    <xf numFmtId="49" fontId="15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29" fillId="4" borderId="32" xfId="0" applyNumberFormat="1" applyFont="1" applyFill="1" applyBorder="1">
      <alignment vertical="center"/>
    </xf>
    <xf numFmtId="1" fontId="1" fillId="4" borderId="66" xfId="0" applyNumberFormat="1" applyFont="1" applyFill="1" applyBorder="1" applyAlignment="1">
      <alignment horizontal="center" shrinkToFit="1"/>
    </xf>
    <xf numFmtId="1" fontId="10" fillId="4" borderId="10" xfId="0" applyNumberFormat="1" applyFont="1" applyFill="1" applyBorder="1" applyAlignment="1">
      <alignment horizontal="left" shrinkToFit="1"/>
    </xf>
    <xf numFmtId="181" fontId="14" fillId="5" borderId="54" xfId="10" applyNumberFormat="1" applyFont="1" applyFill="1" applyBorder="1" applyAlignment="1"/>
    <xf numFmtId="1" fontId="10" fillId="4" borderId="1" xfId="0" applyNumberFormat="1" applyFont="1" applyFill="1" applyBorder="1" applyAlignment="1">
      <alignment horizontal="left" shrinkToFit="1"/>
    </xf>
    <xf numFmtId="191" fontId="14" fillId="9" borderId="1" xfId="0" applyNumberFormat="1" applyFont="1" applyFill="1" applyBorder="1" applyAlignment="1"/>
    <xf numFmtId="181" fontId="27" fillId="9" borderId="1" xfId="10" applyNumberFormat="1" applyFont="1" applyFill="1" applyBorder="1" applyAlignment="1"/>
    <xf numFmtId="0" fontId="10" fillId="4" borderId="1" xfId="0" applyFont="1" applyFill="1" applyBorder="1" applyAlignment="1">
      <alignment horizontal="left" shrinkToFit="1"/>
    </xf>
    <xf numFmtId="181" fontId="26" fillId="5" borderId="1" xfId="10" applyNumberFormat="1" applyFont="1" applyFill="1" applyBorder="1" applyAlignment="1"/>
    <xf numFmtId="0" fontId="115" fillId="0" borderId="0" xfId="0" applyFont="1" applyAlignment="1">
      <alignment horizontal="center"/>
    </xf>
    <xf numFmtId="181" fontId="115" fillId="0" borderId="0" xfId="0" applyNumberFormat="1" applyFont="1" applyAlignment="1">
      <alignment horizontal="center"/>
    </xf>
    <xf numFmtId="0" fontId="115" fillId="0" borderId="0" xfId="0" applyFont="1" applyAlignment="1"/>
    <xf numFmtId="181" fontId="116" fillId="0" borderId="1" xfId="10" applyNumberFormat="1" applyFont="1" applyBorder="1" applyAlignment="1"/>
    <xf numFmtId="1" fontId="123" fillId="21" borderId="1" xfId="0" applyNumberFormat="1" applyFont="1" applyFill="1" applyBorder="1" applyAlignment="1"/>
    <xf numFmtId="181" fontId="123" fillId="21" borderId="3" xfId="10" applyNumberFormat="1" applyFont="1" applyFill="1" applyBorder="1" applyAlignment="1">
      <alignment vertical="center" shrinkToFit="1"/>
    </xf>
    <xf numFmtId="49" fontId="123" fillId="21" borderId="6" xfId="0" applyNumberFormat="1" applyFont="1" applyFill="1" applyBorder="1" applyAlignment="1">
      <alignment horizontal="center"/>
    </xf>
    <xf numFmtId="0" fontId="10" fillId="13" borderId="1" xfId="0" applyFont="1" applyFill="1" applyBorder="1" applyAlignment="1"/>
    <xf numFmtId="0" fontId="10" fillId="9" borderId="24" xfId="0" applyFont="1" applyFill="1" applyBorder="1" applyAlignment="1">
      <alignment horizontal="center"/>
    </xf>
    <xf numFmtId="0" fontId="10" fillId="9" borderId="41" xfId="0" applyFont="1" applyFill="1" applyBorder="1" applyAlignment="1">
      <alignment horizontal="center"/>
    </xf>
    <xf numFmtId="1" fontId="10" fillId="9" borderId="34" xfId="0" applyNumberFormat="1" applyFont="1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15" fillId="20" borderId="17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81" fontId="115" fillId="20" borderId="17" xfId="10" applyNumberFormat="1" applyFont="1" applyFill="1" applyBorder="1" applyAlignment="1">
      <alignment horizontal="center"/>
    </xf>
    <xf numFmtId="181" fontId="6" fillId="12" borderId="1" xfId="10" applyNumberFormat="1" applyFont="1" applyFill="1" applyBorder="1" applyAlignment="1">
      <alignment horizontal="center"/>
    </xf>
    <xf numFmtId="0" fontId="123" fillId="20" borderId="17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23" fillId="20" borderId="17" xfId="0" applyFont="1" applyFill="1" applyBorder="1" applyAlignment="1">
      <alignment horizontal="center"/>
    </xf>
    <xf numFmtId="0" fontId="45" fillId="13" borderId="24" xfId="0" applyFont="1" applyFill="1" applyBorder="1" applyAlignment="1">
      <alignment horizontal="center"/>
    </xf>
    <xf numFmtId="0" fontId="124" fillId="0" borderId="24" xfId="0" applyFont="1" applyBorder="1" applyAlignment="1">
      <alignment horizontal="center"/>
    </xf>
    <xf numFmtId="0" fontId="45" fillId="6" borderId="24" xfId="0" applyFont="1" applyFill="1" applyBorder="1" applyAlignment="1">
      <alignment horizontal="center"/>
    </xf>
    <xf numFmtId="0" fontId="45" fillId="6" borderId="41" xfId="0" applyFont="1" applyFill="1" applyBorder="1" applyAlignment="1">
      <alignment horizontal="center"/>
    </xf>
    <xf numFmtId="0" fontId="9" fillId="13" borderId="11" xfId="0" applyFont="1" applyFill="1" applyBorder="1">
      <alignment vertical="center"/>
    </xf>
    <xf numFmtId="181" fontId="125" fillId="0" borderId="1" xfId="0" applyNumberFormat="1" applyFont="1" applyBorder="1">
      <alignment vertical="center"/>
    </xf>
    <xf numFmtId="0" fontId="26" fillId="5" borderId="1" xfId="0" applyFont="1" applyFill="1" applyBorder="1">
      <alignment vertical="center"/>
    </xf>
    <xf numFmtId="184" fontId="21" fillId="0" borderId="2" xfId="0" applyNumberFormat="1" applyFont="1" applyBorder="1" applyAlignment="1">
      <alignment horizontal="center" vertical="center"/>
    </xf>
    <xf numFmtId="178" fontId="53" fillId="0" borderId="27" xfId="10" applyFont="1" applyFill="1" applyBorder="1" applyAlignment="1">
      <alignment horizontal="right" vertical="center"/>
    </xf>
    <xf numFmtId="0" fontId="26" fillId="12" borderId="17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1" fontId="10" fillId="13" borderId="65" xfId="0" applyNumberFormat="1" applyFont="1" applyFill="1" applyBorder="1" applyAlignment="1">
      <alignment horizontal="center"/>
    </xf>
    <xf numFmtId="181" fontId="0" fillId="5" borderId="29" xfId="10" applyNumberFormat="1" applyFont="1" applyFill="1" applyBorder="1" applyAlignment="1">
      <alignment horizontal="center"/>
    </xf>
    <xf numFmtId="181" fontId="0" fillId="5" borderId="14" xfId="10" applyNumberFormat="1" applyFont="1" applyFill="1" applyBorder="1" applyAlignment="1">
      <alignment horizontal="center"/>
    </xf>
    <xf numFmtId="181" fontId="37" fillId="0" borderId="1" xfId="0" applyNumberFormat="1" applyFont="1" applyBorder="1" applyAlignment="1">
      <alignment horizontal="center" vertical="center"/>
    </xf>
    <xf numFmtId="1" fontId="10" fillId="13" borderId="45" xfId="0" applyNumberFormat="1" applyFont="1" applyFill="1" applyBorder="1" applyAlignment="1"/>
    <xf numFmtId="0" fontId="50" fillId="0" borderId="36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 wrapText="1"/>
    </xf>
    <xf numFmtId="0" fontId="52" fillId="0" borderId="42" xfId="0" applyFont="1" applyBorder="1" applyAlignment="1">
      <alignment horizontal="center" vertical="center" wrapText="1"/>
    </xf>
    <xf numFmtId="0" fontId="52" fillId="0" borderId="56" xfId="0" applyFont="1" applyBorder="1" applyAlignment="1">
      <alignment horizontal="center" vertical="center" wrapText="1"/>
    </xf>
    <xf numFmtId="0" fontId="52" fillId="0" borderId="5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10" fillId="16" borderId="36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10" fillId="16" borderId="57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43" fillId="14" borderId="41" xfId="0" applyFont="1" applyFill="1" applyBorder="1" applyAlignment="1">
      <alignment horizontal="center" vertical="center"/>
    </xf>
    <xf numFmtId="0" fontId="43" fillId="14" borderId="54" xfId="0" applyFont="1" applyFill="1" applyBorder="1" applyAlignment="1">
      <alignment horizontal="center" vertical="center"/>
    </xf>
    <xf numFmtId="0" fontId="58" fillId="9" borderId="48" xfId="0" applyFont="1" applyFill="1" applyBorder="1" applyAlignment="1">
      <alignment horizontal="center" vertical="center"/>
    </xf>
    <xf numFmtId="0" fontId="58" fillId="9" borderId="49" xfId="0" applyFont="1" applyFill="1" applyBorder="1" applyAlignment="1">
      <alignment horizontal="center" vertical="center"/>
    </xf>
    <xf numFmtId="0" fontId="58" fillId="9" borderId="50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0" fillId="0" borderId="57" xfId="0" applyFont="1" applyBorder="1" applyAlignment="1">
      <alignment horizontal="center" vertical="center"/>
    </xf>
    <xf numFmtId="0" fontId="32" fillId="17" borderId="0" xfId="0" applyFont="1" applyFill="1" applyAlignment="1">
      <alignment horizontal="center" vertical="center"/>
    </xf>
    <xf numFmtId="0" fontId="48" fillId="9" borderId="68" xfId="0" applyFont="1" applyFill="1" applyBorder="1" applyAlignment="1">
      <alignment vertical="center" wrapText="1"/>
    </xf>
    <xf numFmtId="0" fontId="48" fillId="9" borderId="0" xfId="0" applyFont="1" applyFill="1" applyAlignment="1">
      <alignment vertical="center" wrapText="1"/>
    </xf>
    <xf numFmtId="179" fontId="44" fillId="5" borderId="55" xfId="0" applyNumberFormat="1" applyFont="1" applyFill="1" applyBorder="1" applyAlignment="1">
      <alignment horizontal="left" vertical="center" shrinkToFit="1"/>
    </xf>
    <xf numFmtId="179" fontId="44" fillId="5" borderId="116" xfId="0" applyNumberFormat="1" applyFont="1" applyFill="1" applyBorder="1" applyAlignment="1">
      <alignment horizontal="left" vertical="center" shrinkToFit="1"/>
    </xf>
    <xf numFmtId="0" fontId="53" fillId="0" borderId="40" xfId="0" applyFont="1" applyBorder="1" applyAlignment="1">
      <alignment horizontal="center" vertical="center" shrinkToFit="1"/>
    </xf>
    <xf numFmtId="0" fontId="53" fillId="0" borderId="51" xfId="0" applyFont="1" applyBorder="1" applyAlignment="1">
      <alignment horizontal="center" vertical="center" shrinkToFit="1"/>
    </xf>
    <xf numFmtId="0" fontId="53" fillId="0" borderId="10" xfId="0" applyFon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47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81" fontId="30" fillId="18" borderId="14" xfId="10" applyNumberFormat="1" applyFont="1" applyFill="1" applyBorder="1" applyAlignment="1">
      <alignment horizontal="center" vertical="center"/>
    </xf>
    <xf numFmtId="181" fontId="30" fillId="18" borderId="47" xfId="10" applyNumberFormat="1" applyFont="1" applyFill="1" applyBorder="1" applyAlignment="1">
      <alignment horizontal="center" vertical="center"/>
    </xf>
    <xf numFmtId="181" fontId="30" fillId="18" borderId="5" xfId="1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3" fillId="0" borderId="69" xfId="0" applyFont="1" applyBorder="1" applyAlignment="1">
      <alignment horizontal="center" vertical="center" shrinkToFit="1"/>
    </xf>
    <xf numFmtId="0" fontId="53" fillId="0" borderId="71" xfId="0" applyFont="1" applyBorder="1" applyAlignment="1">
      <alignment horizontal="center" vertical="center" shrinkToFit="1"/>
    </xf>
    <xf numFmtId="0" fontId="0" fillId="0" borderId="4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9" fillId="4" borderId="45" xfId="0" applyFont="1" applyFill="1" applyBorder="1" applyAlignment="1">
      <alignment horizontal="center" vertical="center"/>
    </xf>
    <xf numFmtId="0" fontId="9" fillId="4" borderId="70" xfId="0" applyFont="1" applyFill="1" applyBorder="1" applyAlignment="1">
      <alignment horizontal="center" vertical="center"/>
    </xf>
    <xf numFmtId="0" fontId="53" fillId="0" borderId="40" xfId="0" applyFont="1" applyBorder="1" applyAlignment="1">
      <alignment horizontal="center" vertical="center" wrapText="1" shrinkToFit="1"/>
    </xf>
    <xf numFmtId="0" fontId="53" fillId="0" borderId="51" xfId="0" applyFont="1" applyBorder="1" applyAlignment="1">
      <alignment horizontal="center" vertical="center" wrapText="1" shrinkToFit="1"/>
    </xf>
    <xf numFmtId="0" fontId="53" fillId="0" borderId="10" xfId="0" applyFont="1" applyBorder="1" applyAlignment="1">
      <alignment horizontal="center" vertical="center" wrapText="1" shrinkToFit="1"/>
    </xf>
    <xf numFmtId="0" fontId="30" fillId="0" borderId="0" xfId="0" applyFont="1" applyAlignment="1">
      <alignment horizontal="left" vertical="center"/>
    </xf>
    <xf numFmtId="0" fontId="34" fillId="14" borderId="0" xfId="0" applyFont="1" applyFill="1" applyAlignment="1">
      <alignment horizontal="left" vertical="center"/>
    </xf>
    <xf numFmtId="181" fontId="30" fillId="18" borderId="45" xfId="10" applyNumberFormat="1" applyFont="1" applyFill="1" applyBorder="1" applyAlignment="1">
      <alignment horizontal="center" vertical="center"/>
    </xf>
    <xf numFmtId="181" fontId="30" fillId="18" borderId="70" xfId="10" applyNumberFormat="1" applyFont="1" applyFill="1" applyBorder="1" applyAlignment="1">
      <alignment horizontal="center" vertical="center"/>
    </xf>
    <xf numFmtId="0" fontId="34" fillId="13" borderId="8" xfId="0" applyFont="1" applyFill="1" applyBorder="1">
      <alignment vertical="center"/>
    </xf>
    <xf numFmtId="0" fontId="35" fillId="5" borderId="0" xfId="0" applyFont="1" applyFill="1">
      <alignment vertical="center"/>
    </xf>
    <xf numFmtId="0" fontId="52" fillId="5" borderId="0" xfId="0" applyFont="1" applyFill="1" applyAlignment="1">
      <alignment horizontal="left" vertical="center"/>
    </xf>
    <xf numFmtId="181" fontId="53" fillId="0" borderId="62" xfId="10" applyNumberFormat="1" applyFont="1" applyBorder="1" applyAlignment="1">
      <alignment horizontal="left" vertical="center" wrapText="1"/>
    </xf>
    <xf numFmtId="181" fontId="53" fillId="0" borderId="63" xfId="10" applyNumberFormat="1" applyFont="1" applyBorder="1" applyAlignment="1">
      <alignment horizontal="left" vertical="center" wrapText="1"/>
    </xf>
    <xf numFmtId="49" fontId="53" fillId="4" borderId="40" xfId="0" applyNumberFormat="1" applyFont="1" applyFill="1" applyBorder="1" applyAlignment="1">
      <alignment horizontal="center" vertical="center" shrinkToFit="1"/>
    </xf>
    <xf numFmtId="0" fontId="53" fillId="4" borderId="10" xfId="0" applyFont="1" applyFill="1" applyBorder="1" applyAlignment="1">
      <alignment horizontal="center" vertical="center" shrinkToFit="1"/>
    </xf>
    <xf numFmtId="49" fontId="53" fillId="4" borderId="14" xfId="0" applyNumberFormat="1" applyFont="1" applyFill="1" applyBorder="1" applyAlignment="1">
      <alignment horizontal="center" vertical="center" shrinkToFit="1"/>
    </xf>
    <xf numFmtId="49" fontId="53" fillId="4" borderId="5" xfId="0" applyNumberFormat="1" applyFont="1" applyFill="1" applyBorder="1" applyAlignment="1">
      <alignment horizontal="center" vertical="center" shrinkToFit="1"/>
    </xf>
    <xf numFmtId="181" fontId="0" fillId="8" borderId="45" xfId="10" applyNumberFormat="1" applyFont="1" applyFill="1" applyBorder="1" applyAlignment="1">
      <alignment horizontal="center" vertical="center"/>
    </xf>
    <xf numFmtId="181" fontId="0" fillId="8" borderId="47" xfId="10" applyNumberFormat="1" applyFont="1" applyFill="1" applyBorder="1" applyAlignment="1">
      <alignment horizontal="center" vertical="center"/>
    </xf>
    <xf numFmtId="181" fontId="0" fillId="8" borderId="70" xfId="10" applyNumberFormat="1" applyFont="1" applyFill="1" applyBorder="1" applyAlignment="1">
      <alignment horizontal="center" vertical="center"/>
    </xf>
    <xf numFmtId="181" fontId="56" fillId="9" borderId="14" xfId="10" applyNumberFormat="1" applyFont="1" applyFill="1" applyBorder="1" applyAlignment="1">
      <alignment horizontal="center" vertical="center"/>
    </xf>
    <xf numFmtId="181" fontId="56" fillId="9" borderId="5" xfId="10" applyNumberFormat="1" applyFont="1" applyFill="1" applyBorder="1" applyAlignment="1">
      <alignment horizontal="center" vertical="center"/>
    </xf>
    <xf numFmtId="181" fontId="53" fillId="0" borderId="40" xfId="10" applyNumberFormat="1" applyFont="1" applyFill="1" applyBorder="1" applyAlignment="1">
      <alignment horizontal="center" vertical="center"/>
    </xf>
    <xf numFmtId="181" fontId="53" fillId="0" borderId="10" xfId="10" applyNumberFormat="1" applyFont="1" applyFill="1" applyBorder="1" applyAlignment="1">
      <alignment horizontal="center" vertical="center"/>
    </xf>
    <xf numFmtId="181" fontId="53" fillId="0" borderId="14" xfId="10" applyNumberFormat="1" applyFont="1" applyFill="1" applyBorder="1" applyAlignment="1">
      <alignment horizontal="center" vertical="center"/>
    </xf>
    <xf numFmtId="181" fontId="53" fillId="0" borderId="5" xfId="10" applyNumberFormat="1" applyFont="1" applyFill="1" applyBorder="1" applyAlignment="1">
      <alignment horizontal="center" vertical="center"/>
    </xf>
    <xf numFmtId="0" fontId="53" fillId="0" borderId="41" xfId="0" applyFont="1" applyBorder="1" applyAlignment="1">
      <alignment horizontal="center" vertical="center"/>
    </xf>
    <xf numFmtId="0" fontId="53" fillId="0" borderId="54" xfId="0" applyFont="1" applyBorder="1" applyAlignment="1">
      <alignment horizontal="center" vertical="center"/>
    </xf>
    <xf numFmtId="181" fontId="53" fillId="0" borderId="14" xfId="10" applyNumberFormat="1" applyFont="1" applyBorder="1" applyAlignment="1">
      <alignment horizontal="center" vertical="center"/>
    </xf>
    <xf numFmtId="181" fontId="53" fillId="0" borderId="5" xfId="10" applyNumberFormat="1" applyFont="1" applyBorder="1" applyAlignment="1">
      <alignment horizontal="center" vertical="center"/>
    </xf>
    <xf numFmtId="181" fontId="53" fillId="18" borderId="14" xfId="10" applyNumberFormat="1" applyFont="1" applyFill="1" applyBorder="1" applyAlignment="1">
      <alignment horizontal="center" vertical="center" wrapText="1"/>
    </xf>
    <xf numFmtId="181" fontId="53" fillId="18" borderId="5" xfId="10" applyNumberFormat="1" applyFont="1" applyFill="1" applyBorder="1" applyAlignment="1">
      <alignment horizontal="center" vertical="center" wrapText="1"/>
    </xf>
    <xf numFmtId="181" fontId="56" fillId="18" borderId="47" xfId="10" applyNumberFormat="1" applyFont="1" applyFill="1" applyBorder="1" applyAlignment="1">
      <alignment horizontal="center" vertical="center"/>
    </xf>
    <xf numFmtId="181" fontId="56" fillId="18" borderId="5" xfId="10" applyNumberFormat="1" applyFont="1" applyFill="1" applyBorder="1" applyAlignment="1">
      <alignment horizontal="center" vertical="center"/>
    </xf>
    <xf numFmtId="0" fontId="21" fillId="0" borderId="41" xfId="0" applyFont="1" applyBorder="1" applyAlignment="1">
      <alignment horizontal="left" vertical="top" wrapText="1" shrinkToFit="1"/>
    </xf>
    <xf numFmtId="0" fontId="21" fillId="0" borderId="54" xfId="0" applyFont="1" applyBorder="1" applyAlignment="1">
      <alignment horizontal="left" vertical="top" wrapText="1" shrinkToFit="1"/>
    </xf>
    <xf numFmtId="49" fontId="53" fillId="0" borderId="14" xfId="0" applyNumberFormat="1" applyFont="1" applyBorder="1" applyAlignment="1">
      <alignment horizontal="center" vertical="center" shrinkToFit="1"/>
    </xf>
    <xf numFmtId="49" fontId="53" fillId="0" borderId="47" xfId="0" applyNumberFormat="1" applyFont="1" applyBorder="1" applyAlignment="1">
      <alignment horizontal="center" vertical="center" shrinkToFit="1"/>
    </xf>
    <xf numFmtId="49" fontId="53" fillId="0" borderId="5" xfId="0" applyNumberFormat="1" applyFont="1" applyBorder="1" applyAlignment="1">
      <alignment horizontal="center" vertical="center" shrinkToFit="1"/>
    </xf>
    <xf numFmtId="0" fontId="28" fillId="4" borderId="14" xfId="0" applyFont="1" applyFill="1" applyBorder="1" applyAlignment="1">
      <alignment horizontal="center" vertical="center"/>
    </xf>
    <xf numFmtId="0" fontId="28" fillId="4" borderId="47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53" fillId="0" borderId="14" xfId="0" applyFont="1" applyBorder="1" applyAlignment="1">
      <alignment horizontal="center" vertical="center" shrinkToFit="1"/>
    </xf>
    <xf numFmtId="0" fontId="53" fillId="0" borderId="5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1" fontId="7" fillId="18" borderId="75" xfId="0" applyNumberFormat="1" applyFont="1" applyFill="1" applyBorder="1" applyAlignment="1">
      <alignment horizontal="center" vertical="center" wrapText="1"/>
    </xf>
    <xf numFmtId="0" fontId="7" fillId="18" borderId="81" xfId="0" applyFont="1" applyFill="1" applyBorder="1" applyAlignment="1">
      <alignment horizontal="center" vertical="center" wrapText="1"/>
    </xf>
    <xf numFmtId="1" fontId="21" fillId="18" borderId="75" xfId="0" applyNumberFormat="1" applyFont="1" applyFill="1" applyBorder="1" applyAlignment="1">
      <alignment horizontal="center" vertical="center"/>
    </xf>
    <xf numFmtId="0" fontId="21" fillId="18" borderId="81" xfId="0" applyFont="1" applyFill="1" applyBorder="1" applyAlignment="1">
      <alignment horizontal="center" vertical="center"/>
    </xf>
    <xf numFmtId="1" fontId="6" fillId="18" borderId="75" xfId="0" applyNumberFormat="1" applyFont="1" applyFill="1" applyBorder="1" applyAlignment="1">
      <alignment horizontal="center" vertical="center" shrinkToFit="1"/>
    </xf>
    <xf numFmtId="0" fontId="6" fillId="18" borderId="81" xfId="0" applyFont="1" applyFill="1" applyBorder="1" applyAlignment="1">
      <alignment horizontal="center" vertical="center" shrinkToFit="1"/>
    </xf>
    <xf numFmtId="1" fontId="6" fillId="18" borderId="75" xfId="0" applyNumberFormat="1" applyFont="1" applyFill="1" applyBorder="1" applyAlignment="1">
      <alignment horizontal="center" vertical="center" wrapText="1"/>
    </xf>
    <xf numFmtId="0" fontId="6" fillId="18" borderId="81" xfId="0" applyFont="1" applyFill="1" applyBorder="1" applyAlignment="1">
      <alignment horizontal="center" vertical="center" wrapText="1"/>
    </xf>
    <xf numFmtId="38" fontId="17" fillId="9" borderId="15" xfId="0" applyNumberFormat="1" applyFont="1" applyFill="1" applyBorder="1" applyAlignment="1">
      <alignment horizontal="center"/>
    </xf>
    <xf numFmtId="38" fontId="17" fillId="9" borderId="28" xfId="0" applyNumberFormat="1" applyFont="1" applyFill="1" applyBorder="1" applyAlignment="1">
      <alignment horizontal="center"/>
    </xf>
    <xf numFmtId="1" fontId="6" fillId="18" borderId="76" xfId="0" applyNumberFormat="1" applyFont="1" applyFill="1" applyBorder="1" applyAlignment="1">
      <alignment horizontal="center" vertical="center" wrapText="1"/>
    </xf>
    <xf numFmtId="0" fontId="6" fillId="18" borderId="82" xfId="0" applyFont="1" applyFill="1" applyBorder="1" applyAlignment="1">
      <alignment horizontal="center" vertical="center" wrapText="1"/>
    </xf>
    <xf numFmtId="38" fontId="25" fillId="18" borderId="77" xfId="0" applyNumberFormat="1" applyFont="1" applyFill="1" applyBorder="1" applyAlignment="1">
      <alignment horizontal="center" vertical="center" wrapText="1"/>
    </xf>
    <xf numFmtId="38" fontId="25" fillId="18" borderId="83" xfId="0" applyNumberFormat="1" applyFont="1" applyFill="1" applyBorder="1" applyAlignment="1">
      <alignment horizontal="center" vertical="center" wrapText="1"/>
    </xf>
    <xf numFmtId="0" fontId="6" fillId="18" borderId="75" xfId="0" applyFont="1" applyFill="1" applyBorder="1" applyAlignment="1">
      <alignment horizontal="center" vertical="center" wrapText="1"/>
    </xf>
    <xf numFmtId="1" fontId="6" fillId="18" borderId="81" xfId="0" applyNumberFormat="1" applyFont="1" applyFill="1" applyBorder="1" applyAlignment="1">
      <alignment horizontal="center" vertical="center" wrapText="1"/>
    </xf>
    <xf numFmtId="0" fontId="7" fillId="18" borderId="78" xfId="0" applyFont="1" applyFill="1" applyBorder="1" applyAlignment="1">
      <alignment horizontal="center" vertical="center" wrapText="1"/>
    </xf>
    <xf numFmtId="0" fontId="7" fillId="18" borderId="84" xfId="0" applyFont="1" applyFill="1" applyBorder="1" applyAlignment="1">
      <alignment horizontal="center" vertical="center" wrapText="1"/>
    </xf>
    <xf numFmtId="0" fontId="7" fillId="18" borderId="79" xfId="0" applyFont="1" applyFill="1" applyBorder="1" applyAlignment="1">
      <alignment horizontal="center" vertical="center" wrapText="1"/>
    </xf>
    <xf numFmtId="0" fontId="7" fillId="18" borderId="85" xfId="0" applyFont="1" applyFill="1" applyBorder="1" applyAlignment="1">
      <alignment horizontal="center" vertical="center" wrapText="1"/>
    </xf>
    <xf numFmtId="0" fontId="115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38" fontId="33" fillId="0" borderId="1" xfId="10" applyNumberFormat="1" applyFont="1" applyFill="1" applyBorder="1" applyAlignment="1">
      <alignment horizontal="center"/>
    </xf>
    <xf numFmtId="38" fontId="17" fillId="12" borderId="1" xfId="0" applyNumberFormat="1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38" fontId="47" fillId="24" borderId="5" xfId="0" applyNumberFormat="1" applyFont="1" applyFill="1" applyBorder="1" applyAlignment="1">
      <alignment horizontal="center"/>
    </xf>
    <xf numFmtId="0" fontId="47" fillId="24" borderId="5" xfId="0" applyFont="1" applyFill="1" applyBorder="1" applyAlignment="1">
      <alignment horizontal="center"/>
    </xf>
    <xf numFmtId="181" fontId="10" fillId="12" borderId="58" xfId="10" applyNumberFormat="1" applyFont="1" applyFill="1" applyBorder="1" applyAlignment="1">
      <alignment horizontal="center"/>
    </xf>
    <xf numFmtId="181" fontId="10" fillId="12" borderId="59" xfId="10" applyNumberFormat="1" applyFont="1" applyFill="1" applyBorder="1" applyAlignment="1">
      <alignment horizontal="center"/>
    </xf>
    <xf numFmtId="181" fontId="26" fillId="12" borderId="58" xfId="10" applyNumberFormat="1" applyFont="1" applyFill="1" applyBorder="1" applyAlignment="1">
      <alignment horizontal="center"/>
    </xf>
    <xf numFmtId="181" fontId="26" fillId="12" borderId="59" xfId="10" applyNumberFormat="1" applyFont="1" applyFill="1" applyBorder="1" applyAlignment="1">
      <alignment horizontal="center"/>
    </xf>
    <xf numFmtId="181" fontId="68" fillId="0" borderId="87" xfId="10" applyNumberFormat="1" applyFont="1" applyFill="1" applyBorder="1" applyAlignment="1">
      <alignment horizontal="center" vertical="center"/>
    </xf>
    <xf numFmtId="181" fontId="68" fillId="0" borderId="88" xfId="10" applyNumberFormat="1" applyFont="1" applyFill="1" applyBorder="1" applyAlignment="1">
      <alignment horizontal="center" vertical="center"/>
    </xf>
    <xf numFmtId="181" fontId="68" fillId="0" borderId="89" xfId="10" applyNumberFormat="1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72" xfId="0" applyFont="1" applyBorder="1" applyAlignment="1">
      <alignment horizontal="center" vertical="center"/>
    </xf>
    <xf numFmtId="0" fontId="65" fillId="0" borderId="56" xfId="0" applyFont="1" applyBorder="1" applyAlignment="1">
      <alignment horizontal="left" vertical="center"/>
    </xf>
    <xf numFmtId="0" fontId="65" fillId="0" borderId="5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69" fillId="9" borderId="2" xfId="0" applyFont="1" applyFill="1" applyBorder="1" applyAlignment="1">
      <alignment horizontal="center" vertical="center"/>
    </xf>
    <xf numFmtId="0" fontId="69" fillId="9" borderId="18" xfId="0" applyFont="1" applyFill="1" applyBorder="1" applyAlignment="1">
      <alignment horizontal="center" vertical="center"/>
    </xf>
    <xf numFmtId="0" fontId="69" fillId="9" borderId="60" xfId="0" applyFont="1" applyFill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181" fontId="67" fillId="0" borderId="2" xfId="10" applyNumberFormat="1" applyFont="1" applyBorder="1" applyAlignment="1">
      <alignment horizontal="center" vertical="center"/>
    </xf>
    <xf numFmtId="181" fontId="67" fillId="0" borderId="18" xfId="10" applyNumberFormat="1" applyFont="1" applyBorder="1" applyAlignment="1">
      <alignment horizontal="center" vertical="center"/>
    </xf>
    <xf numFmtId="181" fontId="67" fillId="0" borderId="60" xfId="10" applyNumberFormat="1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18" xfId="0" applyFont="1" applyBorder="1" applyAlignment="1">
      <alignment horizontal="center" vertical="center"/>
    </xf>
    <xf numFmtId="0" fontId="70" fillId="0" borderId="60" xfId="0" applyFont="1" applyBorder="1" applyAlignment="1">
      <alignment horizontal="center" vertical="center"/>
    </xf>
    <xf numFmtId="0" fontId="106" fillId="4" borderId="2" xfId="0" applyFont="1" applyFill="1" applyBorder="1" applyAlignment="1">
      <alignment horizontal="center" vertical="center"/>
    </xf>
    <xf numFmtId="0" fontId="106" fillId="4" borderId="18" xfId="0" applyFont="1" applyFill="1" applyBorder="1" applyAlignment="1">
      <alignment horizontal="center" vertical="center"/>
    </xf>
    <xf numFmtId="0" fontId="106" fillId="4" borderId="60" xfId="0" applyFont="1" applyFill="1" applyBorder="1" applyAlignment="1">
      <alignment horizontal="center" vertical="center"/>
    </xf>
    <xf numFmtId="0" fontId="67" fillId="0" borderId="56" xfId="0" applyFont="1" applyBorder="1" applyAlignment="1">
      <alignment horizontal="left" vertical="center"/>
    </xf>
    <xf numFmtId="0" fontId="67" fillId="0" borderId="59" xfId="0" applyFont="1" applyBorder="1" applyAlignment="1">
      <alignment horizontal="left" vertical="center"/>
    </xf>
    <xf numFmtId="0" fontId="67" fillId="0" borderId="0" xfId="0" applyFont="1" applyAlignment="1">
      <alignment vertical="center" wrapText="1"/>
    </xf>
    <xf numFmtId="0" fontId="67" fillId="0" borderId="42" xfId="0" applyFont="1" applyBorder="1" applyAlignment="1">
      <alignment vertical="center" wrapText="1"/>
    </xf>
    <xf numFmtId="0" fontId="67" fillId="0" borderId="0" xfId="0" applyFont="1" applyAlignment="1">
      <alignment horizontal="left" vertical="center"/>
    </xf>
    <xf numFmtId="0" fontId="67" fillId="0" borderId="42" xfId="0" applyFont="1" applyBorder="1" applyAlignment="1">
      <alignment horizontal="left" vertical="center"/>
    </xf>
    <xf numFmtId="0" fontId="67" fillId="0" borderId="0" xfId="0" applyFont="1">
      <alignment vertical="center"/>
    </xf>
    <xf numFmtId="0" fontId="67" fillId="0" borderId="42" xfId="0" applyFont="1" applyBorder="1">
      <alignment vertical="center"/>
    </xf>
    <xf numFmtId="0" fontId="51" fillId="0" borderId="0" xfId="0" applyFont="1" applyAlignment="1">
      <alignment horizontal="left" vertical="center"/>
    </xf>
    <xf numFmtId="0" fontId="51" fillId="0" borderId="42" xfId="0" applyFont="1" applyBorder="1" applyAlignment="1">
      <alignment horizontal="left" vertical="center"/>
    </xf>
    <xf numFmtId="0" fontId="52" fillId="0" borderId="0" xfId="0" applyFont="1" applyAlignment="1">
      <alignment horizontal="left" vertical="center" wrapText="1"/>
    </xf>
    <xf numFmtId="0" fontId="52" fillId="0" borderId="42" xfId="0" applyFont="1" applyBorder="1" applyAlignment="1">
      <alignment horizontal="left" vertical="center" wrapText="1"/>
    </xf>
    <xf numFmtId="181" fontId="67" fillId="21" borderId="2" xfId="10" applyNumberFormat="1" applyFont="1" applyFill="1" applyBorder="1" applyAlignment="1">
      <alignment horizontal="center" vertical="center"/>
    </xf>
    <xf numFmtId="181" fontId="67" fillId="21" borderId="18" xfId="10" applyNumberFormat="1" applyFont="1" applyFill="1" applyBorder="1" applyAlignment="1">
      <alignment horizontal="center" vertical="center"/>
    </xf>
    <xf numFmtId="181" fontId="67" fillId="21" borderId="60" xfId="10" applyNumberFormat="1" applyFont="1" applyFill="1" applyBorder="1" applyAlignment="1">
      <alignment horizontal="center" vertical="center"/>
    </xf>
    <xf numFmtId="0" fontId="64" fillId="0" borderId="61" xfId="0" applyFont="1" applyBorder="1" applyAlignment="1">
      <alignment horizontal="left" vertical="center"/>
    </xf>
    <xf numFmtId="0" fontId="52" fillId="0" borderId="36" xfId="0" applyFont="1" applyBorder="1" applyAlignment="1">
      <alignment horizontal="left" vertical="center" wrapText="1"/>
    </xf>
    <xf numFmtId="0" fontId="52" fillId="0" borderId="62" xfId="0" applyFont="1" applyBorder="1" applyAlignment="1">
      <alignment horizontal="left" vertical="center" wrapText="1"/>
    </xf>
    <xf numFmtId="0" fontId="107" fillId="0" borderId="0" xfId="0" applyFont="1" applyAlignment="1">
      <alignment horizontal="left" vertical="center"/>
    </xf>
    <xf numFmtId="0" fontId="107" fillId="0" borderId="42" xfId="0" applyFont="1" applyBorder="1" applyAlignment="1">
      <alignment horizontal="left" vertical="center"/>
    </xf>
    <xf numFmtId="0" fontId="64" fillId="0" borderId="107" xfId="0" applyFont="1" applyBorder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0" fillId="0" borderId="42" xfId="0" applyFont="1" applyBorder="1" applyAlignment="1">
      <alignment horizontal="left" vertical="center" wrapText="1"/>
    </xf>
    <xf numFmtId="0" fontId="114" fillId="0" borderId="36" xfId="0" applyFont="1" applyBorder="1" applyAlignment="1">
      <alignment horizontal="center" vertical="center" wrapText="1"/>
    </xf>
    <xf numFmtId="0" fontId="114" fillId="0" borderId="62" xfId="0" applyFont="1" applyBorder="1" applyAlignment="1">
      <alignment horizontal="center" vertical="center" wrapText="1"/>
    </xf>
    <xf numFmtId="0" fontId="114" fillId="0" borderId="0" xfId="0" applyFont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102" fillId="0" borderId="0" xfId="0" applyFont="1" applyAlignment="1">
      <alignment horizontal="center" vertical="center" wrapText="1"/>
    </xf>
    <xf numFmtId="181" fontId="67" fillId="21" borderId="2" xfId="10" applyNumberFormat="1" applyFont="1" applyFill="1" applyBorder="1" applyAlignment="1">
      <alignment horizontal="left" vertical="center"/>
    </xf>
    <xf numFmtId="181" fontId="67" fillId="21" borderId="18" xfId="10" applyNumberFormat="1" applyFont="1" applyFill="1" applyBorder="1" applyAlignment="1">
      <alignment horizontal="left" vertical="center"/>
    </xf>
    <xf numFmtId="181" fontId="67" fillId="21" borderId="60" xfId="10" applyNumberFormat="1" applyFont="1" applyFill="1" applyBorder="1" applyAlignment="1">
      <alignment horizontal="left" vertical="center"/>
    </xf>
    <xf numFmtId="181" fontId="86" fillId="21" borderId="30" xfId="10" applyNumberFormat="1" applyFont="1" applyFill="1" applyBorder="1" applyAlignment="1">
      <alignment horizontal="center" shrinkToFit="1"/>
    </xf>
    <xf numFmtId="181" fontId="86" fillId="21" borderId="32" xfId="10" applyNumberFormat="1" applyFont="1" applyFill="1" applyBorder="1" applyAlignment="1">
      <alignment horizontal="center" shrinkToFit="1"/>
    </xf>
    <xf numFmtId="1" fontId="6" fillId="21" borderId="99" xfId="0" applyNumberFormat="1" applyFont="1" applyFill="1" applyBorder="1" applyAlignment="1">
      <alignment horizontal="center" vertical="center" wrapText="1"/>
    </xf>
    <xf numFmtId="0" fontId="6" fillId="21" borderId="82" xfId="0" applyFont="1" applyFill="1" applyBorder="1" applyAlignment="1">
      <alignment horizontal="center" vertical="center" wrapText="1"/>
    </xf>
    <xf numFmtId="1" fontId="6" fillId="21" borderId="75" xfId="0" applyNumberFormat="1" applyFont="1" applyFill="1" applyBorder="1" applyAlignment="1">
      <alignment horizontal="center" vertical="center" wrapText="1"/>
    </xf>
    <xf numFmtId="1" fontId="6" fillId="21" borderId="81" xfId="0" applyNumberFormat="1" applyFont="1" applyFill="1" applyBorder="1" applyAlignment="1">
      <alignment horizontal="center" vertical="center" wrapText="1"/>
    </xf>
    <xf numFmtId="1" fontId="6" fillId="21" borderId="98" xfId="0" applyNumberFormat="1" applyFont="1" applyFill="1" applyBorder="1" applyAlignment="1">
      <alignment horizontal="center" vertical="center" wrapText="1"/>
    </xf>
    <xf numFmtId="0" fontId="6" fillId="21" borderId="81" xfId="0" applyFont="1" applyFill="1" applyBorder="1" applyAlignment="1">
      <alignment horizontal="center" vertical="center" wrapText="1"/>
    </xf>
    <xf numFmtId="181" fontId="30" fillId="0" borderId="1" xfId="10" applyNumberFormat="1" applyFont="1" applyFill="1" applyBorder="1" applyAlignment="1">
      <alignment horizontal="center"/>
    </xf>
    <xf numFmtId="181" fontId="116" fillId="21" borderId="7" xfId="10" applyNumberFormat="1" applyFont="1" applyFill="1" applyBorder="1" applyAlignment="1">
      <alignment horizontal="center"/>
    </xf>
    <xf numFmtId="181" fontId="116" fillId="21" borderId="32" xfId="10" applyNumberFormat="1" applyFont="1" applyFill="1" applyBorder="1" applyAlignment="1">
      <alignment horizontal="center"/>
    </xf>
    <xf numFmtId="1" fontId="6" fillId="21" borderId="77" xfId="0" applyNumberFormat="1" applyFont="1" applyFill="1" applyBorder="1" applyAlignment="1">
      <alignment horizontal="center" vertical="center" wrapText="1"/>
    </xf>
    <xf numFmtId="1" fontId="6" fillId="21" borderId="83" xfId="0" applyNumberFormat="1" applyFont="1" applyFill="1" applyBorder="1" applyAlignment="1">
      <alignment horizontal="center" vertical="center" wrapText="1"/>
    </xf>
    <xf numFmtId="0" fontId="6" fillId="21" borderId="75" xfId="0" applyFont="1" applyFill="1" applyBorder="1" applyAlignment="1">
      <alignment horizontal="center" vertical="center" wrapText="1"/>
    </xf>
    <xf numFmtId="1" fontId="6" fillId="21" borderId="47" xfId="0" applyNumberFormat="1" applyFont="1" applyFill="1" applyBorder="1" applyAlignment="1">
      <alignment horizontal="center" vertical="center"/>
    </xf>
    <xf numFmtId="1" fontId="6" fillId="21" borderId="70" xfId="0" applyNumberFormat="1" applyFont="1" applyFill="1" applyBorder="1" applyAlignment="1">
      <alignment horizontal="center" vertical="center"/>
    </xf>
    <xf numFmtId="1" fontId="6" fillId="9" borderId="100" xfId="0" applyNumberFormat="1" applyFont="1" applyFill="1" applyBorder="1" applyAlignment="1">
      <alignment horizontal="center" vertical="center" wrapText="1"/>
    </xf>
    <xf numFmtId="0" fontId="6" fillId="9" borderId="83" xfId="0" applyFont="1" applyFill="1" applyBorder="1" applyAlignment="1">
      <alignment horizontal="center" vertical="center" wrapText="1"/>
    </xf>
    <xf numFmtId="0" fontId="6" fillId="21" borderId="53" xfId="0" applyFont="1" applyFill="1" applyBorder="1" applyAlignment="1">
      <alignment horizontal="center" vertical="center" shrinkToFit="1"/>
    </xf>
    <xf numFmtId="0" fontId="6" fillId="21" borderId="73" xfId="0" applyFont="1" applyFill="1" applyBorder="1" applyAlignment="1">
      <alignment horizontal="center" vertical="center" shrinkToFit="1"/>
    </xf>
    <xf numFmtId="0" fontId="14" fillId="21" borderId="39" xfId="0" applyFont="1" applyFill="1" applyBorder="1" applyAlignment="1">
      <alignment horizontal="center" vertical="center"/>
    </xf>
    <xf numFmtId="0" fontId="14" fillId="21" borderId="11" xfId="0" applyFont="1" applyFill="1" applyBorder="1" applyAlignment="1">
      <alignment horizontal="center" vertical="center"/>
    </xf>
    <xf numFmtId="1" fontId="29" fillId="21" borderId="98" xfId="0" applyNumberFormat="1" applyFont="1" applyFill="1" applyBorder="1" applyAlignment="1">
      <alignment horizontal="center" vertical="center"/>
    </xf>
    <xf numFmtId="0" fontId="29" fillId="21" borderId="81" xfId="0" applyFont="1" applyFill="1" applyBorder="1" applyAlignment="1">
      <alignment horizontal="center" vertical="center"/>
    </xf>
    <xf numFmtId="1" fontId="6" fillId="21" borderId="98" xfId="0" applyNumberFormat="1" applyFont="1" applyFill="1" applyBorder="1" applyAlignment="1">
      <alignment horizontal="center" vertical="center" shrinkToFit="1"/>
    </xf>
    <xf numFmtId="0" fontId="6" fillId="21" borderId="81" xfId="0" applyFont="1" applyFill="1" applyBorder="1" applyAlignment="1">
      <alignment horizontal="center" vertical="center" shrinkToFit="1"/>
    </xf>
    <xf numFmtId="181" fontId="27" fillId="21" borderId="37" xfId="10" applyNumberFormat="1" applyFont="1" applyFill="1" applyBorder="1" applyAlignment="1">
      <alignment horizontal="center" vertical="center"/>
    </xf>
    <xf numFmtId="181" fontId="27" fillId="21" borderId="44" xfId="10" applyNumberFormat="1" applyFont="1" applyFill="1" applyBorder="1" applyAlignment="1">
      <alignment horizontal="center" vertical="center"/>
    </xf>
    <xf numFmtId="187" fontId="10" fillId="21" borderId="1" xfId="0" applyNumberFormat="1" applyFont="1" applyFill="1" applyBorder="1" applyAlignment="1">
      <alignment horizontal="center"/>
    </xf>
    <xf numFmtId="0" fontId="6" fillId="21" borderId="66" xfId="0" applyFont="1" applyFill="1" applyBorder="1" applyAlignment="1">
      <alignment horizontal="center"/>
    </xf>
    <xf numFmtId="0" fontId="6" fillId="21" borderId="21" xfId="0" applyFont="1" applyFill="1" applyBorder="1" applyAlignment="1">
      <alignment horizontal="center"/>
    </xf>
    <xf numFmtId="1" fontId="29" fillId="21" borderId="74" xfId="0" applyNumberFormat="1" applyFont="1" applyFill="1" applyBorder="1" applyAlignment="1">
      <alignment horizontal="center" vertical="center"/>
    </xf>
    <xf numFmtId="0" fontId="29" fillId="21" borderId="80" xfId="0" applyFont="1" applyFill="1" applyBorder="1">
      <alignment vertical="center"/>
    </xf>
    <xf numFmtId="1" fontId="6" fillId="21" borderId="75" xfId="0" applyNumberFormat="1" applyFont="1" applyFill="1" applyBorder="1" applyAlignment="1">
      <alignment horizontal="center" vertical="center"/>
    </xf>
    <xf numFmtId="0" fontId="6" fillId="21" borderId="81" xfId="0" applyFont="1" applyFill="1" applyBorder="1" applyAlignment="1">
      <alignment horizontal="center" vertical="center"/>
    </xf>
    <xf numFmtId="1" fontId="6" fillId="21" borderId="101" xfId="0" applyNumberFormat="1" applyFont="1" applyFill="1" applyBorder="1" applyAlignment="1">
      <alignment horizontal="center" vertical="center" wrapText="1"/>
    </xf>
    <xf numFmtId="0" fontId="6" fillId="21" borderId="104" xfId="0" applyFont="1" applyFill="1" applyBorder="1" applyAlignment="1">
      <alignment horizontal="center" vertical="center" wrapText="1"/>
    </xf>
    <xf numFmtId="0" fontId="14" fillId="21" borderId="40" xfId="0" applyFont="1" applyFill="1" applyBorder="1" applyAlignment="1">
      <alignment horizontal="center" vertical="center"/>
    </xf>
    <xf numFmtId="181" fontId="27" fillId="21" borderId="41" xfId="10" applyNumberFormat="1" applyFont="1" applyFill="1" applyBorder="1" applyAlignment="1">
      <alignment horizontal="center" vertical="center"/>
    </xf>
    <xf numFmtId="1" fontId="123" fillId="21" borderId="1" xfId="0" applyNumberFormat="1" applyFont="1" applyFill="1" applyBorder="1" applyAlignment="1">
      <alignment horizontal="center"/>
    </xf>
    <xf numFmtId="1" fontId="6" fillId="21" borderId="75" xfId="0" applyNumberFormat="1" applyFont="1" applyFill="1" applyBorder="1" applyAlignment="1">
      <alignment horizontal="center" wrapText="1"/>
    </xf>
    <xf numFmtId="0" fontId="0" fillId="21" borderId="81" xfId="0" applyFill="1" applyBorder="1" applyAlignment="1">
      <alignment horizontal="center" wrapText="1"/>
    </xf>
    <xf numFmtId="1" fontId="6" fillId="21" borderId="76" xfId="0" applyNumberFormat="1" applyFont="1" applyFill="1" applyBorder="1" applyAlignment="1">
      <alignment horizontal="center" vertical="center" wrapText="1"/>
    </xf>
    <xf numFmtId="1" fontId="17" fillId="21" borderId="102" xfId="0" applyNumberFormat="1" applyFont="1" applyFill="1" applyBorder="1" applyAlignment="1">
      <alignment horizontal="center" vertical="center"/>
    </xf>
    <xf numFmtId="0" fontId="6" fillId="21" borderId="105" xfId="0" applyFont="1" applyFill="1" applyBorder="1">
      <alignment vertical="center"/>
    </xf>
    <xf numFmtId="0" fontId="68" fillId="0" borderId="46" xfId="0" applyFont="1" applyBorder="1" applyAlignment="1">
      <alignment horizontal="center" vertical="center"/>
    </xf>
    <xf numFmtId="0" fontId="68" fillId="0" borderId="57" xfId="0" applyFont="1" applyBorder="1" applyAlignment="1">
      <alignment horizontal="center" vertical="center"/>
    </xf>
    <xf numFmtId="0" fontId="68" fillId="0" borderId="63" xfId="0" applyFont="1" applyBorder="1" applyAlignment="1">
      <alignment horizontal="center" vertical="center"/>
    </xf>
    <xf numFmtId="0" fontId="52" fillId="0" borderId="0" xfId="0" applyFont="1" applyAlignment="1">
      <alignment horizontal="left" vertical="top" wrapText="1"/>
    </xf>
    <xf numFmtId="0" fontId="52" fillId="0" borderId="0" xfId="0" applyFont="1" applyAlignment="1">
      <alignment horizontal="left" vertical="top"/>
    </xf>
    <xf numFmtId="0" fontId="52" fillId="0" borderId="42" xfId="0" applyFont="1" applyBorder="1" applyAlignment="1">
      <alignment horizontal="left" vertical="top"/>
    </xf>
    <xf numFmtId="0" fontId="76" fillId="0" borderId="56" xfId="0" applyFont="1" applyBorder="1" applyAlignment="1">
      <alignment horizontal="center" vertical="center"/>
    </xf>
    <xf numFmtId="0" fontId="67" fillId="9" borderId="2" xfId="0" applyFont="1" applyFill="1" applyBorder="1" applyAlignment="1">
      <alignment horizontal="center" vertical="center"/>
    </xf>
    <xf numFmtId="0" fontId="67" fillId="9" borderId="18" xfId="0" applyFont="1" applyFill="1" applyBorder="1" applyAlignment="1">
      <alignment horizontal="center" vertical="center"/>
    </xf>
    <xf numFmtId="0" fontId="67" fillId="9" borderId="60" xfId="0" applyFont="1" applyFill="1" applyBorder="1" applyAlignment="1">
      <alignment horizontal="center" vertical="center"/>
    </xf>
    <xf numFmtId="0" fontId="68" fillId="0" borderId="90" xfId="0" applyFont="1" applyBorder="1" applyAlignment="1">
      <alignment horizontal="center" vertical="center"/>
    </xf>
    <xf numFmtId="0" fontId="68" fillId="0" borderId="91" xfId="0" applyFont="1" applyBorder="1" applyAlignment="1">
      <alignment horizontal="center" vertical="center"/>
    </xf>
    <xf numFmtId="0" fontId="68" fillId="0" borderId="92" xfId="0" applyFont="1" applyBorder="1" applyAlignment="1">
      <alignment horizontal="center" vertical="center"/>
    </xf>
    <xf numFmtId="0" fontId="76" fillId="0" borderId="56" xfId="0" applyFont="1" applyBorder="1" applyAlignment="1">
      <alignment horizontal="left" vertical="center"/>
    </xf>
    <xf numFmtId="0" fontId="76" fillId="0" borderId="52" xfId="0" applyFont="1" applyBorder="1" applyAlignment="1">
      <alignment horizontal="center" vertical="center"/>
    </xf>
    <xf numFmtId="0" fontId="76" fillId="0" borderId="50" xfId="0" applyFont="1" applyBorder="1" applyAlignment="1">
      <alignment horizontal="center" vertical="center"/>
    </xf>
    <xf numFmtId="0" fontId="76" fillId="0" borderId="85" xfId="0" applyFont="1" applyBorder="1" applyAlignment="1">
      <alignment horizontal="center" vertical="center"/>
    </xf>
    <xf numFmtId="0" fontId="76" fillId="0" borderId="59" xfId="0" applyFont="1" applyBorder="1" applyAlignment="1">
      <alignment horizontal="center" vertical="center"/>
    </xf>
    <xf numFmtId="0" fontId="67" fillId="9" borderId="17" xfId="0" applyFont="1" applyFill="1" applyBorder="1" applyAlignment="1">
      <alignment horizontal="center" vertical="center"/>
    </xf>
    <xf numFmtId="0" fontId="78" fillId="0" borderId="85" xfId="0" applyFont="1" applyBorder="1" applyAlignment="1">
      <alignment horizontal="center" vertical="center"/>
    </xf>
    <xf numFmtId="0" fontId="78" fillId="0" borderId="59" xfId="0" applyFont="1" applyBorder="1" applyAlignment="1">
      <alignment horizontal="center" vertical="center"/>
    </xf>
    <xf numFmtId="0" fontId="111" fillId="0" borderId="36" xfId="0" applyFont="1" applyBorder="1" applyAlignment="1">
      <alignment horizontal="center" vertical="center" wrapText="1"/>
    </xf>
    <xf numFmtId="0" fontId="111" fillId="0" borderId="62" xfId="0" applyFont="1" applyBorder="1" applyAlignment="1">
      <alignment horizontal="center" vertical="center" wrapText="1"/>
    </xf>
    <xf numFmtId="0" fontId="111" fillId="0" borderId="56" xfId="0" applyFont="1" applyBorder="1" applyAlignment="1">
      <alignment horizontal="center" vertical="center" wrapText="1"/>
    </xf>
    <xf numFmtId="0" fontId="111" fillId="0" borderId="59" xfId="0" applyFont="1" applyBorder="1" applyAlignment="1">
      <alignment horizontal="center" vertical="center" wrapText="1"/>
    </xf>
    <xf numFmtId="0" fontId="74" fillId="0" borderId="0" xfId="0" applyFont="1" applyAlignment="1">
      <alignment horizontal="left" vertical="center" wrapText="1"/>
    </xf>
    <xf numFmtId="0" fontId="74" fillId="0" borderId="0" xfId="0" applyFont="1" applyAlignment="1">
      <alignment horizontal="left" vertical="center"/>
    </xf>
    <xf numFmtId="0" fontId="51" fillId="0" borderId="1" xfId="0" applyFont="1" applyBorder="1" applyAlignment="1">
      <alignment horizontal="left" vertical="center"/>
    </xf>
    <xf numFmtId="181" fontId="67" fillId="0" borderId="17" xfId="10" applyNumberFormat="1" applyFont="1" applyBorder="1" applyAlignment="1">
      <alignment horizontal="center" vertical="center"/>
    </xf>
    <xf numFmtId="0" fontId="76" fillId="0" borderId="13" xfId="0" applyFont="1" applyBorder="1" applyAlignment="1">
      <alignment horizontal="center" vertical="center"/>
    </xf>
    <xf numFmtId="0" fontId="76" fillId="0" borderId="72" xfId="0" applyFont="1" applyBorder="1" applyAlignment="1">
      <alignment horizontal="center" vertical="center"/>
    </xf>
    <xf numFmtId="0" fontId="68" fillId="0" borderId="95" xfId="0" applyFont="1" applyBorder="1" applyAlignment="1">
      <alignment horizontal="center" vertical="center"/>
    </xf>
    <xf numFmtId="0" fontId="68" fillId="0" borderId="96" xfId="0" applyFont="1" applyBorder="1" applyAlignment="1">
      <alignment horizontal="center" vertical="center"/>
    </xf>
    <xf numFmtId="0" fontId="68" fillId="0" borderId="52" xfId="0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68" fillId="0" borderId="43" xfId="0" applyFont="1" applyBorder="1" applyAlignment="1">
      <alignment horizontal="center" vertical="center"/>
    </xf>
    <xf numFmtId="0" fontId="68" fillId="0" borderId="15" xfId="0" applyFont="1" applyBorder="1" applyAlignment="1">
      <alignment horizontal="center" vertical="center"/>
    </xf>
    <xf numFmtId="0" fontId="68" fillId="0" borderId="28" xfId="0" applyFont="1" applyBorder="1" applyAlignment="1">
      <alignment horizontal="center" vertical="center"/>
    </xf>
    <xf numFmtId="0" fontId="51" fillId="0" borderId="14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181" fontId="68" fillId="0" borderId="94" xfId="10" applyNumberFormat="1" applyFont="1" applyFill="1" applyBorder="1" applyAlignment="1">
      <alignment horizontal="center" vertical="center"/>
    </xf>
    <xf numFmtId="0" fontId="51" fillId="0" borderId="19" xfId="0" applyFont="1" applyBorder="1" applyAlignment="1">
      <alignment horizontal="left" vertical="center" wrapText="1"/>
    </xf>
    <xf numFmtId="0" fontId="51" fillId="0" borderId="36" xfId="0" applyFont="1" applyBorder="1" applyAlignment="1">
      <alignment horizontal="left" vertical="center" wrapText="1"/>
    </xf>
    <xf numFmtId="0" fontId="51" fillId="0" borderId="29" xfId="0" applyFont="1" applyBorder="1" applyAlignment="1">
      <alignment horizontal="left" vertical="center" wrapText="1"/>
    </xf>
    <xf numFmtId="0" fontId="51" fillId="0" borderId="15" xfId="0" applyFont="1" applyBorder="1" applyAlignment="1">
      <alignment horizontal="left" vertical="center" wrapText="1"/>
    </xf>
    <xf numFmtId="0" fontId="51" fillId="0" borderId="57" xfId="0" applyFont="1" applyBorder="1" applyAlignment="1">
      <alignment horizontal="left" vertical="center" wrapText="1"/>
    </xf>
    <xf numFmtId="0" fontId="51" fillId="0" borderId="28" xfId="0" applyFont="1" applyBorder="1" applyAlignment="1">
      <alignment horizontal="left" vertical="center" wrapText="1"/>
    </xf>
    <xf numFmtId="181" fontId="67" fillId="21" borderId="17" xfId="10" applyNumberFormat="1" applyFont="1" applyFill="1" applyBorder="1" applyAlignment="1">
      <alignment horizontal="center" vertical="center"/>
    </xf>
    <xf numFmtId="0" fontId="113" fillId="0" borderId="0" xfId="0" applyFont="1" applyAlignment="1">
      <alignment horizontal="left" vertical="center"/>
    </xf>
    <xf numFmtId="179" fontId="52" fillId="0" borderId="36" xfId="0" applyNumberFormat="1" applyFont="1" applyBorder="1" applyAlignment="1">
      <alignment horizontal="left" vertical="center" wrapText="1"/>
    </xf>
    <xf numFmtId="181" fontId="68" fillId="4" borderId="87" xfId="10" applyNumberFormat="1" applyFont="1" applyFill="1" applyBorder="1" applyAlignment="1">
      <alignment horizontal="center" vertical="center"/>
    </xf>
    <xf numFmtId="181" fontId="68" fillId="4" borderId="88" xfId="10" applyNumberFormat="1" applyFont="1" applyFill="1" applyBorder="1" applyAlignment="1">
      <alignment horizontal="center" vertical="center"/>
    </xf>
    <xf numFmtId="181" fontId="68" fillId="4" borderId="89" xfId="10" applyNumberFormat="1" applyFont="1" applyFill="1" applyBorder="1" applyAlignment="1">
      <alignment horizontal="center" vertical="center"/>
    </xf>
    <xf numFmtId="0" fontId="32" fillId="0" borderId="56" xfId="0" applyFont="1" applyBorder="1" applyAlignment="1">
      <alignment horizontal="left" vertical="center" wrapText="1"/>
    </xf>
    <xf numFmtId="0" fontId="32" fillId="0" borderId="59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2" fillId="0" borderId="42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/>
    </xf>
    <xf numFmtId="0" fontId="24" fillId="6" borderId="48" xfId="0" applyFont="1" applyFill="1" applyBorder="1" applyAlignment="1">
      <alignment horizontal="center" vertical="center"/>
    </xf>
    <xf numFmtId="0" fontId="24" fillId="6" borderId="49" xfId="0" applyFont="1" applyFill="1" applyBorder="1" applyAlignment="1">
      <alignment horizontal="center" vertical="center"/>
    </xf>
    <xf numFmtId="0" fontId="24" fillId="6" borderId="50" xfId="0" applyFon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15" fillId="21" borderId="48" xfId="0" applyFont="1" applyFill="1" applyBorder="1" applyAlignment="1">
      <alignment horizontal="center" vertical="center"/>
    </xf>
    <xf numFmtId="0" fontId="15" fillId="21" borderId="43" xfId="0" applyFont="1" applyFill="1" applyBorder="1" applyAlignment="1">
      <alignment horizontal="center" vertical="center"/>
    </xf>
    <xf numFmtId="0" fontId="26" fillId="6" borderId="48" xfId="0" applyFont="1" applyFill="1" applyBorder="1" applyAlignment="1">
      <alignment horizontal="center" vertical="center"/>
    </xf>
    <xf numFmtId="0" fontId="26" fillId="6" borderId="49" xfId="0" applyFont="1" applyFill="1" applyBorder="1" applyAlignment="1">
      <alignment horizontal="center" vertical="center"/>
    </xf>
    <xf numFmtId="0" fontId="26" fillId="6" borderId="50" xfId="0" applyFont="1" applyFill="1" applyBorder="1" applyAlignment="1">
      <alignment horizontal="center" vertical="center"/>
    </xf>
    <xf numFmtId="0" fontId="24" fillId="6" borderId="46" xfId="0" applyFont="1" applyFill="1" applyBorder="1" applyAlignment="1">
      <alignment horizontal="center" vertical="center"/>
    </xf>
    <xf numFmtId="0" fontId="111" fillId="0" borderId="36" xfId="0" applyFont="1" applyBorder="1" applyAlignment="1">
      <alignment horizontal="left" vertical="center" wrapText="1"/>
    </xf>
    <xf numFmtId="0" fontId="21" fillId="0" borderId="57" xfId="0" applyFont="1" applyBorder="1" applyAlignment="1">
      <alignment horizontal="center" vertical="center"/>
    </xf>
    <xf numFmtId="176" fontId="21" fillId="0" borderId="19" xfId="0" applyNumberFormat="1" applyFont="1" applyBorder="1" applyAlignment="1">
      <alignment horizontal="center" vertical="center"/>
    </xf>
    <xf numFmtId="176" fontId="21" fillId="0" borderId="36" xfId="0" applyNumberFormat="1" applyFont="1" applyBorder="1" applyAlignment="1">
      <alignment horizontal="center" vertical="center"/>
    </xf>
    <xf numFmtId="176" fontId="21" fillId="0" borderId="29" xfId="0" applyNumberFormat="1" applyFont="1" applyBorder="1" applyAlignment="1">
      <alignment horizontal="center" vertical="center"/>
    </xf>
    <xf numFmtId="176" fontId="21" fillId="0" borderId="15" xfId="0" applyNumberFormat="1" applyFont="1" applyBorder="1" applyAlignment="1">
      <alignment horizontal="center" vertical="center"/>
    </xf>
    <xf numFmtId="176" fontId="21" fillId="0" borderId="57" xfId="0" applyNumberFormat="1" applyFont="1" applyBorder="1" applyAlignment="1">
      <alignment horizontal="center" vertical="center"/>
    </xf>
    <xf numFmtId="176" fontId="21" fillId="0" borderId="28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top" wrapText="1"/>
    </xf>
    <xf numFmtId="0" fontId="21" fillId="0" borderId="29" xfId="0" applyFont="1" applyBorder="1" applyAlignment="1">
      <alignment horizontal="center" vertical="top" wrapText="1"/>
    </xf>
    <xf numFmtId="0" fontId="21" fillId="0" borderId="68" xfId="0" applyFont="1" applyBorder="1" applyAlignment="1">
      <alignment horizontal="center" vertical="top" wrapText="1"/>
    </xf>
    <xf numFmtId="0" fontId="21" fillId="0" borderId="67" xfId="0" applyFont="1" applyBorder="1" applyAlignment="1">
      <alignment horizontal="center" vertical="top" wrapText="1"/>
    </xf>
    <xf numFmtId="0" fontId="21" fillId="0" borderId="15" xfId="0" applyFont="1" applyBorder="1" applyAlignment="1">
      <alignment horizontal="center" vertical="top" wrapText="1"/>
    </xf>
    <xf numFmtId="0" fontId="21" fillId="0" borderId="28" xfId="0" applyFont="1" applyBorder="1" applyAlignment="1">
      <alignment horizontal="center" vertical="top" wrapText="1"/>
    </xf>
    <xf numFmtId="176" fontId="21" fillId="0" borderId="68" xfId="0" applyNumberFormat="1" applyFont="1" applyBorder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176" fontId="21" fillId="0" borderId="67" xfId="0" applyNumberFormat="1" applyFont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/>
    </xf>
    <xf numFmtId="176" fontId="21" fillId="0" borderId="18" xfId="0" applyNumberFormat="1" applyFont="1" applyBorder="1" applyAlignment="1">
      <alignment horizontal="center" vertical="center"/>
    </xf>
    <xf numFmtId="176" fontId="21" fillId="0" borderId="17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67" xfId="0" applyFont="1" applyBorder="1" applyAlignment="1">
      <alignment horizontal="center" vertical="center"/>
    </xf>
    <xf numFmtId="0" fontId="9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92" fillId="0" borderId="0" xfId="0" applyFont="1" applyAlignment="1">
      <alignment horizontal="center" vertical="center"/>
    </xf>
    <xf numFmtId="0" fontId="21" fillId="0" borderId="68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 wrapText="1"/>
    </xf>
    <xf numFmtId="0" fontId="92" fillId="0" borderId="19" xfId="0" applyFont="1" applyBorder="1" applyAlignment="1">
      <alignment horizontal="center" vertical="top" wrapText="1"/>
    </xf>
    <xf numFmtId="0" fontId="92" fillId="0" borderId="29" xfId="0" applyFont="1" applyBorder="1" applyAlignment="1">
      <alignment horizontal="center" vertical="top" wrapText="1"/>
    </xf>
    <xf numFmtId="0" fontId="92" fillId="0" borderId="15" xfId="0" applyFont="1" applyBorder="1" applyAlignment="1">
      <alignment horizontal="center" vertical="top" wrapText="1"/>
    </xf>
    <xf numFmtId="0" fontId="92" fillId="0" borderId="28" xfId="0" applyFont="1" applyBorder="1" applyAlignment="1">
      <alignment horizontal="center" vertical="top" wrapText="1"/>
    </xf>
    <xf numFmtId="184" fontId="21" fillId="0" borderId="19" xfId="0" applyNumberFormat="1" applyFont="1" applyBorder="1" applyAlignment="1">
      <alignment horizontal="right" vertical="center"/>
    </xf>
    <xf numFmtId="184" fontId="21" fillId="0" borderId="15" xfId="0" applyNumberFormat="1" applyFont="1" applyBorder="1" applyAlignment="1">
      <alignment horizontal="right" vertical="center"/>
    </xf>
    <xf numFmtId="176" fontId="21" fillId="0" borderId="29" xfId="0" applyNumberFormat="1" applyFont="1" applyBorder="1" applyAlignment="1">
      <alignment horizontal="left" vertical="center"/>
    </xf>
    <xf numFmtId="176" fontId="21" fillId="0" borderId="28" xfId="0" applyNumberFormat="1" applyFont="1" applyBorder="1" applyAlignment="1">
      <alignment horizontal="left" vertical="center"/>
    </xf>
    <xf numFmtId="0" fontId="92" fillId="0" borderId="2" xfId="0" applyFont="1" applyBorder="1" applyAlignment="1">
      <alignment horizontal="center" vertical="top" wrapText="1"/>
    </xf>
    <xf numFmtId="0" fontId="92" fillId="0" borderId="17" xfId="0" applyFont="1" applyBorder="1" applyAlignment="1">
      <alignment horizontal="center" vertical="top" wrapText="1"/>
    </xf>
    <xf numFmtId="176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7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4" fillId="0" borderId="57" xfId="0" applyFont="1" applyBorder="1" applyAlignment="1">
      <alignment horizontal="left" vertical="top"/>
    </xf>
    <xf numFmtId="176" fontId="21" fillId="0" borderId="2" xfId="0" applyNumberFormat="1" applyFont="1" applyBorder="1" applyAlignment="1">
      <alignment horizontal="center" vertical="center" wrapText="1"/>
    </xf>
    <xf numFmtId="176" fontId="21" fillId="0" borderId="17" xfId="0" applyNumberFormat="1" applyFont="1" applyBorder="1" applyAlignment="1">
      <alignment horizontal="center" vertical="center" wrapText="1"/>
    </xf>
    <xf numFmtId="0" fontId="99" fillId="0" borderId="57" xfId="0" applyFont="1" applyBorder="1" applyAlignment="1">
      <alignment horizontal="left" vertical="top"/>
    </xf>
    <xf numFmtId="0" fontId="99" fillId="0" borderId="57" xfId="0" applyFont="1" applyBorder="1" applyAlignment="1">
      <alignment horizontal="center" vertical="top"/>
    </xf>
    <xf numFmtId="176" fontId="41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 wrapText="1"/>
    </xf>
    <xf numFmtId="49" fontId="21" fillId="0" borderId="2" xfId="19" applyNumberFormat="1" applyFont="1" applyBorder="1" applyAlignment="1">
      <alignment horizontal="center" vertical="center" wrapText="1"/>
    </xf>
    <xf numFmtId="49" fontId="21" fillId="0" borderId="17" xfId="19" applyNumberFormat="1" applyFont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top" wrapText="1"/>
    </xf>
    <xf numFmtId="176" fontId="41" fillId="0" borderId="2" xfId="0" applyNumberFormat="1" applyFont="1" applyBorder="1" applyAlignment="1">
      <alignment horizontal="center" vertical="center"/>
    </xf>
    <xf numFmtId="176" fontId="41" fillId="0" borderId="17" xfId="0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</cellXfs>
  <cellStyles count="20">
    <cellStyle name="一般" xfId="0" builtinId="0"/>
    <cellStyle name="一般 10 2" xfId="1" xr:uid="{00000000-0005-0000-0000-000001000000}"/>
    <cellStyle name="一般 15" xfId="2" xr:uid="{00000000-0005-0000-0000-000002000000}"/>
    <cellStyle name="一般 2" xfId="3" xr:uid="{00000000-0005-0000-0000-000003000000}"/>
    <cellStyle name="一般 22" xfId="4" xr:uid="{00000000-0005-0000-0000-000004000000}"/>
    <cellStyle name="一般 24" xfId="5" xr:uid="{00000000-0005-0000-0000-000005000000}"/>
    <cellStyle name="一般 3" xfId="16" xr:uid="{90F7607E-AD3A-4192-B7C1-B3D4C64AF0E9}"/>
    <cellStyle name="一般 32" xfId="6" xr:uid="{00000000-0005-0000-0000-000006000000}"/>
    <cellStyle name="一般 41" xfId="7" xr:uid="{00000000-0005-0000-0000-000007000000}"/>
    <cellStyle name="一般 54" xfId="8" xr:uid="{00000000-0005-0000-0000-000008000000}"/>
    <cellStyle name="一般 56" xfId="9" xr:uid="{00000000-0005-0000-0000-000009000000}"/>
    <cellStyle name="千分位" xfId="10" builtinId="3"/>
    <cellStyle name="千分位 2" xfId="11" xr:uid="{00000000-0005-0000-0000-00000B000000}"/>
    <cellStyle name="千分位 2 2" xfId="12" xr:uid="{00000000-0005-0000-0000-00000C000000}"/>
    <cellStyle name="千分位 2 3" xfId="18" xr:uid="{138C7279-69EE-4F5F-9CDC-824B5F7ED33B}"/>
    <cellStyle name="千分位 3" xfId="13" xr:uid="{00000000-0005-0000-0000-00000D000000}"/>
    <cellStyle name="千分位 4" xfId="17" xr:uid="{5CFBD383-E3B3-490A-9975-8A9B41E46471}"/>
    <cellStyle name="好_台業薪資表單(98新版)" xfId="14" xr:uid="{00000000-0005-0000-0000-00000E000000}"/>
    <cellStyle name="貨幣" xfId="19" builtinId="4"/>
    <cellStyle name="壞_台業薪資表單(98新版)" xfId="15" xr:uid="{00000000-0005-0000-0000-00000F000000}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C59D-1461-4423-86BB-52207D27A099}">
  <sheetPr>
    <pageSetUpPr fitToPage="1"/>
  </sheetPr>
  <dimension ref="A1:S23"/>
  <sheetViews>
    <sheetView zoomScale="85" zoomScaleNormal="85" workbookViewId="0">
      <selection activeCell="O16" sqref="O16"/>
    </sheetView>
  </sheetViews>
  <sheetFormatPr defaultRowHeight="16.2" x14ac:dyDescent="0.3"/>
  <cols>
    <col min="3" max="3" width="12.44140625" customWidth="1"/>
    <col min="5" max="5" width="9.6640625" customWidth="1"/>
    <col min="6" max="6" width="2.77734375" customWidth="1"/>
    <col min="7" max="7" width="13" customWidth="1"/>
    <col min="8" max="8" width="10" style="3" customWidth="1"/>
    <col min="9" max="9" width="15.33203125" style="3" bestFit="1" customWidth="1"/>
    <col min="10" max="10" width="12.21875" customWidth="1"/>
    <col min="11" max="11" width="16.33203125" bestFit="1" customWidth="1"/>
    <col min="12" max="12" width="10.44140625" style="44" customWidth="1"/>
    <col min="14" max="14" width="11.21875" customWidth="1"/>
    <col min="15" max="15" width="13.44140625" customWidth="1"/>
    <col min="16" max="16" width="10.44140625" customWidth="1"/>
    <col min="17" max="17" width="10.77734375" customWidth="1"/>
    <col min="18" max="18" width="12.6640625" customWidth="1"/>
  </cols>
  <sheetData>
    <row r="1" spans="1:19" ht="33.75" customHeight="1" x14ac:dyDescent="0.3">
      <c r="A1" s="1353" t="s">
        <v>176</v>
      </c>
      <c r="B1" s="1353"/>
      <c r="C1" s="1353"/>
      <c r="D1" s="1354"/>
      <c r="G1" s="1362" t="s">
        <v>258</v>
      </c>
      <c r="H1" s="1363"/>
      <c r="I1" s="1363"/>
      <c r="J1" s="1363"/>
      <c r="K1" s="1364"/>
      <c r="L1" s="52"/>
      <c r="M1" s="316"/>
      <c r="N1" s="317" t="s">
        <v>262</v>
      </c>
      <c r="O1" s="317"/>
      <c r="P1" s="318"/>
      <c r="Q1" s="318"/>
      <c r="R1" s="319"/>
      <c r="S1">
        <v>1120301</v>
      </c>
    </row>
    <row r="2" spans="1:19" ht="21" customHeight="1" x14ac:dyDescent="0.3">
      <c r="A2" s="179" t="s">
        <v>178</v>
      </c>
      <c r="B2" s="180">
        <v>30000</v>
      </c>
      <c r="C2" s="179" t="s">
        <v>179</v>
      </c>
      <c r="D2" s="179" t="s">
        <v>177</v>
      </c>
      <c r="G2" s="303" t="s">
        <v>178</v>
      </c>
      <c r="H2" s="304">
        <v>20000</v>
      </c>
      <c r="I2" s="304" t="s">
        <v>179</v>
      </c>
      <c r="J2" s="304" t="s">
        <v>177</v>
      </c>
      <c r="K2" s="1360" t="s">
        <v>253</v>
      </c>
      <c r="L2" s="52"/>
      <c r="M2" s="320"/>
      <c r="N2" s="1355" t="s">
        <v>183</v>
      </c>
      <c r="O2" s="181" t="s">
        <v>184</v>
      </c>
      <c r="P2" s="1358" t="s">
        <v>185</v>
      </c>
      <c r="Q2" s="1359" t="s">
        <v>190</v>
      </c>
      <c r="R2" s="1352" t="s">
        <v>186</v>
      </c>
    </row>
    <row r="3" spans="1:19" ht="23.25" customHeight="1" x14ac:dyDescent="0.3">
      <c r="A3" s="179">
        <v>1120505</v>
      </c>
      <c r="B3" s="180">
        <v>2323</v>
      </c>
      <c r="C3" s="179" t="s">
        <v>219</v>
      </c>
      <c r="D3" s="62">
        <f>SUM(B2+B3)</f>
        <v>32323</v>
      </c>
      <c r="G3" s="303">
        <v>1120505</v>
      </c>
      <c r="H3" s="304">
        <v>2323</v>
      </c>
      <c r="I3" s="304" t="s">
        <v>219</v>
      </c>
      <c r="J3" s="305">
        <f>SUM(H2+H3)</f>
        <v>22323</v>
      </c>
      <c r="K3" s="1361"/>
      <c r="L3" s="52"/>
      <c r="M3" s="320"/>
      <c r="N3" s="1356"/>
      <c r="O3" s="181"/>
      <c r="P3" s="1358"/>
      <c r="Q3" s="1359"/>
      <c r="R3" s="1352"/>
    </row>
    <row r="4" spans="1:19" ht="22.2" x14ac:dyDescent="0.3">
      <c r="A4" s="1">
        <v>11111</v>
      </c>
      <c r="B4" s="178">
        <v>1</v>
      </c>
      <c r="C4" s="178">
        <v>1500</v>
      </c>
      <c r="D4" s="151">
        <f>+B2-C4</f>
        <v>28500</v>
      </c>
      <c r="G4" s="306">
        <v>11111</v>
      </c>
      <c r="H4" s="307">
        <v>1</v>
      </c>
      <c r="I4" s="330">
        <v>1500</v>
      </c>
      <c r="J4" s="327">
        <f>+H2-I4+2323</f>
        <v>20823</v>
      </c>
      <c r="K4" s="308" t="s">
        <v>240</v>
      </c>
      <c r="L4" s="302"/>
      <c r="M4" s="320"/>
      <c r="N4" s="1357"/>
      <c r="O4" s="181" t="s">
        <v>187</v>
      </c>
      <c r="P4" s="1358"/>
      <c r="Q4" s="1359"/>
      <c r="R4" s="1352"/>
    </row>
    <row r="5" spans="1:19" ht="22.2" x14ac:dyDescent="0.3">
      <c r="A5" s="1">
        <v>11112</v>
      </c>
      <c r="B5" s="1">
        <v>2</v>
      </c>
      <c r="C5" s="177">
        <v>1500</v>
      </c>
      <c r="D5" s="151">
        <f>+D4-C5</f>
        <v>27000</v>
      </c>
      <c r="G5" s="306">
        <v>11112</v>
      </c>
      <c r="H5" s="307">
        <v>2</v>
      </c>
      <c r="I5" s="331">
        <v>1500</v>
      </c>
      <c r="J5" s="327">
        <f>+J4-I5</f>
        <v>19323</v>
      </c>
      <c r="K5" s="309" t="s">
        <v>241</v>
      </c>
      <c r="L5" s="52"/>
      <c r="M5" s="1350" t="s">
        <v>189</v>
      </c>
      <c r="N5" s="77" t="s">
        <v>74</v>
      </c>
      <c r="O5" s="13">
        <v>1120106</v>
      </c>
      <c r="P5" s="182">
        <v>0</v>
      </c>
      <c r="Q5" s="183">
        <v>0</v>
      </c>
      <c r="R5" s="321"/>
    </row>
    <row r="6" spans="1:19" ht="22.2" x14ac:dyDescent="0.3">
      <c r="A6" s="1">
        <v>11201</v>
      </c>
      <c r="B6" s="178">
        <v>3</v>
      </c>
      <c r="C6" s="177">
        <v>1500</v>
      </c>
      <c r="D6" s="151">
        <f>+D5-C6</f>
        <v>25500</v>
      </c>
      <c r="G6" s="306">
        <v>11201</v>
      </c>
      <c r="H6" s="307">
        <v>3</v>
      </c>
      <c r="I6" s="331">
        <v>1500</v>
      </c>
      <c r="J6" s="327">
        <f>+J5-I6</f>
        <v>17823</v>
      </c>
      <c r="K6" s="309" t="s">
        <v>242</v>
      </c>
      <c r="L6" s="52"/>
      <c r="M6" s="1350"/>
      <c r="N6" s="77" t="s">
        <v>78</v>
      </c>
      <c r="O6" s="13">
        <v>1090811</v>
      </c>
      <c r="P6" s="182">
        <v>7</v>
      </c>
      <c r="Q6" s="183">
        <v>7</v>
      </c>
      <c r="R6" s="321"/>
    </row>
    <row r="7" spans="1:19" ht="22.2" x14ac:dyDescent="0.3">
      <c r="A7" s="1">
        <f>+A6+1</f>
        <v>11202</v>
      </c>
      <c r="B7" s="1">
        <v>4</v>
      </c>
      <c r="C7" s="177">
        <v>1500</v>
      </c>
      <c r="D7" s="151">
        <f t="shared" ref="D7:D17" si="0">+D6-C7</f>
        <v>24000</v>
      </c>
      <c r="G7" s="306">
        <f>+G6+1</f>
        <v>11202</v>
      </c>
      <c r="H7" s="307">
        <v>4</v>
      </c>
      <c r="I7" s="331">
        <v>1500</v>
      </c>
      <c r="J7" s="327">
        <f t="shared" ref="J7:J9" si="1">+J6-I7</f>
        <v>16323</v>
      </c>
      <c r="K7" s="309" t="s">
        <v>243</v>
      </c>
      <c r="L7" s="52"/>
      <c r="M7" s="1350"/>
      <c r="N7" s="77" t="s">
        <v>152</v>
      </c>
      <c r="O7" s="13">
        <v>1111011</v>
      </c>
      <c r="P7" s="182">
        <v>3</v>
      </c>
      <c r="Q7" s="183">
        <v>0</v>
      </c>
      <c r="R7" s="321"/>
    </row>
    <row r="8" spans="1:19" ht="22.2" x14ac:dyDescent="0.3">
      <c r="A8" s="1">
        <f t="shared" ref="A8:A17" si="2">+A7+1</f>
        <v>11203</v>
      </c>
      <c r="B8" s="178">
        <v>5</v>
      </c>
      <c r="C8" s="177">
        <v>1500</v>
      </c>
      <c r="D8" s="151">
        <f t="shared" si="0"/>
        <v>22500</v>
      </c>
      <c r="G8" s="306">
        <f t="shared" ref="G8:G15" si="3">+G7+1</f>
        <v>11203</v>
      </c>
      <c r="H8" s="307">
        <v>5</v>
      </c>
      <c r="I8" s="331">
        <v>1500</v>
      </c>
      <c r="J8" s="327">
        <f t="shared" si="1"/>
        <v>14823</v>
      </c>
      <c r="K8" s="309" t="s">
        <v>244</v>
      </c>
      <c r="L8" s="52"/>
      <c r="M8" s="1350" t="s">
        <v>188</v>
      </c>
      <c r="N8" s="77" t="s">
        <v>66</v>
      </c>
      <c r="O8" s="13">
        <v>1080708</v>
      </c>
      <c r="P8" s="182">
        <v>7</v>
      </c>
      <c r="Q8" s="183">
        <v>7</v>
      </c>
      <c r="R8" s="321"/>
    </row>
    <row r="9" spans="1:19" ht="22.2" x14ac:dyDescent="0.3">
      <c r="A9" s="1">
        <f t="shared" si="2"/>
        <v>11204</v>
      </c>
      <c r="B9" s="1">
        <v>6</v>
      </c>
      <c r="C9" s="177">
        <v>1500</v>
      </c>
      <c r="D9" s="151">
        <f t="shared" si="0"/>
        <v>21000</v>
      </c>
      <c r="G9" s="306">
        <f t="shared" si="3"/>
        <v>11204</v>
      </c>
      <c r="H9" s="307">
        <v>6</v>
      </c>
      <c r="I9" s="331">
        <v>1500</v>
      </c>
      <c r="J9" s="327">
        <f t="shared" si="1"/>
        <v>13323</v>
      </c>
      <c r="K9" s="309" t="s">
        <v>245</v>
      </c>
      <c r="L9" s="52"/>
      <c r="M9" s="1350"/>
      <c r="N9" s="77" t="s">
        <v>116</v>
      </c>
      <c r="O9" s="13">
        <v>1101122</v>
      </c>
      <c r="P9" s="182">
        <v>7</v>
      </c>
      <c r="Q9" s="183">
        <v>7</v>
      </c>
      <c r="R9" s="321"/>
    </row>
    <row r="10" spans="1:19" ht="22.8" thickBot="1" x14ac:dyDescent="0.35">
      <c r="A10" s="1">
        <f>+A9+1</f>
        <v>11205</v>
      </c>
      <c r="B10" s="178">
        <v>7</v>
      </c>
      <c r="C10" s="177">
        <v>1500</v>
      </c>
      <c r="D10" s="151">
        <f>+D9-C10</f>
        <v>19500</v>
      </c>
      <c r="G10" s="306">
        <f>+G9+1</f>
        <v>11205</v>
      </c>
      <c r="H10" s="307">
        <v>7</v>
      </c>
      <c r="I10" s="331">
        <v>1500</v>
      </c>
      <c r="J10" s="327">
        <f>+J9-I10</f>
        <v>11823</v>
      </c>
      <c r="K10" s="309" t="s">
        <v>246</v>
      </c>
      <c r="L10" s="52"/>
      <c r="M10" s="1351"/>
      <c r="N10" s="322" t="s">
        <v>75</v>
      </c>
      <c r="O10" s="323">
        <v>1090330</v>
      </c>
      <c r="P10" s="324">
        <v>7</v>
      </c>
      <c r="Q10" s="325">
        <v>7</v>
      </c>
      <c r="R10" s="326"/>
    </row>
    <row r="11" spans="1:19" ht="22.2" x14ac:dyDescent="0.3">
      <c r="A11" s="1">
        <f>+A10+1</f>
        <v>11206</v>
      </c>
      <c r="B11" s="1">
        <v>8</v>
      </c>
      <c r="C11" s="177">
        <v>1500</v>
      </c>
      <c r="D11" s="151">
        <f>+D10-C11+B3</f>
        <v>20323</v>
      </c>
      <c r="G11" s="306">
        <f>+G10+1</f>
        <v>11206</v>
      </c>
      <c r="H11" s="307">
        <v>8</v>
      </c>
      <c r="I11" s="331">
        <v>1500</v>
      </c>
      <c r="J11" s="327">
        <f>+J10-I11+H3</f>
        <v>12646</v>
      </c>
      <c r="K11" s="309" t="s">
        <v>247</v>
      </c>
      <c r="L11" s="52"/>
    </row>
    <row r="12" spans="1:19" ht="22.2" x14ac:dyDescent="0.3">
      <c r="A12" s="1">
        <f>+A11+1</f>
        <v>11207</v>
      </c>
      <c r="B12" s="178">
        <v>9</v>
      </c>
      <c r="C12" s="177">
        <v>1500</v>
      </c>
      <c r="D12" s="151">
        <f>+D11-C12</f>
        <v>18823</v>
      </c>
      <c r="G12" s="306">
        <f>+G11+1</f>
        <v>11207</v>
      </c>
      <c r="H12" s="307">
        <v>9</v>
      </c>
      <c r="I12" s="331">
        <v>1500</v>
      </c>
      <c r="J12" s="327">
        <f>+J11-I12</f>
        <v>11146</v>
      </c>
      <c r="K12" s="309" t="s">
        <v>248</v>
      </c>
      <c r="L12" s="52"/>
    </row>
    <row r="13" spans="1:19" ht="22.2" x14ac:dyDescent="0.3">
      <c r="A13" s="1">
        <f t="shared" si="2"/>
        <v>11208</v>
      </c>
      <c r="B13" s="1">
        <v>10</v>
      </c>
      <c r="C13" s="177">
        <v>1500</v>
      </c>
      <c r="D13" s="151">
        <f t="shared" si="0"/>
        <v>17323</v>
      </c>
      <c r="G13" s="306">
        <f t="shared" si="3"/>
        <v>11208</v>
      </c>
      <c r="H13" s="307">
        <v>10</v>
      </c>
      <c r="I13" s="331">
        <v>1500</v>
      </c>
      <c r="J13" s="327">
        <f t="shared" ref="J13:J15" si="4">+J12-I13</f>
        <v>9646</v>
      </c>
      <c r="K13" s="309" t="s">
        <v>249</v>
      </c>
      <c r="L13" s="52"/>
    </row>
    <row r="14" spans="1:19" ht="22.2" x14ac:dyDescent="0.3">
      <c r="A14" s="1">
        <f t="shared" si="2"/>
        <v>11209</v>
      </c>
      <c r="B14" s="178">
        <v>11</v>
      </c>
      <c r="C14" s="177">
        <v>1500</v>
      </c>
      <c r="D14" s="1">
        <f t="shared" si="0"/>
        <v>15823</v>
      </c>
      <c r="G14" s="306">
        <f t="shared" si="3"/>
        <v>11209</v>
      </c>
      <c r="H14" s="307">
        <v>11</v>
      </c>
      <c r="I14" s="331">
        <v>1500</v>
      </c>
      <c r="J14" s="327">
        <f t="shared" si="4"/>
        <v>8146</v>
      </c>
      <c r="K14" s="309" t="s">
        <v>250</v>
      </c>
      <c r="L14" s="52"/>
    </row>
    <row r="15" spans="1:19" ht="22.2" x14ac:dyDescent="0.3">
      <c r="A15" s="1">
        <f t="shared" si="2"/>
        <v>11210</v>
      </c>
      <c r="B15" s="1">
        <v>12</v>
      </c>
      <c r="C15" s="177">
        <v>1500</v>
      </c>
      <c r="D15" s="1">
        <f t="shared" si="0"/>
        <v>14323</v>
      </c>
      <c r="G15" s="306">
        <f t="shared" si="3"/>
        <v>11210</v>
      </c>
      <c r="H15" s="307">
        <v>12</v>
      </c>
      <c r="I15" s="331">
        <v>1500</v>
      </c>
      <c r="J15" s="327">
        <f t="shared" si="4"/>
        <v>6646</v>
      </c>
      <c r="K15" s="309" t="s">
        <v>251</v>
      </c>
      <c r="L15" s="52"/>
    </row>
    <row r="16" spans="1:19" ht="22.2" x14ac:dyDescent="0.3">
      <c r="A16" s="1">
        <f>+A15+1</f>
        <v>11211</v>
      </c>
      <c r="B16" s="178">
        <v>13</v>
      </c>
      <c r="C16" s="177">
        <v>1500</v>
      </c>
      <c r="D16" s="1">
        <f t="shared" si="0"/>
        <v>12823</v>
      </c>
      <c r="G16" s="306">
        <f>+G15+1</f>
        <v>11211</v>
      </c>
      <c r="H16" s="307">
        <v>13</v>
      </c>
      <c r="I16" s="331">
        <v>1500</v>
      </c>
      <c r="J16" s="327">
        <f>+J15-I16</f>
        <v>5146</v>
      </c>
      <c r="K16" s="309" t="s">
        <v>252</v>
      </c>
      <c r="L16" s="52"/>
    </row>
    <row r="17" spans="1:11" ht="22.2" x14ac:dyDescent="0.3">
      <c r="A17" s="1">
        <f t="shared" si="2"/>
        <v>11212</v>
      </c>
      <c r="B17" s="1">
        <v>14</v>
      </c>
      <c r="C17" s="1">
        <v>1500</v>
      </c>
      <c r="D17" s="1">
        <f t="shared" si="0"/>
        <v>11323</v>
      </c>
      <c r="G17" s="334">
        <v>11212</v>
      </c>
      <c r="H17" s="335">
        <v>14</v>
      </c>
      <c r="I17" s="336">
        <v>0</v>
      </c>
      <c r="J17" s="337">
        <v>5146</v>
      </c>
      <c r="K17" s="338" t="s">
        <v>257</v>
      </c>
    </row>
    <row r="18" spans="1:11" ht="22.2" x14ac:dyDescent="0.3">
      <c r="A18" s="1">
        <v>11301</v>
      </c>
      <c r="B18" s="178">
        <v>15</v>
      </c>
      <c r="C18" s="1">
        <v>1500</v>
      </c>
      <c r="D18" s="1">
        <f t="shared" ref="D18:D23" si="5">+D17-C18</f>
        <v>9823</v>
      </c>
      <c r="G18" s="310">
        <v>11301</v>
      </c>
      <c r="H18" s="311">
        <v>14</v>
      </c>
      <c r="I18" s="332">
        <v>1500</v>
      </c>
      <c r="J18" s="328">
        <f>+J16-I19</f>
        <v>3646</v>
      </c>
      <c r="K18" s="312" t="s">
        <v>254</v>
      </c>
    </row>
    <row r="19" spans="1:11" ht="22.2" x14ac:dyDescent="0.3">
      <c r="A19" s="1">
        <v>11302</v>
      </c>
      <c r="B19" s="1">
        <v>16</v>
      </c>
      <c r="C19" s="1">
        <v>1500</v>
      </c>
      <c r="D19" s="1">
        <f t="shared" si="5"/>
        <v>8323</v>
      </c>
      <c r="G19" s="310">
        <v>11302</v>
      </c>
      <c r="H19" s="311">
        <v>15</v>
      </c>
      <c r="I19" s="332">
        <v>1500</v>
      </c>
      <c r="J19" s="328">
        <f t="shared" ref="J19:J20" si="6">+J18-I19</f>
        <v>2146</v>
      </c>
      <c r="K19" s="312" t="s">
        <v>255</v>
      </c>
    </row>
    <row r="20" spans="1:11" ht="22.8" thickBot="1" x14ac:dyDescent="0.35">
      <c r="A20" s="1">
        <v>11303</v>
      </c>
      <c r="B20" s="178">
        <v>17</v>
      </c>
      <c r="C20" s="1">
        <v>1500</v>
      </c>
      <c r="D20" s="1">
        <f t="shared" si="5"/>
        <v>6823</v>
      </c>
      <c r="G20" s="313">
        <v>11303</v>
      </c>
      <c r="H20" s="314">
        <v>16</v>
      </c>
      <c r="I20" s="333">
        <v>2146</v>
      </c>
      <c r="J20" s="329">
        <f t="shared" si="6"/>
        <v>0</v>
      </c>
      <c r="K20" s="315" t="s">
        <v>256</v>
      </c>
    </row>
    <row r="21" spans="1:11" x14ac:dyDescent="0.3">
      <c r="A21" s="1">
        <v>11304</v>
      </c>
      <c r="B21" s="1">
        <v>18</v>
      </c>
      <c r="C21" s="1">
        <v>1500</v>
      </c>
      <c r="D21" s="1">
        <f t="shared" si="5"/>
        <v>5323</v>
      </c>
    </row>
    <row r="22" spans="1:11" x14ac:dyDescent="0.3">
      <c r="A22" s="1">
        <v>11305</v>
      </c>
      <c r="B22" s="178">
        <v>19</v>
      </c>
      <c r="C22" s="1">
        <v>1500</v>
      </c>
      <c r="D22" s="1">
        <f t="shared" si="5"/>
        <v>3823</v>
      </c>
    </row>
    <row r="23" spans="1:11" x14ac:dyDescent="0.3">
      <c r="A23" s="1">
        <v>11306</v>
      </c>
      <c r="B23" s="1">
        <v>20</v>
      </c>
      <c r="C23" s="1">
        <v>1500</v>
      </c>
      <c r="D23" s="1">
        <f t="shared" si="5"/>
        <v>2323</v>
      </c>
    </row>
  </sheetData>
  <mergeCells count="9">
    <mergeCell ref="M8:M10"/>
    <mergeCell ref="M5:M7"/>
    <mergeCell ref="R2:R4"/>
    <mergeCell ref="A1:D1"/>
    <mergeCell ref="N2:N4"/>
    <mergeCell ref="P2:P4"/>
    <mergeCell ref="Q2:Q4"/>
    <mergeCell ref="K2:K3"/>
    <mergeCell ref="G1:K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2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D3F5-97CF-439F-A631-A06C9EE21A0B}">
  <dimension ref="A1:CO39"/>
  <sheetViews>
    <sheetView topLeftCell="BT1" zoomScale="40" zoomScaleNormal="40" zoomScalePageLayoutView="70" workbookViewId="0">
      <selection activeCell="CE1" sqref="CE1:CO29"/>
    </sheetView>
  </sheetViews>
  <sheetFormatPr defaultColWidth="9" defaultRowHeight="22.2" x14ac:dyDescent="0.3"/>
  <cols>
    <col min="1" max="1" width="2.6640625" style="434" customWidth="1"/>
    <col min="2" max="2" width="18.6640625" style="434" customWidth="1"/>
    <col min="3" max="4" width="16.6640625" style="434" customWidth="1"/>
    <col min="5" max="6" width="15.6640625" style="434" customWidth="1"/>
    <col min="7" max="7" width="2.6640625" style="434" customWidth="1"/>
    <col min="8" max="8" width="19.6640625" style="434" customWidth="1"/>
    <col min="9" max="9" width="20.44140625" style="434" bestFit="1" customWidth="1"/>
    <col min="10" max="10" width="15.44140625" style="434" customWidth="1"/>
    <col min="11" max="11" width="13.21875" style="434" customWidth="1"/>
    <col min="12" max="12" width="14.21875" style="434" customWidth="1"/>
    <col min="13" max="13" width="2.6640625" style="434" customWidth="1"/>
    <col min="14" max="14" width="18.6640625" style="434" customWidth="1"/>
    <col min="15" max="15" width="19.109375" style="434" customWidth="1"/>
    <col min="16" max="16" width="16.33203125" style="434" customWidth="1"/>
    <col min="17" max="17" width="14.77734375" style="434" customWidth="1"/>
    <col min="18" max="18" width="15.6640625" style="434" customWidth="1"/>
    <col min="19" max="19" width="2.6640625" style="434" customWidth="1"/>
    <col min="20" max="20" width="18.6640625" style="434" customWidth="1"/>
    <col min="21" max="21" width="19.6640625" style="434" customWidth="1"/>
    <col min="22" max="22" width="16.6640625" style="434" customWidth="1"/>
    <col min="23" max="23" width="14.33203125" style="434" customWidth="1"/>
    <col min="24" max="24" width="15" style="434" customWidth="1"/>
    <col min="25" max="25" width="2.6640625" style="434" customWidth="1"/>
    <col min="26" max="26" width="18.6640625" style="434" customWidth="1"/>
    <col min="27" max="27" width="18.21875" style="434" customWidth="1"/>
    <col min="28" max="28" width="16.33203125" style="434" customWidth="1"/>
    <col min="29" max="29" width="14.77734375" style="434" customWidth="1"/>
    <col min="30" max="30" width="15.6640625" style="434" customWidth="1"/>
    <col min="31" max="31" width="2" style="434" customWidth="1"/>
    <col min="32" max="32" width="18.6640625" style="434" customWidth="1"/>
    <col min="33" max="33" width="18.44140625" style="434" customWidth="1"/>
    <col min="34" max="34" width="17.77734375" style="434" customWidth="1"/>
    <col min="35" max="35" width="15.6640625" style="434" customWidth="1"/>
    <col min="36" max="36" width="14.21875" style="434" customWidth="1"/>
    <col min="37" max="37" width="2.6640625" style="434" customWidth="1"/>
    <col min="38" max="38" width="18.6640625" style="434" customWidth="1"/>
    <col min="39" max="39" width="18.21875" style="434" customWidth="1"/>
    <col min="40" max="40" width="16.33203125" style="434" customWidth="1"/>
    <col min="41" max="41" width="14.77734375" style="434" customWidth="1"/>
    <col min="42" max="42" width="15.6640625" style="434" customWidth="1"/>
    <col min="43" max="43" width="2" style="434" customWidth="1"/>
    <col min="44" max="44" width="2.6640625" style="434" customWidth="1"/>
    <col min="45" max="45" width="18.6640625" style="434" customWidth="1"/>
    <col min="46" max="46" width="16.6640625" style="434" customWidth="1"/>
    <col min="47" max="47" width="17.77734375" style="434" customWidth="1"/>
    <col min="48" max="48" width="15.6640625" style="434" customWidth="1"/>
    <col min="49" max="49" width="15.88671875" style="434" customWidth="1"/>
    <col min="50" max="51" width="2.6640625" style="434" customWidth="1"/>
    <col min="52" max="52" width="2.6640625" style="438" customWidth="1"/>
    <col min="53" max="53" width="18.6640625" style="434" hidden="1" customWidth="1"/>
    <col min="54" max="54" width="20.44140625" style="434" hidden="1" customWidth="1"/>
    <col min="55" max="55" width="17.77734375" style="434" hidden="1" customWidth="1"/>
    <col min="56" max="57" width="16.6640625" style="434" hidden="1" customWidth="1"/>
    <col min="58" max="58" width="2.6640625" style="434" hidden="1" customWidth="1"/>
    <col min="59" max="59" width="18.6640625" style="434" hidden="1" customWidth="1"/>
    <col min="60" max="60" width="16.6640625" style="434" hidden="1" customWidth="1"/>
    <col min="61" max="61" width="17.77734375" style="434" hidden="1" customWidth="1"/>
    <col min="62" max="63" width="16.6640625" style="434" hidden="1" customWidth="1"/>
    <col min="64" max="64" width="2.6640625" style="434" hidden="1" customWidth="1"/>
    <col min="65" max="65" width="18.6640625" style="434" customWidth="1"/>
    <col min="66" max="66" width="16.6640625" style="434" customWidth="1"/>
    <col min="67" max="67" width="17.77734375" style="434" customWidth="1"/>
    <col min="68" max="69" width="15.6640625" style="434" customWidth="1"/>
    <col min="70" max="70" width="2.6640625" style="434" customWidth="1"/>
    <col min="71" max="71" width="18.6640625" style="434" customWidth="1"/>
    <col min="72" max="72" width="16.6640625" style="434" customWidth="1"/>
    <col min="73" max="73" width="17.77734375" style="434" customWidth="1"/>
    <col min="74" max="75" width="15.6640625" style="434" customWidth="1"/>
    <col min="76" max="76" width="2.6640625" style="434" customWidth="1"/>
    <col min="77" max="77" width="18.6640625" style="434" customWidth="1"/>
    <col min="78" max="78" width="16.6640625" style="434" customWidth="1"/>
    <col min="79" max="79" width="24" style="434" customWidth="1"/>
    <col min="80" max="81" width="15.6640625" style="434" customWidth="1"/>
    <col min="82" max="82" width="2.6640625" style="434" customWidth="1"/>
    <col min="83" max="83" width="18" style="437" customWidth="1"/>
    <col min="84" max="84" width="23.109375" style="437" customWidth="1"/>
    <col min="85" max="85" width="20.33203125" style="437" customWidth="1"/>
    <col min="86" max="86" width="16.5546875" style="437" customWidth="1"/>
    <col min="87" max="87" width="12" style="437" customWidth="1"/>
    <col min="88" max="88" width="9" style="437"/>
    <col min="89" max="89" width="18.88671875" style="437" customWidth="1"/>
    <col min="90" max="90" width="26.33203125" style="437" customWidth="1"/>
    <col min="91" max="91" width="22" style="437" customWidth="1"/>
    <col min="92" max="92" width="15.109375" style="437" customWidth="1"/>
    <col min="93" max="93" width="15.44140625" style="437" customWidth="1"/>
    <col min="94" max="16384" width="9" style="437"/>
  </cols>
  <sheetData>
    <row r="1" spans="2:93" s="431" customFormat="1" ht="30.75" customHeight="1" thickBot="1" x14ac:dyDescent="0.35">
      <c r="B1" s="1586" t="s">
        <v>347</v>
      </c>
      <c r="C1" s="1586"/>
      <c r="D1" s="506">
        <v>114</v>
      </c>
      <c r="E1" s="1593" t="s">
        <v>308</v>
      </c>
      <c r="F1" s="1593"/>
      <c r="H1" s="1586" t="s">
        <v>347</v>
      </c>
      <c r="I1" s="1586"/>
      <c r="J1" s="506">
        <v>114</v>
      </c>
      <c r="K1" s="1593" t="s">
        <v>308</v>
      </c>
      <c r="L1" s="1593"/>
      <c r="N1" s="1586" t="s">
        <v>347</v>
      </c>
      <c r="O1" s="1586"/>
      <c r="P1" s="506">
        <v>114</v>
      </c>
      <c r="Q1" s="1593" t="s">
        <v>308</v>
      </c>
      <c r="R1" s="1593"/>
      <c r="T1" s="1586" t="s">
        <v>347</v>
      </c>
      <c r="U1" s="1586"/>
      <c r="V1" s="506">
        <v>114</v>
      </c>
      <c r="W1" s="1593" t="s">
        <v>308</v>
      </c>
      <c r="X1" s="1593"/>
      <c r="Z1" s="1586" t="s">
        <v>347</v>
      </c>
      <c r="AA1" s="1586"/>
      <c r="AB1" s="506">
        <v>114</v>
      </c>
      <c r="AC1" s="1593" t="s">
        <v>308</v>
      </c>
      <c r="AD1" s="1593"/>
      <c r="AF1" s="1586" t="s">
        <v>347</v>
      </c>
      <c r="AG1" s="1586"/>
      <c r="AH1" s="506">
        <v>114</v>
      </c>
      <c r="AI1" s="1593" t="s">
        <v>308</v>
      </c>
      <c r="AJ1" s="1593"/>
      <c r="AL1" s="1586" t="s">
        <v>347</v>
      </c>
      <c r="AM1" s="1586"/>
      <c r="AN1" s="506">
        <v>114</v>
      </c>
      <c r="AO1" s="1593" t="s">
        <v>308</v>
      </c>
      <c r="AP1" s="1593"/>
      <c r="AS1" s="1586" t="s">
        <v>347</v>
      </c>
      <c r="AT1" s="1586"/>
      <c r="AU1" s="506">
        <v>114</v>
      </c>
      <c r="AV1" s="1593" t="s">
        <v>308</v>
      </c>
      <c r="AW1" s="1593"/>
      <c r="AZ1" s="433"/>
      <c r="BA1" s="1586" t="s">
        <v>347</v>
      </c>
      <c r="BB1" s="1586"/>
      <c r="BC1" s="506">
        <v>111</v>
      </c>
      <c r="BD1" s="1593" t="s">
        <v>308</v>
      </c>
      <c r="BE1" s="1593"/>
      <c r="BG1" s="1586" t="s">
        <v>347</v>
      </c>
      <c r="BH1" s="1586"/>
      <c r="BI1" s="506">
        <v>111</v>
      </c>
      <c r="BJ1" s="1593" t="s">
        <v>308</v>
      </c>
      <c r="BK1" s="1593"/>
      <c r="BM1" s="1586" t="s">
        <v>347</v>
      </c>
      <c r="BN1" s="1586"/>
      <c r="BO1" s="506">
        <v>114</v>
      </c>
      <c r="BP1" s="1593" t="s">
        <v>308</v>
      </c>
      <c r="BQ1" s="1593"/>
      <c r="BS1" s="1586" t="s">
        <v>347</v>
      </c>
      <c r="BT1" s="1586"/>
      <c r="BU1" s="506">
        <v>114</v>
      </c>
      <c r="BV1" s="1593" t="s">
        <v>308</v>
      </c>
      <c r="BW1" s="1593"/>
      <c r="BY1" s="1586" t="s">
        <v>347</v>
      </c>
      <c r="BZ1" s="1586"/>
      <c r="CA1" s="506">
        <v>114</v>
      </c>
      <c r="CB1" s="1593" t="s">
        <v>308</v>
      </c>
      <c r="CC1" s="1593"/>
      <c r="CE1" s="1586" t="s">
        <v>347</v>
      </c>
      <c r="CF1" s="1586"/>
      <c r="CG1" s="506">
        <v>114</v>
      </c>
      <c r="CH1" s="1593" t="s">
        <v>308</v>
      </c>
      <c r="CI1" s="1593"/>
      <c r="CK1" s="1586" t="s">
        <v>347</v>
      </c>
      <c r="CL1" s="1586"/>
      <c r="CM1" s="506">
        <v>114</v>
      </c>
      <c r="CN1" s="1593" t="s">
        <v>308</v>
      </c>
      <c r="CO1" s="1593"/>
    </row>
    <row r="2" spans="2:93" s="431" customFormat="1" ht="27" customHeight="1" x14ac:dyDescent="0.3">
      <c r="B2" s="507" t="s">
        <v>314</v>
      </c>
      <c r="C2" s="508" t="s">
        <v>80</v>
      </c>
      <c r="D2" s="508" t="s">
        <v>311</v>
      </c>
      <c r="E2" s="1594" t="s">
        <v>348</v>
      </c>
      <c r="F2" s="1595"/>
      <c r="H2" s="507" t="s">
        <v>315</v>
      </c>
      <c r="I2" s="903" t="s">
        <v>507</v>
      </c>
      <c r="J2" s="508" t="s">
        <v>311</v>
      </c>
      <c r="K2" s="1594" t="s">
        <v>348</v>
      </c>
      <c r="L2" s="1595"/>
      <c r="N2" s="507" t="s">
        <v>599</v>
      </c>
      <c r="O2" s="508" t="s">
        <v>572</v>
      </c>
      <c r="P2" s="508" t="s">
        <v>311</v>
      </c>
      <c r="Q2" s="1594" t="s">
        <v>348</v>
      </c>
      <c r="R2" s="1595"/>
      <c r="T2" s="507" t="s">
        <v>600</v>
      </c>
      <c r="U2" s="508" t="s">
        <v>349</v>
      </c>
      <c r="V2" s="508" t="s">
        <v>311</v>
      </c>
      <c r="W2" s="1594" t="s">
        <v>348</v>
      </c>
      <c r="X2" s="1595"/>
      <c r="Z2" s="507" t="s">
        <v>601</v>
      </c>
      <c r="AA2" s="508" t="s">
        <v>350</v>
      </c>
      <c r="AB2" s="508" t="s">
        <v>311</v>
      </c>
      <c r="AC2" s="1594" t="s">
        <v>348</v>
      </c>
      <c r="AD2" s="1595"/>
      <c r="AF2" s="507" t="s">
        <v>602</v>
      </c>
      <c r="AG2" s="508" t="s">
        <v>351</v>
      </c>
      <c r="AH2" s="508" t="s">
        <v>311</v>
      </c>
      <c r="AI2" s="1594" t="s">
        <v>348</v>
      </c>
      <c r="AJ2" s="1595"/>
      <c r="AL2" s="507" t="s">
        <v>316</v>
      </c>
      <c r="AM2" s="903" t="s">
        <v>504</v>
      </c>
      <c r="AN2" s="508" t="s">
        <v>311</v>
      </c>
      <c r="AO2" s="1594" t="s">
        <v>348</v>
      </c>
      <c r="AP2" s="1595"/>
      <c r="AS2" s="507" t="s">
        <v>322</v>
      </c>
      <c r="AT2" s="509" t="s">
        <v>353</v>
      </c>
      <c r="AU2" s="508" t="s">
        <v>311</v>
      </c>
      <c r="AV2" s="1594" t="s">
        <v>348</v>
      </c>
      <c r="AW2" s="1595"/>
      <c r="AX2" s="434"/>
      <c r="AY2" s="434"/>
      <c r="AZ2" s="433"/>
      <c r="BA2" s="507" t="s">
        <v>352</v>
      </c>
      <c r="BB2" s="508"/>
      <c r="BC2" s="508" t="s">
        <v>311</v>
      </c>
      <c r="BD2" s="1594" t="s">
        <v>348</v>
      </c>
      <c r="BE2" s="1595"/>
      <c r="BG2" s="507" t="s">
        <v>321</v>
      </c>
      <c r="BH2" s="508"/>
      <c r="BI2" s="508" t="s">
        <v>311</v>
      </c>
      <c r="BJ2" s="1594" t="s">
        <v>348</v>
      </c>
      <c r="BK2" s="1595"/>
      <c r="BM2" s="507" t="s">
        <v>319</v>
      </c>
      <c r="BN2" s="508" t="s">
        <v>297</v>
      </c>
      <c r="BO2" s="508" t="s">
        <v>311</v>
      </c>
      <c r="BP2" s="1594" t="s">
        <v>348</v>
      </c>
      <c r="BQ2" s="1595"/>
      <c r="BS2" s="507" t="s">
        <v>320</v>
      </c>
      <c r="BT2" s="508" t="s">
        <v>298</v>
      </c>
      <c r="BU2" s="508" t="s">
        <v>311</v>
      </c>
      <c r="BV2" s="1594" t="s">
        <v>348</v>
      </c>
      <c r="BW2" s="1595"/>
      <c r="BY2" s="507" t="s">
        <v>321</v>
      </c>
      <c r="BZ2" s="509" t="s">
        <v>43</v>
      </c>
      <c r="CA2" s="508" t="s">
        <v>311</v>
      </c>
      <c r="CB2" s="1594" t="s">
        <v>348</v>
      </c>
      <c r="CC2" s="1595"/>
      <c r="CE2" s="507" t="s">
        <v>601</v>
      </c>
      <c r="CF2" s="508" t="s">
        <v>631</v>
      </c>
      <c r="CG2" s="508" t="s">
        <v>311</v>
      </c>
      <c r="CH2" s="1594" t="s">
        <v>348</v>
      </c>
      <c r="CI2" s="1595"/>
      <c r="CK2" s="507" t="s">
        <v>601</v>
      </c>
      <c r="CL2" s="508" t="s">
        <v>658</v>
      </c>
      <c r="CM2" s="508" t="s">
        <v>311</v>
      </c>
      <c r="CN2" s="1594" t="s">
        <v>348</v>
      </c>
      <c r="CO2" s="1595"/>
    </row>
    <row r="3" spans="2:93" s="431" customFormat="1" ht="27" customHeight="1" thickBot="1" x14ac:dyDescent="0.35">
      <c r="B3" s="510" t="s">
        <v>354</v>
      </c>
      <c r="C3" s="511" t="s">
        <v>55</v>
      </c>
      <c r="D3" s="512">
        <v>6</v>
      </c>
      <c r="E3" s="1596" t="s">
        <v>355</v>
      </c>
      <c r="F3" s="1597"/>
      <c r="H3" s="510" t="s">
        <v>354</v>
      </c>
      <c r="I3" s="513" t="s">
        <v>356</v>
      </c>
      <c r="J3" s="512">
        <v>6</v>
      </c>
      <c r="K3" s="1596" t="s">
        <v>355</v>
      </c>
      <c r="L3" s="1597"/>
      <c r="N3" s="510" t="s">
        <v>354</v>
      </c>
      <c r="O3" s="513" t="s">
        <v>356</v>
      </c>
      <c r="P3" s="512">
        <v>6</v>
      </c>
      <c r="Q3" s="1596" t="s">
        <v>355</v>
      </c>
      <c r="R3" s="1597"/>
      <c r="T3" s="510" t="s">
        <v>354</v>
      </c>
      <c r="U3" s="513" t="s">
        <v>358</v>
      </c>
      <c r="V3" s="512">
        <v>6</v>
      </c>
      <c r="W3" s="1596" t="s">
        <v>355</v>
      </c>
      <c r="X3" s="1597"/>
      <c r="Z3" s="510" t="s">
        <v>354</v>
      </c>
      <c r="AA3" s="513" t="s">
        <v>358</v>
      </c>
      <c r="AB3" s="512">
        <v>6</v>
      </c>
      <c r="AC3" s="1596" t="s">
        <v>355</v>
      </c>
      <c r="AD3" s="1597"/>
      <c r="AF3" s="510" t="s">
        <v>354</v>
      </c>
      <c r="AG3" s="513" t="s">
        <v>358</v>
      </c>
      <c r="AH3" s="512">
        <v>6</v>
      </c>
      <c r="AI3" s="1596" t="s">
        <v>355</v>
      </c>
      <c r="AJ3" s="1597"/>
      <c r="AL3" s="510" t="s">
        <v>354</v>
      </c>
      <c r="AM3" s="513" t="s">
        <v>358</v>
      </c>
      <c r="AN3" s="512">
        <v>6</v>
      </c>
      <c r="AO3" s="1596" t="s">
        <v>355</v>
      </c>
      <c r="AP3" s="1597"/>
      <c r="AS3" s="510" t="s">
        <v>354</v>
      </c>
      <c r="AT3" s="512"/>
      <c r="AU3" s="512">
        <v>6</v>
      </c>
      <c r="AV3" s="1596" t="s">
        <v>355</v>
      </c>
      <c r="AW3" s="1597"/>
      <c r="AX3" s="434"/>
      <c r="AY3" s="434"/>
      <c r="AZ3" s="433"/>
      <c r="BA3" s="510" t="s">
        <v>354</v>
      </c>
      <c r="BB3" s="512"/>
      <c r="BC3" s="512">
        <v>4</v>
      </c>
      <c r="BD3" s="1609" t="s">
        <v>355</v>
      </c>
      <c r="BE3" s="1610"/>
      <c r="BG3" s="510" t="s">
        <v>354</v>
      </c>
      <c r="BH3" s="512"/>
      <c r="BI3" s="512">
        <v>4</v>
      </c>
      <c r="BJ3" s="1596" t="s">
        <v>355</v>
      </c>
      <c r="BK3" s="1597"/>
      <c r="BM3" s="510" t="s">
        <v>354</v>
      </c>
      <c r="BN3" s="512"/>
      <c r="BO3" s="512">
        <f>D3</f>
        <v>6</v>
      </c>
      <c r="BP3" s="1599" t="s">
        <v>357</v>
      </c>
      <c r="BQ3" s="1600"/>
      <c r="BS3" s="510" t="s">
        <v>354</v>
      </c>
      <c r="BT3" s="512"/>
      <c r="BU3" s="512">
        <f>D3</f>
        <v>6</v>
      </c>
      <c r="BV3" s="1596" t="s">
        <v>359</v>
      </c>
      <c r="BW3" s="1597"/>
      <c r="BY3" s="510" t="s">
        <v>354</v>
      </c>
      <c r="BZ3" s="512"/>
      <c r="CA3" s="512">
        <f>D3</f>
        <v>6</v>
      </c>
      <c r="CB3" s="1596" t="s">
        <v>355</v>
      </c>
      <c r="CC3" s="1597"/>
      <c r="CE3" s="510" t="s">
        <v>354</v>
      </c>
      <c r="CF3" s="513" t="s">
        <v>356</v>
      </c>
      <c r="CG3" s="512">
        <v>6</v>
      </c>
      <c r="CH3" s="1596" t="s">
        <v>355</v>
      </c>
      <c r="CI3" s="1597"/>
      <c r="CK3" s="510" t="s">
        <v>354</v>
      </c>
      <c r="CL3" s="513" t="s">
        <v>659</v>
      </c>
      <c r="CM3" s="512">
        <v>6</v>
      </c>
      <c r="CN3" s="1596" t="s">
        <v>355</v>
      </c>
      <c r="CO3" s="1597"/>
    </row>
    <row r="4" spans="2:93" ht="27" customHeight="1" x14ac:dyDescent="0.3">
      <c r="B4" s="1580" t="s">
        <v>323</v>
      </c>
      <c r="C4" s="1581"/>
      <c r="D4" s="1581"/>
      <c r="E4" s="1581"/>
      <c r="F4" s="1582"/>
      <c r="H4" s="1580" t="s">
        <v>323</v>
      </c>
      <c r="I4" s="1581"/>
      <c r="J4" s="1581"/>
      <c r="K4" s="1581"/>
      <c r="L4" s="1582"/>
      <c r="N4" s="1580" t="s">
        <v>323</v>
      </c>
      <c r="O4" s="1581"/>
      <c r="P4" s="1581"/>
      <c r="Q4" s="1581"/>
      <c r="R4" s="1582"/>
      <c r="T4" s="1580" t="s">
        <v>323</v>
      </c>
      <c r="U4" s="1581"/>
      <c r="V4" s="1581"/>
      <c r="W4" s="1581"/>
      <c r="X4" s="1582"/>
      <c r="Z4" s="1580" t="s">
        <v>323</v>
      </c>
      <c r="AA4" s="1581"/>
      <c r="AB4" s="1581"/>
      <c r="AC4" s="1581"/>
      <c r="AD4" s="1582"/>
      <c r="AF4" s="1580" t="s">
        <v>323</v>
      </c>
      <c r="AG4" s="1581"/>
      <c r="AH4" s="1581"/>
      <c r="AI4" s="1581"/>
      <c r="AJ4" s="1582"/>
      <c r="AL4" s="1580" t="s">
        <v>323</v>
      </c>
      <c r="AM4" s="1581"/>
      <c r="AN4" s="1581"/>
      <c r="AO4" s="1581"/>
      <c r="AP4" s="1582"/>
      <c r="AS4" s="1580" t="s">
        <v>323</v>
      </c>
      <c r="AT4" s="1581"/>
      <c r="AU4" s="1581"/>
      <c r="AV4" s="1581"/>
      <c r="AW4" s="1582"/>
      <c r="BA4" s="1613" t="s">
        <v>323</v>
      </c>
      <c r="BB4" s="1614"/>
      <c r="BC4" s="1614"/>
      <c r="BD4" s="1614"/>
      <c r="BE4" s="1615"/>
      <c r="BG4" s="1616" t="s">
        <v>323</v>
      </c>
      <c r="BH4" s="1581"/>
      <c r="BI4" s="1581"/>
      <c r="BJ4" s="1581"/>
      <c r="BK4" s="1617"/>
      <c r="BM4" s="1580" t="s">
        <v>323</v>
      </c>
      <c r="BN4" s="1581"/>
      <c r="BO4" s="1581"/>
      <c r="BP4" s="1581"/>
      <c r="BQ4" s="1582"/>
      <c r="BS4" s="1580" t="s">
        <v>323</v>
      </c>
      <c r="BT4" s="1581"/>
      <c r="BU4" s="1581"/>
      <c r="BV4" s="1581"/>
      <c r="BW4" s="1582"/>
      <c r="BY4" s="1580" t="s">
        <v>323</v>
      </c>
      <c r="BZ4" s="1581"/>
      <c r="CA4" s="1581"/>
      <c r="CB4" s="1581"/>
      <c r="CC4" s="1582"/>
      <c r="CE4" s="1580" t="s">
        <v>323</v>
      </c>
      <c r="CF4" s="1581"/>
      <c r="CG4" s="1581"/>
      <c r="CH4" s="1581"/>
      <c r="CI4" s="1582"/>
      <c r="CK4" s="1580" t="s">
        <v>323</v>
      </c>
      <c r="CL4" s="1581"/>
      <c r="CM4" s="1581"/>
      <c r="CN4" s="1581"/>
      <c r="CO4" s="1582"/>
    </row>
    <row r="5" spans="2:93" ht="43.5" customHeight="1" x14ac:dyDescent="0.3">
      <c r="B5" s="514" t="s">
        <v>325</v>
      </c>
      <c r="C5" s="442">
        <v>16000</v>
      </c>
      <c r="D5" s="456"/>
      <c r="E5" s="456"/>
      <c r="F5" s="515"/>
      <c r="H5" s="514" t="s">
        <v>361</v>
      </c>
      <c r="I5" s="442">
        <v>29420</v>
      </c>
      <c r="J5" s="456"/>
      <c r="K5" s="516"/>
      <c r="L5" s="515"/>
      <c r="N5" s="514" t="s">
        <v>361</v>
      </c>
      <c r="O5" s="442">
        <v>29420</v>
      </c>
      <c r="P5" s="456"/>
      <c r="Q5" s="516"/>
      <c r="R5" s="515"/>
      <c r="T5" s="514" t="s">
        <v>361</v>
      </c>
      <c r="U5" s="442">
        <v>29420</v>
      </c>
      <c r="V5" s="456"/>
      <c r="W5" s="516"/>
      <c r="X5" s="515"/>
      <c r="Z5" s="514" t="s">
        <v>361</v>
      </c>
      <c r="AA5" s="442">
        <v>29420</v>
      </c>
      <c r="AB5" s="456"/>
      <c r="AC5" s="516"/>
      <c r="AD5" s="515"/>
      <c r="AF5" s="514" t="s">
        <v>361</v>
      </c>
      <c r="AG5" s="442">
        <v>29420</v>
      </c>
      <c r="AH5" s="456"/>
      <c r="AI5" s="516"/>
      <c r="AJ5" s="515"/>
      <c r="AL5" s="514" t="s">
        <v>361</v>
      </c>
      <c r="AM5" s="442">
        <v>29420</v>
      </c>
      <c r="AN5" s="456"/>
      <c r="AO5" s="516"/>
      <c r="AP5" s="515"/>
      <c r="AS5" s="514" t="s">
        <v>361</v>
      </c>
      <c r="AT5" s="442">
        <v>32000</v>
      </c>
      <c r="AU5" s="456"/>
      <c r="AV5" s="516"/>
      <c r="AW5" s="515"/>
      <c r="BA5" s="517" t="s">
        <v>361</v>
      </c>
      <c r="BB5" s="442"/>
      <c r="BC5" s="456"/>
      <c r="BD5" s="516"/>
      <c r="BE5" s="518"/>
      <c r="BG5" s="517" t="s">
        <v>361</v>
      </c>
      <c r="BH5" s="442"/>
      <c r="BI5" s="456"/>
      <c r="BJ5" s="516"/>
      <c r="BK5" s="518"/>
      <c r="BM5" s="514" t="s">
        <v>361</v>
      </c>
      <c r="BN5" s="442">
        <v>70000</v>
      </c>
      <c r="BO5" s="456"/>
      <c r="BP5" s="516"/>
      <c r="BQ5" s="515"/>
      <c r="BS5" s="514" t="s">
        <v>361</v>
      </c>
      <c r="BT5" s="442">
        <v>22000</v>
      </c>
      <c r="BU5" s="456"/>
      <c r="BV5" s="516"/>
      <c r="BW5" s="515"/>
      <c r="BY5" s="514" t="s">
        <v>361</v>
      </c>
      <c r="BZ5" s="442">
        <v>22000</v>
      </c>
      <c r="CA5" s="456"/>
      <c r="CB5" s="516"/>
      <c r="CC5" s="515"/>
      <c r="CE5" s="514" t="s">
        <v>361</v>
      </c>
      <c r="CF5" s="442">
        <v>29420</v>
      </c>
      <c r="CG5" s="456"/>
      <c r="CH5" s="516"/>
      <c r="CI5" s="515"/>
      <c r="CK5" s="514" t="s">
        <v>361</v>
      </c>
      <c r="CL5" s="442">
        <v>33000</v>
      </c>
      <c r="CM5" s="456"/>
      <c r="CN5" s="516"/>
      <c r="CO5" s="515"/>
    </row>
    <row r="6" spans="2:93" ht="27" customHeight="1" x14ac:dyDescent="0.3">
      <c r="B6" s="519" t="s">
        <v>332</v>
      </c>
      <c r="C6" s="448">
        <f>工廠!H11</f>
        <v>29.4</v>
      </c>
      <c r="D6" s="454"/>
      <c r="E6" s="454"/>
      <c r="F6" s="520"/>
      <c r="H6" s="519" t="s">
        <v>363</v>
      </c>
      <c r="I6" s="448">
        <v>30</v>
      </c>
      <c r="J6" s="454"/>
      <c r="K6" s="521"/>
      <c r="L6" s="455"/>
      <c r="N6" s="519" t="s">
        <v>363</v>
      </c>
      <c r="O6" s="917" t="e">
        <f>#REF!</f>
        <v>#REF!</v>
      </c>
      <c r="P6" s="454"/>
      <c r="Q6" s="521"/>
      <c r="R6" s="455"/>
      <c r="T6" s="519" t="s">
        <v>363</v>
      </c>
      <c r="U6" s="448">
        <v>29.5</v>
      </c>
      <c r="V6" s="454"/>
      <c r="W6" s="521"/>
      <c r="X6" s="455"/>
      <c r="Z6" s="519" t="s">
        <v>363</v>
      </c>
      <c r="AA6" s="448">
        <v>30</v>
      </c>
      <c r="AB6" s="454"/>
      <c r="AC6" s="521"/>
      <c r="AD6" s="455"/>
      <c r="AF6" s="519" t="s">
        <v>363</v>
      </c>
      <c r="AG6" s="448">
        <v>30</v>
      </c>
      <c r="AH6" s="454"/>
      <c r="AI6" s="521"/>
      <c r="AJ6" s="455"/>
      <c r="AL6" s="519" t="s">
        <v>363</v>
      </c>
      <c r="AM6" s="448">
        <v>30</v>
      </c>
      <c r="AN6" s="454"/>
      <c r="AO6" s="521"/>
      <c r="AP6" s="455"/>
      <c r="AS6" s="519" t="s">
        <v>363</v>
      </c>
      <c r="AT6" s="448">
        <v>30</v>
      </c>
      <c r="AU6" s="454"/>
      <c r="AV6" s="521"/>
      <c r="AW6" s="455"/>
      <c r="BA6" s="521" t="s">
        <v>363</v>
      </c>
      <c r="BB6" s="442"/>
      <c r="BC6" s="454"/>
      <c r="BD6" s="521"/>
      <c r="BE6" s="442"/>
      <c r="BG6" s="521" t="s">
        <v>363</v>
      </c>
      <c r="BH6" s="442"/>
      <c r="BI6" s="454"/>
      <c r="BJ6" s="521"/>
      <c r="BK6" s="442"/>
      <c r="BM6" s="519" t="s">
        <v>363</v>
      </c>
      <c r="BN6" s="442">
        <v>31</v>
      </c>
      <c r="BO6" s="454"/>
      <c r="BP6" s="521"/>
      <c r="BQ6" s="455"/>
      <c r="BS6" s="519" t="s">
        <v>363</v>
      </c>
      <c r="BT6" s="442">
        <v>31</v>
      </c>
      <c r="BU6" s="454"/>
      <c r="BV6" s="521"/>
      <c r="BW6" s="455"/>
      <c r="BY6" s="519" t="s">
        <v>363</v>
      </c>
      <c r="BZ6" s="442">
        <v>31</v>
      </c>
      <c r="CA6" s="454"/>
      <c r="CB6" s="521"/>
      <c r="CC6" s="455"/>
      <c r="CE6" s="519" t="s">
        <v>363</v>
      </c>
      <c r="CF6" s="448" t="e">
        <f>#REF!</f>
        <v>#REF!</v>
      </c>
      <c r="CG6" s="454"/>
      <c r="CH6" s="521"/>
      <c r="CI6" s="455"/>
      <c r="CK6" s="519" t="s">
        <v>363</v>
      </c>
      <c r="CL6" s="448">
        <f>辦公室!D7</f>
        <v>21</v>
      </c>
      <c r="CM6" s="454"/>
      <c r="CN6" s="521"/>
      <c r="CO6" s="455"/>
    </row>
    <row r="7" spans="2:93" ht="27" customHeight="1" x14ac:dyDescent="0.3">
      <c r="B7" s="519" t="s">
        <v>110</v>
      </c>
      <c r="C7" s="453">
        <f>工廠!I11</f>
        <v>15680</v>
      </c>
      <c r="D7" s="454"/>
      <c r="E7" s="454"/>
      <c r="F7" s="520"/>
      <c r="H7" s="519" t="s">
        <v>110</v>
      </c>
      <c r="I7" s="453" t="e">
        <f>#REF!</f>
        <v>#REF!</v>
      </c>
      <c r="J7" s="454"/>
      <c r="K7" s="521"/>
      <c r="L7" s="455"/>
      <c r="N7" s="519" t="s">
        <v>110</v>
      </c>
      <c r="O7" s="453" t="e">
        <f>亦傑6月薪!E13</f>
        <v>#REF!</v>
      </c>
      <c r="P7" s="454"/>
      <c r="Q7" s="521"/>
      <c r="R7" s="455"/>
      <c r="T7" s="519" t="s">
        <v>110</v>
      </c>
      <c r="U7" s="453" t="e">
        <f>#REF!</f>
        <v>#REF!</v>
      </c>
      <c r="V7" s="454"/>
      <c r="W7" s="521"/>
      <c r="X7" s="455"/>
      <c r="Z7" s="519" t="s">
        <v>110</v>
      </c>
      <c r="AA7" s="453" t="e">
        <f>#REF!</f>
        <v>#REF!</v>
      </c>
      <c r="AB7" s="454"/>
      <c r="AC7" s="521"/>
      <c r="AD7" s="455"/>
      <c r="AF7" s="519" t="s">
        <v>110</v>
      </c>
      <c r="AG7" s="453" t="e">
        <f>#REF!</f>
        <v>#REF!</v>
      </c>
      <c r="AH7" s="454"/>
      <c r="AI7" s="521"/>
      <c r="AJ7" s="455"/>
      <c r="AL7" s="519" t="s">
        <v>110</v>
      </c>
      <c r="AM7" s="453" t="e">
        <f>#REF!</f>
        <v>#REF!</v>
      </c>
      <c r="AN7" s="454"/>
      <c r="AO7" s="521"/>
      <c r="AP7" s="455"/>
      <c r="AS7" s="519" t="s">
        <v>110</v>
      </c>
      <c r="AT7" s="453">
        <f>+AT5/30*AT6</f>
        <v>32000.000000000004</v>
      </c>
      <c r="AU7" s="454"/>
      <c r="AV7" s="521"/>
      <c r="AW7" s="455"/>
      <c r="BA7" s="521" t="s">
        <v>110</v>
      </c>
      <c r="BB7" s="453"/>
      <c r="BC7" s="454"/>
      <c r="BD7" s="521"/>
      <c r="BE7" s="442"/>
      <c r="BG7" s="521" t="s">
        <v>110</v>
      </c>
      <c r="BH7" s="453"/>
      <c r="BI7" s="454"/>
      <c r="BJ7" s="521"/>
      <c r="BK7" s="442"/>
      <c r="BM7" s="519" t="s">
        <v>110</v>
      </c>
      <c r="BN7" s="453">
        <v>70000</v>
      </c>
      <c r="BO7" s="454"/>
      <c r="BP7" s="521"/>
      <c r="BQ7" s="455"/>
      <c r="BS7" s="519" t="s">
        <v>110</v>
      </c>
      <c r="BT7" s="453">
        <v>22000</v>
      </c>
      <c r="BU7" s="454"/>
      <c r="BV7" s="521"/>
      <c r="BW7" s="455"/>
      <c r="BY7" s="519" t="s">
        <v>110</v>
      </c>
      <c r="BZ7" s="453">
        <v>22000</v>
      </c>
      <c r="CA7" s="454"/>
      <c r="CB7" s="521"/>
      <c r="CC7" s="455"/>
      <c r="CE7" s="519" t="s">
        <v>110</v>
      </c>
      <c r="CF7" s="453" t="e">
        <f>+CF5/30*CF6</f>
        <v>#REF!</v>
      </c>
      <c r="CG7" s="454"/>
      <c r="CH7" s="521"/>
      <c r="CI7" s="455"/>
      <c r="CK7" s="519" t="s">
        <v>110</v>
      </c>
      <c r="CL7" s="453">
        <f>+CL5/30*CL6</f>
        <v>23100</v>
      </c>
      <c r="CM7" s="454"/>
      <c r="CN7" s="521"/>
      <c r="CO7" s="455"/>
    </row>
    <row r="8" spans="2:93" ht="27" customHeight="1" x14ac:dyDescent="0.3">
      <c r="B8" s="519" t="s">
        <v>335</v>
      </c>
      <c r="C8" s="453">
        <v>500</v>
      </c>
      <c r="D8" s="454"/>
      <c r="E8" s="454"/>
      <c r="F8" s="520"/>
      <c r="H8" s="519" t="s">
        <v>335</v>
      </c>
      <c r="I8" s="459">
        <v>1000</v>
      </c>
      <c r="J8" s="454"/>
      <c r="K8" s="521"/>
      <c r="L8" s="455"/>
      <c r="N8" s="519" t="s">
        <v>335</v>
      </c>
      <c r="O8" s="453" t="e">
        <f>亦傑6月薪!F13</f>
        <v>#REF!</v>
      </c>
      <c r="P8" s="454"/>
      <c r="Q8" s="521"/>
      <c r="R8" s="455"/>
      <c r="T8" s="519" t="s">
        <v>335</v>
      </c>
      <c r="U8" s="453">
        <v>1000</v>
      </c>
      <c r="V8" s="454"/>
      <c r="W8" s="521"/>
      <c r="X8" s="455"/>
      <c r="Z8" s="519" t="s">
        <v>335</v>
      </c>
      <c r="AA8" s="453" t="e">
        <f>#REF!</f>
        <v>#REF!</v>
      </c>
      <c r="AB8" s="454"/>
      <c r="AC8" s="521"/>
      <c r="AD8" s="455"/>
      <c r="AF8" s="519" t="s">
        <v>335</v>
      </c>
      <c r="AG8" s="453">
        <v>1000</v>
      </c>
      <c r="AH8" s="454"/>
      <c r="AI8" s="521"/>
      <c r="AJ8" s="455"/>
      <c r="AL8" s="519" t="s">
        <v>335</v>
      </c>
      <c r="AM8" s="453" t="e">
        <f>#REF!</f>
        <v>#REF!</v>
      </c>
      <c r="AN8" s="454"/>
      <c r="AO8" s="521"/>
      <c r="AP8" s="455"/>
      <c r="AS8" s="519"/>
      <c r="AT8" s="458"/>
      <c r="AU8" s="454"/>
      <c r="AV8" s="521"/>
      <c r="AW8" s="455"/>
      <c r="BA8" s="521" t="s">
        <v>335</v>
      </c>
      <c r="BB8" s="453"/>
      <c r="BC8" s="454"/>
      <c r="BD8" s="521"/>
      <c r="BE8" s="442"/>
      <c r="BG8" s="521" t="s">
        <v>335</v>
      </c>
      <c r="BH8" s="453"/>
      <c r="BI8" s="454"/>
      <c r="BJ8" s="521"/>
      <c r="BK8" s="442"/>
      <c r="BM8" s="523"/>
      <c r="BN8" s="490"/>
      <c r="BO8" s="454"/>
      <c r="BP8" s="521"/>
      <c r="BQ8" s="455"/>
      <c r="BS8" s="519"/>
      <c r="BT8" s="459"/>
      <c r="BU8" s="454"/>
      <c r="BV8" s="521"/>
      <c r="BW8" s="455"/>
      <c r="BY8" s="519"/>
      <c r="BZ8" s="458"/>
      <c r="CA8" s="454"/>
      <c r="CB8" s="521"/>
      <c r="CC8" s="455"/>
      <c r="CE8" s="519" t="s">
        <v>335</v>
      </c>
      <c r="CF8" s="453" t="e">
        <f>#REF!</f>
        <v>#REF!</v>
      </c>
      <c r="CG8" s="454"/>
      <c r="CH8" s="521"/>
      <c r="CI8" s="455"/>
      <c r="CK8" s="519" t="s">
        <v>335</v>
      </c>
      <c r="CL8" s="453" t="e">
        <f>#REF!</f>
        <v>#REF!</v>
      </c>
      <c r="CM8" s="454"/>
      <c r="CN8" s="521"/>
      <c r="CO8" s="455"/>
    </row>
    <row r="9" spans="2:93" ht="27" customHeight="1" x14ac:dyDescent="0.3">
      <c r="B9" s="519" t="s">
        <v>337</v>
      </c>
      <c r="C9" s="453">
        <f>亦傑6月薪!G11</f>
        <v>1568</v>
      </c>
      <c r="D9" s="1587" t="s">
        <v>364</v>
      </c>
      <c r="E9" s="1588"/>
      <c r="F9" s="1589"/>
      <c r="H9" s="519" t="s">
        <v>337</v>
      </c>
      <c r="I9" s="453" t="e">
        <f>#REF!</f>
        <v>#REF!</v>
      </c>
      <c r="J9" s="1587" t="s">
        <v>365</v>
      </c>
      <c r="K9" s="1588"/>
      <c r="L9" s="1589"/>
      <c r="N9" s="519" t="s">
        <v>337</v>
      </c>
      <c r="O9" s="453" t="e">
        <f>亦傑6月薪!G13</f>
        <v>#REF!</v>
      </c>
      <c r="P9" s="1587" t="s">
        <v>365</v>
      </c>
      <c r="Q9" s="1588"/>
      <c r="R9" s="1589"/>
      <c r="T9" s="519" t="s">
        <v>337</v>
      </c>
      <c r="U9" s="453">
        <v>2000</v>
      </c>
      <c r="V9" s="1587" t="s">
        <v>365</v>
      </c>
      <c r="W9" s="1588"/>
      <c r="X9" s="1589"/>
      <c r="Z9" s="519" t="s">
        <v>337</v>
      </c>
      <c r="AA9" s="453" t="e">
        <f>#REF!</f>
        <v>#REF!</v>
      </c>
      <c r="AB9" s="1587" t="s">
        <v>365</v>
      </c>
      <c r="AC9" s="1588"/>
      <c r="AD9" s="1589"/>
      <c r="AF9" s="519" t="s">
        <v>337</v>
      </c>
      <c r="AG9" s="453">
        <v>2000</v>
      </c>
      <c r="AH9" s="1587" t="s">
        <v>365</v>
      </c>
      <c r="AI9" s="1588"/>
      <c r="AJ9" s="1589"/>
      <c r="AL9" s="519" t="s">
        <v>337</v>
      </c>
      <c r="AM9" s="453" t="e">
        <f>#REF!</f>
        <v>#REF!</v>
      </c>
      <c r="AN9" s="1587" t="s">
        <v>365</v>
      </c>
      <c r="AO9" s="1588"/>
      <c r="AP9" s="1589"/>
      <c r="AS9" s="525" t="s">
        <v>337</v>
      </c>
      <c r="AT9" s="453">
        <f>2000/30*AT6</f>
        <v>2000.0000000000002</v>
      </c>
      <c r="AU9" s="1587" t="s">
        <v>365</v>
      </c>
      <c r="AV9" s="1588"/>
      <c r="AW9" s="1589"/>
      <c r="BA9" s="521" t="s">
        <v>337</v>
      </c>
      <c r="BB9" s="453"/>
      <c r="BC9" s="1587" t="s">
        <v>365</v>
      </c>
      <c r="BD9" s="1588"/>
      <c r="BE9" s="1598"/>
      <c r="BG9" s="521" t="s">
        <v>337</v>
      </c>
      <c r="BH9" s="453"/>
      <c r="BI9" s="1587" t="s">
        <v>365</v>
      </c>
      <c r="BJ9" s="1588"/>
      <c r="BK9" s="1598"/>
      <c r="BM9" s="519"/>
      <c r="BN9" s="459"/>
      <c r="BO9" s="454"/>
      <c r="BP9" s="521"/>
      <c r="BQ9" s="455"/>
      <c r="BS9" s="519" t="s">
        <v>337</v>
      </c>
      <c r="BT9" s="453">
        <v>3000</v>
      </c>
      <c r="BU9" s="454"/>
      <c r="BV9" s="521"/>
      <c r="BW9" s="455"/>
      <c r="BY9" s="525" t="s">
        <v>337</v>
      </c>
      <c r="BZ9" s="453"/>
      <c r="CA9" s="1587" t="s">
        <v>365</v>
      </c>
      <c r="CB9" s="1588"/>
      <c r="CC9" s="1589"/>
      <c r="CE9" s="519" t="s">
        <v>337</v>
      </c>
      <c r="CF9" s="453">
        <v>1733</v>
      </c>
      <c r="CG9" s="1587" t="s">
        <v>365</v>
      </c>
      <c r="CH9" s="1588"/>
      <c r="CI9" s="1589"/>
      <c r="CK9" s="519" t="s">
        <v>337</v>
      </c>
      <c r="CL9" s="453">
        <v>0</v>
      </c>
      <c r="CM9" s="1587" t="s">
        <v>365</v>
      </c>
      <c r="CN9" s="1588"/>
      <c r="CO9" s="1589"/>
    </row>
    <row r="10" spans="2:93" ht="29.25" customHeight="1" x14ac:dyDescent="0.3">
      <c r="B10" s="519" t="s">
        <v>336</v>
      </c>
      <c r="C10" s="453">
        <f>亦傑6月薪!I11</f>
        <v>1960</v>
      </c>
      <c r="D10" s="526" t="s">
        <v>360</v>
      </c>
      <c r="E10" s="526" t="s">
        <v>362</v>
      </c>
      <c r="F10" s="527" t="s">
        <v>366</v>
      </c>
      <c r="H10" s="529"/>
      <c r="I10" s="494">
        <v>0</v>
      </c>
      <c r="J10" s="526" t="s">
        <v>360</v>
      </c>
      <c r="K10" s="526" t="s">
        <v>362</v>
      </c>
      <c r="L10" s="528" t="s">
        <v>366</v>
      </c>
      <c r="N10" s="519"/>
      <c r="O10" s="442"/>
      <c r="P10" s="526" t="s">
        <v>360</v>
      </c>
      <c r="Q10" s="526" t="s">
        <v>362</v>
      </c>
      <c r="R10" s="528" t="s">
        <v>366</v>
      </c>
      <c r="T10" s="529"/>
      <c r="U10" s="490"/>
      <c r="V10" s="526" t="s">
        <v>360</v>
      </c>
      <c r="W10" s="526" t="s">
        <v>362</v>
      </c>
      <c r="X10" s="528" t="s">
        <v>366</v>
      </c>
      <c r="Z10" s="519"/>
      <c r="AA10" s="442"/>
      <c r="AB10" s="526" t="s">
        <v>360</v>
      </c>
      <c r="AC10" s="526" t="s">
        <v>362</v>
      </c>
      <c r="AD10" s="528" t="s">
        <v>366</v>
      </c>
      <c r="AF10" s="519"/>
      <c r="AG10" s="442"/>
      <c r="AH10" s="526" t="s">
        <v>360</v>
      </c>
      <c r="AI10" s="526" t="s">
        <v>362</v>
      </c>
      <c r="AJ10" s="528" t="s">
        <v>366</v>
      </c>
      <c r="AL10" s="519"/>
      <c r="AM10" s="442"/>
      <c r="AN10" s="526" t="s">
        <v>360</v>
      </c>
      <c r="AO10" s="526" t="s">
        <v>362</v>
      </c>
      <c r="AP10" s="528" t="s">
        <v>366</v>
      </c>
      <c r="AS10" s="1128"/>
      <c r="AT10" s="459"/>
      <c r="AU10" s="526" t="s">
        <v>360</v>
      </c>
      <c r="AV10" s="526" t="s">
        <v>362</v>
      </c>
      <c r="AW10" s="528" t="s">
        <v>366</v>
      </c>
      <c r="AX10" s="462"/>
      <c r="AY10" s="462"/>
      <c r="BA10" s="518"/>
      <c r="BB10" s="459"/>
      <c r="BC10" s="526" t="s">
        <v>360</v>
      </c>
      <c r="BD10" s="526" t="s">
        <v>362</v>
      </c>
      <c r="BE10" s="530" t="s">
        <v>366</v>
      </c>
      <c r="BG10" s="518"/>
      <c r="BH10" s="459"/>
      <c r="BI10" s="526" t="s">
        <v>360</v>
      </c>
      <c r="BJ10" s="526" t="s">
        <v>362</v>
      </c>
      <c r="BK10" s="530" t="s">
        <v>366</v>
      </c>
      <c r="BM10" s="529"/>
      <c r="BN10" s="459"/>
      <c r="BO10" s="454"/>
      <c r="BP10" s="521"/>
      <c r="BQ10" s="455"/>
      <c r="BS10" s="529" t="s">
        <v>367</v>
      </c>
      <c r="BT10" s="459">
        <v>10000</v>
      </c>
      <c r="BU10" s="454"/>
      <c r="BV10" s="521"/>
      <c r="BW10" s="455"/>
      <c r="BY10" s="531"/>
      <c r="BZ10" s="459"/>
      <c r="CA10" s="526" t="s">
        <v>360</v>
      </c>
      <c r="CB10" s="526" t="s">
        <v>362</v>
      </c>
      <c r="CC10" s="528" t="s">
        <v>366</v>
      </c>
      <c r="CE10" s="519"/>
      <c r="CF10" s="442"/>
      <c r="CG10" s="526" t="s">
        <v>360</v>
      </c>
      <c r="CH10" s="526" t="s">
        <v>362</v>
      </c>
      <c r="CI10" s="528" t="s">
        <v>366</v>
      </c>
      <c r="CK10" s="519"/>
      <c r="CL10" s="442"/>
      <c r="CM10" s="526" t="s">
        <v>360</v>
      </c>
      <c r="CN10" s="526" t="s">
        <v>362</v>
      </c>
      <c r="CO10" s="528" t="s">
        <v>366</v>
      </c>
    </row>
    <row r="11" spans="2:93" ht="27" customHeight="1" x14ac:dyDescent="0.3">
      <c r="B11" s="519" t="s">
        <v>368</v>
      </c>
      <c r="C11" s="522">
        <f>亦傑6月薪!H11</f>
        <v>952.38095238095241</v>
      </c>
      <c r="D11" s="454">
        <v>210</v>
      </c>
      <c r="E11" s="454"/>
      <c r="F11" s="489"/>
      <c r="H11" s="519"/>
      <c r="I11" s="442"/>
      <c r="J11" s="454">
        <v>218</v>
      </c>
      <c r="K11" s="454" t="e">
        <f>#REF!</f>
        <v>#REF!</v>
      </c>
      <c r="L11" s="489" t="e">
        <f>+K11*J11</f>
        <v>#REF!</v>
      </c>
      <c r="N11" s="519"/>
      <c r="O11" s="442"/>
      <c r="P11" s="454">
        <v>218</v>
      </c>
      <c r="Q11" s="454" t="e">
        <f>#REF!</f>
        <v>#REF!</v>
      </c>
      <c r="R11" s="489" t="e">
        <f>+Q11*P11</f>
        <v>#REF!</v>
      </c>
      <c r="T11" s="519"/>
      <c r="U11" s="442"/>
      <c r="V11" s="454">
        <v>218</v>
      </c>
      <c r="W11" s="454" t="e">
        <f>#REF!</f>
        <v>#REF!</v>
      </c>
      <c r="X11" s="489" t="e">
        <f>+W11*V11</f>
        <v>#REF!</v>
      </c>
      <c r="Z11" s="519"/>
      <c r="AA11" s="442"/>
      <c r="AB11" s="454">
        <v>218</v>
      </c>
      <c r="AC11" s="454">
        <v>42</v>
      </c>
      <c r="AD11" s="489">
        <f>+AC11*AB11</f>
        <v>9156</v>
      </c>
      <c r="AF11" s="519"/>
      <c r="AG11" s="442"/>
      <c r="AH11" s="454">
        <v>218</v>
      </c>
      <c r="AI11" s="454" t="e">
        <f>#REF!</f>
        <v>#REF!</v>
      </c>
      <c r="AJ11" s="489" t="e">
        <f>+AI11*AH11</f>
        <v>#REF!</v>
      </c>
      <c r="AL11" s="519"/>
      <c r="AM11" s="442"/>
      <c r="AN11" s="454">
        <v>218</v>
      </c>
      <c r="AO11" s="454" t="e">
        <f>#REF!</f>
        <v>#REF!</v>
      </c>
      <c r="AP11" s="489" t="e">
        <f>+AO11*AN11</f>
        <v>#REF!</v>
      </c>
      <c r="AS11" s="532"/>
      <c r="AT11" s="442"/>
      <c r="AU11" s="454"/>
      <c r="AV11" s="454"/>
      <c r="AW11" s="520"/>
      <c r="AX11" s="462"/>
      <c r="AY11" s="462"/>
      <c r="BA11" s="521"/>
      <c r="BB11" s="442"/>
      <c r="BC11" s="454"/>
      <c r="BD11" s="454"/>
      <c r="BE11" s="453">
        <f>+BD11*BC11</f>
        <v>0</v>
      </c>
      <c r="BG11" s="521"/>
      <c r="BH11" s="442"/>
      <c r="BI11" s="454"/>
      <c r="BJ11" s="454"/>
      <c r="BK11" s="453">
        <f>+BJ11*BI11</f>
        <v>0</v>
      </c>
      <c r="BM11" s="519"/>
      <c r="BN11" s="442"/>
      <c r="BO11" s="454"/>
      <c r="BP11" s="454"/>
      <c r="BQ11" s="455"/>
      <c r="BS11" s="519"/>
      <c r="BT11" s="442"/>
      <c r="BU11" s="454"/>
      <c r="BV11" s="454"/>
      <c r="BW11" s="455"/>
      <c r="BY11" s="532"/>
      <c r="BZ11" s="442"/>
      <c r="CA11" s="454"/>
      <c r="CB11" s="454"/>
      <c r="CC11" s="489">
        <f>+CB11*CA11</f>
        <v>0</v>
      </c>
      <c r="CE11" s="519"/>
      <c r="CF11" s="442"/>
      <c r="CG11" s="454">
        <v>218</v>
      </c>
      <c r="CH11" s="454"/>
      <c r="CI11" s="489">
        <f>+CH11*CG11</f>
        <v>0</v>
      </c>
      <c r="CK11" s="519"/>
      <c r="CL11" s="442"/>
      <c r="CM11" s="454"/>
      <c r="CN11" s="454"/>
      <c r="CO11" s="489">
        <f>+CN11*CM11</f>
        <v>0</v>
      </c>
    </row>
    <row r="12" spans="2:93" ht="27" customHeight="1" x14ac:dyDescent="0.3">
      <c r="B12" s="519"/>
      <c r="C12" s="459">
        <v>0</v>
      </c>
      <c r="D12" s="454"/>
      <c r="E12" s="454"/>
      <c r="F12" s="455"/>
      <c r="H12" s="497"/>
      <c r="I12" s="442"/>
      <c r="J12" s="454">
        <v>268</v>
      </c>
      <c r="K12" s="454"/>
      <c r="L12" s="489">
        <f>+K12*J12</f>
        <v>0</v>
      </c>
      <c r="N12" s="497"/>
      <c r="O12" s="442"/>
      <c r="P12" s="454">
        <v>268</v>
      </c>
      <c r="Q12" s="454">
        <v>0</v>
      </c>
      <c r="R12" s="489">
        <f>+Q12*P12</f>
        <v>0</v>
      </c>
      <c r="T12" s="497"/>
      <c r="U12" s="442"/>
      <c r="V12" s="454">
        <v>268</v>
      </c>
      <c r="W12" s="454"/>
      <c r="X12" s="489">
        <f>+W12*V12</f>
        <v>0</v>
      </c>
      <c r="Z12" s="497"/>
      <c r="AA12" s="442"/>
      <c r="AB12" s="454">
        <v>268</v>
      </c>
      <c r="AC12" s="454"/>
      <c r="AD12" s="489">
        <f>+AC12*AB12</f>
        <v>0</v>
      </c>
      <c r="AF12" s="497"/>
      <c r="AG12" s="442"/>
      <c r="AH12" s="454">
        <v>268</v>
      </c>
      <c r="AI12" s="454"/>
      <c r="AJ12" s="489">
        <f>+AI12*AH12</f>
        <v>0</v>
      </c>
      <c r="AL12" s="497"/>
      <c r="AM12" s="442"/>
      <c r="AN12" s="454">
        <v>268</v>
      </c>
      <c r="AO12" s="454"/>
      <c r="AP12" s="489">
        <f>+AO12*AN12</f>
        <v>0</v>
      </c>
      <c r="AS12" s="497"/>
      <c r="AT12" s="442"/>
      <c r="AU12" s="454"/>
      <c r="AV12" s="454"/>
      <c r="AW12" s="455"/>
      <c r="BA12" s="516"/>
      <c r="BB12" s="442"/>
      <c r="BC12" s="454"/>
      <c r="BD12" s="454"/>
      <c r="BE12" s="442"/>
      <c r="BG12" s="516"/>
      <c r="BH12" s="442"/>
      <c r="BI12" s="454"/>
      <c r="BJ12" s="454"/>
      <c r="BK12" s="442"/>
      <c r="BM12" s="497"/>
      <c r="BN12" s="442"/>
      <c r="BO12" s="454"/>
      <c r="BP12" s="454"/>
      <c r="BQ12" s="455"/>
      <c r="BS12" s="497"/>
      <c r="BT12" s="442"/>
      <c r="BU12" s="454"/>
      <c r="BV12" s="454"/>
      <c r="BW12" s="455"/>
      <c r="BY12" s="497"/>
      <c r="BZ12" s="442"/>
      <c r="CA12" s="454"/>
      <c r="CB12" s="454"/>
      <c r="CC12" s="455"/>
      <c r="CE12" s="497"/>
      <c r="CF12" s="442"/>
      <c r="CG12" s="454">
        <v>268</v>
      </c>
      <c r="CH12" s="454"/>
      <c r="CI12" s="489">
        <f>+CH12*CG12</f>
        <v>0</v>
      </c>
      <c r="CK12" s="497"/>
      <c r="CL12" s="442"/>
      <c r="CM12" s="454"/>
      <c r="CN12" s="454"/>
      <c r="CO12" s="489">
        <f>+CN12*CM12</f>
        <v>0</v>
      </c>
    </row>
    <row r="13" spans="2:93" ht="27" customHeight="1" x14ac:dyDescent="0.3">
      <c r="B13" s="519"/>
      <c r="C13" s="459"/>
      <c r="D13" s="454"/>
      <c r="E13" s="454"/>
      <c r="F13" s="455"/>
      <c r="H13" s="497"/>
      <c r="I13" s="442"/>
      <c r="J13" s="454"/>
      <c r="K13" s="454"/>
      <c r="L13" s="489"/>
      <c r="N13" s="497"/>
      <c r="O13" s="442"/>
      <c r="P13" s="454"/>
      <c r="Q13" s="454"/>
      <c r="R13" s="489"/>
      <c r="T13" s="497"/>
      <c r="U13" s="442"/>
      <c r="V13" s="454"/>
      <c r="W13" s="454"/>
      <c r="X13" s="489"/>
      <c r="Z13" s="497"/>
      <c r="AA13" s="442"/>
      <c r="AB13" s="454"/>
      <c r="AC13" s="454"/>
      <c r="AD13" s="489"/>
      <c r="AF13" s="497"/>
      <c r="AG13" s="442"/>
      <c r="AH13" s="454"/>
      <c r="AI13" s="454"/>
      <c r="AJ13" s="489"/>
      <c r="AL13" s="497"/>
      <c r="AM13" s="442"/>
      <c r="AN13" s="454">
        <v>260</v>
      </c>
      <c r="AO13" s="454" t="e">
        <f>#REF!</f>
        <v>#REF!</v>
      </c>
      <c r="AP13" s="489" t="e">
        <f>+AO13*AN13</f>
        <v>#REF!</v>
      </c>
      <c r="AS13" s="497"/>
      <c r="AT13" s="442"/>
      <c r="AU13" s="454"/>
      <c r="AV13" s="454"/>
      <c r="AW13" s="455"/>
      <c r="BA13" s="516"/>
      <c r="BB13" s="442"/>
      <c r="BC13" s="454"/>
      <c r="BD13" s="454"/>
      <c r="BE13" s="442"/>
      <c r="BG13" s="516"/>
      <c r="BH13" s="442"/>
      <c r="BI13" s="454"/>
      <c r="BJ13" s="454"/>
      <c r="BK13" s="442"/>
      <c r="BM13" s="497"/>
      <c r="BN13" s="442"/>
      <c r="BO13" s="454"/>
      <c r="BP13" s="454"/>
      <c r="BQ13" s="455"/>
      <c r="BS13" s="497"/>
      <c r="BT13" s="442"/>
      <c r="BU13" s="454"/>
      <c r="BV13" s="454"/>
      <c r="BW13" s="455"/>
      <c r="BY13" s="497"/>
      <c r="BZ13" s="442"/>
      <c r="CA13" s="454"/>
      <c r="CB13" s="454"/>
      <c r="CC13" s="455"/>
      <c r="CE13" s="497"/>
      <c r="CF13" s="442"/>
      <c r="CG13" s="454"/>
      <c r="CH13" s="454"/>
      <c r="CI13" s="489"/>
      <c r="CK13" s="497"/>
      <c r="CL13" s="442"/>
      <c r="CM13" s="454"/>
      <c r="CN13" s="454"/>
      <c r="CO13" s="489"/>
    </row>
    <row r="14" spans="2:93" ht="27" customHeight="1" x14ac:dyDescent="0.3">
      <c r="B14" s="533"/>
      <c r="C14" s="488"/>
      <c r="D14" s="496"/>
      <c r="E14" s="454"/>
      <c r="F14" s="520"/>
      <c r="H14" s="497"/>
      <c r="I14" s="459"/>
      <c r="J14" s="454"/>
      <c r="K14" s="454"/>
      <c r="L14" s="520"/>
      <c r="N14" s="497"/>
      <c r="O14" s="459"/>
      <c r="P14" s="454"/>
      <c r="Q14" s="454"/>
      <c r="R14" s="520"/>
      <c r="T14" s="497"/>
      <c r="U14" s="459"/>
      <c r="V14" s="454"/>
      <c r="W14" s="454"/>
      <c r="X14" s="520"/>
      <c r="Z14" s="497"/>
      <c r="AA14" s="459"/>
      <c r="AB14" s="454"/>
      <c r="AC14" s="454"/>
      <c r="AD14" s="520"/>
      <c r="AF14" s="497"/>
      <c r="AG14" s="459"/>
      <c r="AH14" s="454"/>
      <c r="AI14" s="454"/>
      <c r="AJ14" s="520"/>
      <c r="AL14" s="497"/>
      <c r="AM14" s="459"/>
      <c r="AN14" s="454">
        <v>270</v>
      </c>
      <c r="AO14" s="454" t="e">
        <f>#REF!</f>
        <v>#REF!</v>
      </c>
      <c r="AP14" s="489" t="e">
        <f>+AO14*AN14</f>
        <v>#REF!</v>
      </c>
      <c r="AS14" s="497"/>
      <c r="AT14" s="459"/>
      <c r="AU14" s="454"/>
      <c r="AV14" s="454"/>
      <c r="AW14" s="520"/>
      <c r="BA14" s="516"/>
      <c r="BB14" s="459"/>
      <c r="BC14" s="454"/>
      <c r="BD14" s="454"/>
      <c r="BE14" s="459"/>
      <c r="BG14" s="516"/>
      <c r="BH14" s="459"/>
      <c r="BI14" s="454"/>
      <c r="BJ14" s="454"/>
      <c r="BK14" s="459"/>
      <c r="BM14" s="497"/>
      <c r="BN14" s="459"/>
      <c r="BO14" s="454"/>
      <c r="BP14" s="454"/>
      <c r="BQ14" s="520"/>
      <c r="BS14" s="497"/>
      <c r="BT14" s="459"/>
      <c r="BU14" s="454"/>
      <c r="BV14" s="454"/>
      <c r="BW14" s="520"/>
      <c r="BY14" s="497"/>
      <c r="BZ14" s="459"/>
      <c r="CA14" s="454"/>
      <c r="CB14" s="454"/>
      <c r="CC14" s="520"/>
      <c r="CE14" s="497"/>
      <c r="CF14" s="459"/>
      <c r="CG14" s="454"/>
      <c r="CH14" s="454"/>
      <c r="CI14" s="520"/>
      <c r="CK14" s="497"/>
      <c r="CL14" s="459"/>
      <c r="CM14" s="454"/>
      <c r="CN14" s="454"/>
      <c r="CO14" s="520"/>
    </row>
    <row r="15" spans="2:93" ht="27" customHeight="1" thickBot="1" x14ac:dyDescent="0.35">
      <c r="B15" s="534" t="s">
        <v>341</v>
      </c>
      <c r="C15" s="1630">
        <f>SUM(C7:C12,F11)</f>
        <v>20660.380952380954</v>
      </c>
      <c r="D15" s="1631"/>
      <c r="E15" s="1631"/>
      <c r="F15" s="1632"/>
      <c r="H15" s="534" t="s">
        <v>341</v>
      </c>
      <c r="I15" s="1476" t="e">
        <f>SUM(I7:I10)+L11+L12</f>
        <v>#REF!</v>
      </c>
      <c r="J15" s="1477"/>
      <c r="K15" s="1477"/>
      <c r="L15" s="1478"/>
      <c r="N15" s="534" t="s">
        <v>341</v>
      </c>
      <c r="O15" s="1476" t="e">
        <f>SUM(O7:O10)+R11+R12</f>
        <v>#REF!</v>
      </c>
      <c r="P15" s="1477"/>
      <c r="Q15" s="1477"/>
      <c r="R15" s="1478"/>
      <c r="T15" s="534" t="s">
        <v>341</v>
      </c>
      <c r="U15" s="1476" t="e">
        <f>SUM(U7:U10)+X11+X12</f>
        <v>#REF!</v>
      </c>
      <c r="V15" s="1477"/>
      <c r="W15" s="1477"/>
      <c r="X15" s="1478"/>
      <c r="Z15" s="534" t="s">
        <v>341</v>
      </c>
      <c r="AA15" s="1476" t="e">
        <f>SUM(AA7:AA10)+AD11+AD12</f>
        <v>#REF!</v>
      </c>
      <c r="AB15" s="1477"/>
      <c r="AC15" s="1477"/>
      <c r="AD15" s="1478"/>
      <c r="AF15" s="534" t="s">
        <v>341</v>
      </c>
      <c r="AG15" s="1476" t="e">
        <f>SUM(AG7:AG10)+AJ11+AJ12</f>
        <v>#REF!</v>
      </c>
      <c r="AH15" s="1477"/>
      <c r="AI15" s="1477"/>
      <c r="AJ15" s="1478"/>
      <c r="AL15" s="534" t="s">
        <v>341</v>
      </c>
      <c r="AM15" s="1476" t="e">
        <f>SUM(AM7:AM10)+AP11+AP12+AP13+AP14</f>
        <v>#REF!</v>
      </c>
      <c r="AN15" s="1477"/>
      <c r="AO15" s="1477"/>
      <c r="AP15" s="1478"/>
      <c r="AS15" s="534" t="s">
        <v>341</v>
      </c>
      <c r="AT15" s="1476">
        <f>SUM(AT7:AT10,AW11)</f>
        <v>34000.000000000007</v>
      </c>
      <c r="AU15" s="1477"/>
      <c r="AV15" s="1477"/>
      <c r="AW15" s="1478"/>
      <c r="BA15" s="535" t="s">
        <v>341</v>
      </c>
      <c r="BB15" s="1476">
        <f>SUM(BB7:BB9,BE11)</f>
        <v>0</v>
      </c>
      <c r="BC15" s="1477"/>
      <c r="BD15" s="1477"/>
      <c r="BE15" s="1620"/>
      <c r="BG15" s="535" t="s">
        <v>341</v>
      </c>
      <c r="BH15" s="1476">
        <f>SUM(BH7:BH9,BK11)</f>
        <v>0</v>
      </c>
      <c r="BI15" s="1477"/>
      <c r="BJ15" s="1477"/>
      <c r="BK15" s="1620"/>
      <c r="BM15" s="534" t="s">
        <v>341</v>
      </c>
      <c r="BN15" s="1476">
        <f>SUM(BN7:BN9,BQ11)</f>
        <v>70000</v>
      </c>
      <c r="BO15" s="1477"/>
      <c r="BP15" s="1477"/>
      <c r="BQ15" s="1478"/>
      <c r="BS15" s="534" t="s">
        <v>341</v>
      </c>
      <c r="BT15" s="1476">
        <f>SUM(BT7:BT10,BW11)</f>
        <v>35000</v>
      </c>
      <c r="BU15" s="1477"/>
      <c r="BV15" s="1477"/>
      <c r="BW15" s="1478"/>
      <c r="BY15" s="534" t="s">
        <v>341</v>
      </c>
      <c r="BZ15" s="1476">
        <f>SUM(BZ7:BZ10,CC11)</f>
        <v>22000</v>
      </c>
      <c r="CA15" s="1477"/>
      <c r="CB15" s="1477"/>
      <c r="CC15" s="1478"/>
      <c r="CE15" s="534" t="s">
        <v>341</v>
      </c>
      <c r="CF15" s="1476" t="e">
        <f>SUM(CF7:CF10)+CI11+CI12</f>
        <v>#REF!</v>
      </c>
      <c r="CG15" s="1477"/>
      <c r="CH15" s="1477"/>
      <c r="CI15" s="1478"/>
      <c r="CK15" s="534" t="s">
        <v>341</v>
      </c>
      <c r="CL15" s="1476" t="e">
        <f>SUM(CL7:CL10)+CO11+CO12</f>
        <v>#REF!</v>
      </c>
      <c r="CM15" s="1477"/>
      <c r="CN15" s="1477"/>
      <c r="CO15" s="1478"/>
    </row>
    <row r="16" spans="2:93" ht="27" customHeight="1" thickTop="1" x14ac:dyDescent="0.3">
      <c r="B16" s="1590" t="s">
        <v>342</v>
      </c>
      <c r="C16" s="1591"/>
      <c r="D16" s="1591"/>
      <c r="E16" s="1591"/>
      <c r="F16" s="1592"/>
      <c r="H16" s="1590" t="s">
        <v>342</v>
      </c>
      <c r="I16" s="1591"/>
      <c r="J16" s="1591"/>
      <c r="K16" s="1591"/>
      <c r="L16" s="1592"/>
      <c r="N16" s="1590" t="s">
        <v>342</v>
      </c>
      <c r="O16" s="1591"/>
      <c r="P16" s="1591"/>
      <c r="Q16" s="1591"/>
      <c r="R16" s="1592"/>
      <c r="T16" s="1590" t="s">
        <v>342</v>
      </c>
      <c r="U16" s="1591"/>
      <c r="V16" s="1591"/>
      <c r="W16" s="1591"/>
      <c r="X16" s="1592"/>
      <c r="Z16" s="1590" t="s">
        <v>342</v>
      </c>
      <c r="AA16" s="1591"/>
      <c r="AB16" s="1591"/>
      <c r="AC16" s="1591"/>
      <c r="AD16" s="1592"/>
      <c r="AF16" s="1590" t="s">
        <v>342</v>
      </c>
      <c r="AG16" s="1591"/>
      <c r="AH16" s="1591"/>
      <c r="AI16" s="1591"/>
      <c r="AJ16" s="1592"/>
      <c r="AL16" s="1590" t="s">
        <v>342</v>
      </c>
      <c r="AM16" s="1591"/>
      <c r="AN16" s="1591"/>
      <c r="AO16" s="1591"/>
      <c r="AP16" s="1592"/>
      <c r="AS16" s="1590" t="s">
        <v>342</v>
      </c>
      <c r="AT16" s="1591"/>
      <c r="AU16" s="1591"/>
      <c r="AV16" s="1591"/>
      <c r="AW16" s="1592"/>
      <c r="BA16" s="1611" t="s">
        <v>342</v>
      </c>
      <c r="BB16" s="1591"/>
      <c r="BC16" s="1591"/>
      <c r="BD16" s="1591"/>
      <c r="BE16" s="1612"/>
      <c r="BG16" s="1611" t="s">
        <v>342</v>
      </c>
      <c r="BH16" s="1591"/>
      <c r="BI16" s="1591"/>
      <c r="BJ16" s="1591"/>
      <c r="BK16" s="1612"/>
      <c r="BM16" s="1590" t="s">
        <v>342</v>
      </c>
      <c r="BN16" s="1591"/>
      <c r="BO16" s="1591"/>
      <c r="BP16" s="1591"/>
      <c r="BQ16" s="1592"/>
      <c r="BS16" s="1590" t="s">
        <v>342</v>
      </c>
      <c r="BT16" s="1591"/>
      <c r="BU16" s="1591"/>
      <c r="BV16" s="1591"/>
      <c r="BW16" s="1592"/>
      <c r="BY16" s="1590" t="s">
        <v>342</v>
      </c>
      <c r="BZ16" s="1591"/>
      <c r="CA16" s="1591"/>
      <c r="CB16" s="1591"/>
      <c r="CC16" s="1592"/>
      <c r="CE16" s="1590" t="s">
        <v>342</v>
      </c>
      <c r="CF16" s="1591"/>
      <c r="CG16" s="1591"/>
      <c r="CH16" s="1591"/>
      <c r="CI16" s="1592"/>
      <c r="CK16" s="1590" t="s">
        <v>342</v>
      </c>
      <c r="CL16" s="1591"/>
      <c r="CM16" s="1591"/>
      <c r="CN16" s="1591"/>
      <c r="CO16" s="1592"/>
    </row>
    <row r="17" spans="2:93" ht="27" customHeight="1" x14ac:dyDescent="0.3">
      <c r="B17" s="497" t="s">
        <v>284</v>
      </c>
      <c r="C17" s="442">
        <v>525</v>
      </c>
      <c r="D17" s="454"/>
      <c r="E17" s="454"/>
      <c r="F17" s="492"/>
      <c r="H17" s="497" t="s">
        <v>369</v>
      </c>
      <c r="I17" s="442">
        <f>亦傑6月薪!N12</f>
        <v>870</v>
      </c>
      <c r="J17" s="454"/>
      <c r="K17" s="454"/>
      <c r="L17" s="492"/>
      <c r="N17" s="497" t="s">
        <v>369</v>
      </c>
      <c r="O17" s="442">
        <f>亦傑6月薪!N13</f>
        <v>0</v>
      </c>
      <c r="P17" s="454"/>
      <c r="Q17" s="454"/>
      <c r="R17" s="492"/>
      <c r="T17" s="497" t="s">
        <v>369</v>
      </c>
      <c r="U17" s="442">
        <f>亦傑6月薪!N14</f>
        <v>1145</v>
      </c>
      <c r="V17" s="454"/>
      <c r="W17" s="454"/>
      <c r="X17" s="492"/>
      <c r="Z17" s="497" t="s">
        <v>369</v>
      </c>
      <c r="AA17" s="442">
        <f>亦傑6月薪!N15</f>
        <v>1050</v>
      </c>
      <c r="AB17" s="454"/>
      <c r="AC17" s="454"/>
      <c r="AD17" s="492"/>
      <c r="AF17" s="497" t="s">
        <v>370</v>
      </c>
      <c r="AG17" s="442">
        <v>0</v>
      </c>
      <c r="AH17" s="454"/>
      <c r="AI17" s="454"/>
      <c r="AJ17" s="492"/>
      <c r="AL17" s="497" t="s">
        <v>369</v>
      </c>
      <c r="AM17" s="442">
        <f>亦傑6月薪!N17</f>
        <v>800</v>
      </c>
      <c r="AN17" s="454"/>
      <c r="AO17" s="454"/>
      <c r="AP17" s="492"/>
      <c r="AS17" s="497" t="s">
        <v>369</v>
      </c>
      <c r="AT17" s="442">
        <v>833</v>
      </c>
      <c r="AU17" s="454"/>
      <c r="AV17" s="454"/>
      <c r="AW17" s="492"/>
      <c r="BA17" s="516" t="s">
        <v>369</v>
      </c>
      <c r="BB17" s="442"/>
      <c r="BC17" s="454"/>
      <c r="BD17" s="454"/>
      <c r="BE17" s="454"/>
      <c r="BG17" s="516" t="s">
        <v>369</v>
      </c>
      <c r="BH17" s="442"/>
      <c r="BI17" s="454"/>
      <c r="BJ17" s="454"/>
      <c r="BK17" s="454"/>
      <c r="BM17" s="536" t="s">
        <v>369</v>
      </c>
      <c r="BN17" s="442"/>
      <c r="BO17" s="454"/>
      <c r="BP17" s="454"/>
      <c r="BQ17" s="492"/>
      <c r="BS17" s="536" t="s">
        <v>369</v>
      </c>
      <c r="BT17" s="442"/>
      <c r="BU17" s="454"/>
      <c r="BV17" s="454"/>
      <c r="BW17" s="492"/>
      <c r="BY17" s="536" t="s">
        <v>369</v>
      </c>
      <c r="BZ17" s="442"/>
      <c r="CA17" s="454"/>
      <c r="CB17" s="454"/>
      <c r="CC17" s="492"/>
      <c r="CE17" s="497" t="s">
        <v>369</v>
      </c>
      <c r="CF17" s="442">
        <f>亦傑6月薪!BS15</f>
        <v>0</v>
      </c>
      <c r="CG17" s="454"/>
      <c r="CH17" s="454"/>
      <c r="CI17" s="492"/>
      <c r="CK17" s="497" t="s">
        <v>369</v>
      </c>
      <c r="CL17" s="442">
        <f>亦傑6月薪!BY15</f>
        <v>0</v>
      </c>
      <c r="CM17" s="454"/>
      <c r="CN17" s="454"/>
      <c r="CO17" s="492"/>
    </row>
    <row r="18" spans="2:93" ht="27" customHeight="1" x14ac:dyDescent="0.3">
      <c r="B18" s="497" t="s">
        <v>343</v>
      </c>
      <c r="C18" s="442">
        <v>1329</v>
      </c>
      <c r="D18" s="454"/>
      <c r="E18" s="454"/>
      <c r="F18" s="492"/>
      <c r="H18" s="497" t="s">
        <v>372</v>
      </c>
      <c r="I18" s="442">
        <f>亦傑6月薪!O12</f>
        <v>1080</v>
      </c>
      <c r="J18" s="454"/>
      <c r="K18" s="454"/>
      <c r="L18" s="492"/>
      <c r="N18" s="497" t="s">
        <v>371</v>
      </c>
      <c r="O18" s="442">
        <f>亦傑6月薪!O13</f>
        <v>540</v>
      </c>
      <c r="P18" s="454"/>
      <c r="Q18" s="454"/>
      <c r="R18" s="492"/>
      <c r="T18" s="497" t="s">
        <v>371</v>
      </c>
      <c r="U18" s="442">
        <f>亦傑6月薪!O14</f>
        <v>822</v>
      </c>
      <c r="V18" s="924"/>
      <c r="W18" s="454"/>
      <c r="X18" s="492"/>
      <c r="Z18" s="497" t="s">
        <v>371</v>
      </c>
      <c r="AA18" s="442">
        <f>亦傑6月薪!O15</f>
        <v>651</v>
      </c>
      <c r="AB18" s="454"/>
      <c r="AC18" s="454"/>
      <c r="AD18" s="492"/>
      <c r="AF18" s="497" t="s">
        <v>372</v>
      </c>
      <c r="AG18" s="442">
        <v>622</v>
      </c>
      <c r="AH18" s="454"/>
      <c r="AI18" s="454"/>
      <c r="AJ18" s="492"/>
      <c r="AL18" s="497" t="s">
        <v>371</v>
      </c>
      <c r="AM18" s="442"/>
      <c r="AN18" s="454"/>
      <c r="AO18" s="454"/>
      <c r="AP18" s="492"/>
      <c r="AS18" s="497" t="s">
        <v>372</v>
      </c>
      <c r="AT18" s="442">
        <v>516</v>
      </c>
      <c r="AU18" s="454"/>
      <c r="AV18" s="454"/>
      <c r="AW18" s="492"/>
      <c r="BA18" s="516" t="s">
        <v>371</v>
      </c>
      <c r="BB18" s="442"/>
      <c r="BC18" s="454"/>
      <c r="BD18" s="454"/>
      <c r="BE18" s="454"/>
      <c r="BG18" s="516" t="s">
        <v>371</v>
      </c>
      <c r="BH18" s="442"/>
      <c r="BI18" s="454"/>
      <c r="BJ18" s="454"/>
      <c r="BK18" s="454"/>
      <c r="BM18" s="536" t="s">
        <v>371</v>
      </c>
      <c r="BN18" s="442"/>
      <c r="BO18" s="454"/>
      <c r="BP18" s="454"/>
      <c r="BQ18" s="492"/>
      <c r="BS18" s="536" t="s">
        <v>371</v>
      </c>
      <c r="BT18" s="442"/>
      <c r="BU18" s="454"/>
      <c r="BV18" s="454"/>
      <c r="BW18" s="492"/>
      <c r="BY18" s="536" t="s">
        <v>371</v>
      </c>
      <c r="BZ18" s="442"/>
      <c r="CA18" s="454"/>
      <c r="CB18" s="454"/>
      <c r="CC18" s="492"/>
      <c r="CE18" s="497" t="s">
        <v>371</v>
      </c>
      <c r="CF18" s="442">
        <f>亦傑6月薪!BT15</f>
        <v>0</v>
      </c>
      <c r="CG18" s="454"/>
      <c r="CH18" s="454"/>
      <c r="CI18" s="492"/>
      <c r="CK18" s="497" t="s">
        <v>371</v>
      </c>
      <c r="CL18" s="442">
        <f>亦傑6月薪!BZ15</f>
        <v>0</v>
      </c>
      <c r="CM18" s="454"/>
      <c r="CN18" s="454"/>
      <c r="CO18" s="492"/>
    </row>
    <row r="19" spans="2:93" ht="27" customHeight="1" x14ac:dyDescent="0.3">
      <c r="B19" s="497"/>
      <c r="C19" s="488"/>
      <c r="D19" s="496"/>
      <c r="E19" s="454"/>
      <c r="F19" s="492"/>
      <c r="H19" s="497" t="s">
        <v>286</v>
      </c>
      <c r="I19" s="442">
        <v>160</v>
      </c>
      <c r="J19" s="454"/>
      <c r="K19" s="454"/>
      <c r="L19" s="492"/>
      <c r="N19" s="497" t="s">
        <v>286</v>
      </c>
      <c r="O19" s="442">
        <f>亦傑6月薪!P13</f>
        <v>160</v>
      </c>
      <c r="P19" s="454"/>
      <c r="Q19" s="454"/>
      <c r="R19" s="492"/>
      <c r="T19" s="497" t="s">
        <v>286</v>
      </c>
      <c r="U19" s="442">
        <v>160</v>
      </c>
      <c r="V19" s="454"/>
      <c r="W19" s="454"/>
      <c r="X19" s="492"/>
      <c r="Z19" s="497" t="s">
        <v>286</v>
      </c>
      <c r="AA19" s="442">
        <v>160</v>
      </c>
      <c r="AB19" s="454"/>
      <c r="AC19" s="454"/>
      <c r="AD19" s="492"/>
      <c r="AF19" s="497" t="s">
        <v>286</v>
      </c>
      <c r="AG19" s="442">
        <v>160</v>
      </c>
      <c r="AH19" s="454"/>
      <c r="AI19" s="454"/>
      <c r="AJ19" s="492"/>
      <c r="AL19" s="497" t="s">
        <v>286</v>
      </c>
      <c r="AM19" s="442">
        <v>160</v>
      </c>
      <c r="AN19" s="454"/>
      <c r="AO19" s="454"/>
      <c r="AP19" s="492"/>
      <c r="AS19" s="497" t="s">
        <v>286</v>
      </c>
      <c r="AT19" s="442">
        <v>160</v>
      </c>
      <c r="AU19" s="454"/>
      <c r="AV19" s="454"/>
      <c r="AW19" s="492"/>
      <c r="BA19" s="516" t="s">
        <v>286</v>
      </c>
      <c r="BB19" s="442"/>
      <c r="BC19" s="454"/>
      <c r="BD19" s="454"/>
      <c r="BE19" s="454"/>
      <c r="BG19" s="516" t="s">
        <v>286</v>
      </c>
      <c r="BH19" s="442"/>
      <c r="BI19" s="454"/>
      <c r="BJ19" s="454"/>
      <c r="BK19" s="454"/>
      <c r="BM19" s="536" t="s">
        <v>286</v>
      </c>
      <c r="BN19" s="442"/>
      <c r="BO19" s="454"/>
      <c r="BP19" s="454"/>
      <c r="BQ19" s="492"/>
      <c r="BS19" s="536" t="s">
        <v>286</v>
      </c>
      <c r="BT19" s="442"/>
      <c r="BU19" s="454"/>
      <c r="BV19" s="454"/>
      <c r="BW19" s="492"/>
      <c r="BY19" s="536" t="s">
        <v>286</v>
      </c>
      <c r="BZ19" s="442"/>
      <c r="CA19" s="454"/>
      <c r="CB19" s="454"/>
      <c r="CC19" s="492"/>
      <c r="CE19" s="497" t="s">
        <v>286</v>
      </c>
      <c r="CF19" s="442">
        <v>160</v>
      </c>
      <c r="CG19" s="454"/>
      <c r="CH19" s="454"/>
      <c r="CI19" s="492"/>
      <c r="CK19" s="497" t="s">
        <v>286</v>
      </c>
      <c r="CL19" s="442"/>
      <c r="CM19" s="454"/>
      <c r="CN19" s="454"/>
      <c r="CO19" s="492"/>
    </row>
    <row r="20" spans="2:93" s="546" customFormat="1" ht="27" customHeight="1" x14ac:dyDescent="0.3">
      <c r="B20" s="538"/>
      <c r="C20" s="539"/>
      <c r="D20" s="540"/>
      <c r="E20" s="540"/>
      <c r="F20" s="541"/>
      <c r="G20" s="537"/>
      <c r="H20" s="538"/>
      <c r="I20" s="539"/>
      <c r="J20" s="540"/>
      <c r="K20" s="540"/>
      <c r="L20" s="541"/>
      <c r="M20" s="537"/>
      <c r="N20" s="538"/>
      <c r="O20" s="539"/>
      <c r="P20" s="540"/>
      <c r="Q20" s="540"/>
      <c r="R20" s="541"/>
      <c r="S20" s="537"/>
      <c r="T20" s="918" t="s">
        <v>526</v>
      </c>
      <c r="U20" s="539">
        <f>亦傑6月薪!R14</f>
        <v>3180</v>
      </c>
      <c r="V20" s="924" t="s">
        <v>527</v>
      </c>
      <c r="W20" s="540"/>
      <c r="X20" s="541"/>
      <c r="Y20" s="537"/>
      <c r="Z20" s="538"/>
      <c r="AA20" s="539"/>
      <c r="AB20" s="540"/>
      <c r="AC20" s="540"/>
      <c r="AD20" s="541"/>
      <c r="AE20" s="537"/>
      <c r="AF20" s="538"/>
      <c r="AG20" s="539"/>
      <c r="AH20" s="540"/>
      <c r="AI20" s="540"/>
      <c r="AJ20" s="541"/>
      <c r="AK20" s="537"/>
      <c r="AL20" s="538"/>
      <c r="AM20" s="539"/>
      <c r="AN20" s="540"/>
      <c r="AO20" s="540"/>
      <c r="AP20" s="541"/>
      <c r="AQ20" s="537"/>
      <c r="AR20" s="537"/>
      <c r="AS20" s="538"/>
      <c r="AT20" s="539"/>
      <c r="AU20" s="540"/>
      <c r="AV20" s="540"/>
      <c r="AW20" s="541"/>
      <c r="AX20" s="434"/>
      <c r="AY20" s="434"/>
      <c r="AZ20" s="544"/>
      <c r="BA20" s="545"/>
      <c r="BB20" s="539"/>
      <c r="BC20" s="540"/>
      <c r="BD20" s="540"/>
      <c r="BE20" s="540"/>
      <c r="BF20" s="537"/>
      <c r="BG20" s="545"/>
      <c r="BH20" s="539"/>
      <c r="BI20" s="540"/>
      <c r="BJ20" s="540"/>
      <c r="BK20" s="540"/>
      <c r="BL20" s="537"/>
      <c r="BM20" s="538"/>
      <c r="BN20" s="539"/>
      <c r="BO20" s="540"/>
      <c r="BP20" s="540"/>
      <c r="BQ20" s="541"/>
      <c r="BR20" s="537"/>
      <c r="BS20" s="538"/>
      <c r="BT20" s="539"/>
      <c r="BU20" s="540"/>
      <c r="BV20" s="540"/>
      <c r="BW20" s="541"/>
      <c r="BX20" s="537"/>
      <c r="BY20" s="538"/>
      <c r="BZ20" s="539"/>
      <c r="CA20" s="540"/>
      <c r="CB20" s="540"/>
      <c r="CC20" s="541"/>
      <c r="CD20" s="537"/>
      <c r="CE20" s="538"/>
      <c r="CF20" s="539"/>
      <c r="CG20" s="540"/>
      <c r="CH20" s="540"/>
      <c r="CI20" s="541"/>
      <c r="CK20" s="538"/>
      <c r="CL20" s="539"/>
      <c r="CM20" s="540"/>
      <c r="CN20" s="540"/>
      <c r="CO20" s="541"/>
    </row>
    <row r="21" spans="2:93" s="554" customFormat="1" ht="27" customHeight="1" x14ac:dyDescent="0.3">
      <c r="B21" s="548"/>
      <c r="C21" s="549"/>
      <c r="D21" s="550"/>
      <c r="E21" s="380"/>
      <c r="F21" s="551"/>
      <c r="G21" s="547"/>
      <c r="H21" s="548"/>
      <c r="I21" s="549"/>
      <c r="J21" s="550"/>
      <c r="K21" s="550"/>
      <c r="L21" s="551"/>
      <c r="M21" s="547"/>
      <c r="N21" s="548"/>
      <c r="O21" s="549"/>
      <c r="P21" s="550"/>
      <c r="Q21" s="550"/>
      <c r="R21" s="551"/>
      <c r="S21" s="547"/>
      <c r="T21" s="548"/>
      <c r="U21" s="549"/>
      <c r="V21" s="550"/>
      <c r="W21" s="550"/>
      <c r="X21" s="551"/>
      <c r="Y21" s="547"/>
      <c r="Z21" s="548"/>
      <c r="AA21" s="549"/>
      <c r="AB21" s="550"/>
      <c r="AC21" s="550"/>
      <c r="AD21" s="551"/>
      <c r="AE21" s="547"/>
      <c r="AF21" s="548"/>
      <c r="AG21" s="549"/>
      <c r="AH21" s="550"/>
      <c r="AI21" s="550"/>
      <c r="AJ21" s="551"/>
      <c r="AK21" s="547"/>
      <c r="AL21" s="548"/>
      <c r="AM21" s="549"/>
      <c r="AN21" s="550"/>
      <c r="AO21" s="550"/>
      <c r="AP21" s="551"/>
      <c r="AQ21" s="547"/>
      <c r="AR21" s="547"/>
      <c r="AS21" s="542"/>
      <c r="AT21" s="543"/>
      <c r="AU21" s="550"/>
      <c r="AV21" s="550"/>
      <c r="AW21" s="551"/>
      <c r="AX21" s="434"/>
      <c r="AY21" s="434"/>
      <c r="AZ21" s="552"/>
      <c r="BA21" s="553"/>
      <c r="BB21" s="549"/>
      <c r="BC21" s="550"/>
      <c r="BD21" s="550"/>
      <c r="BE21" s="550"/>
      <c r="BF21" s="547"/>
      <c r="BG21" s="553"/>
      <c r="BH21" s="549"/>
      <c r="BI21" s="550"/>
      <c r="BJ21" s="550"/>
      <c r="BK21" s="550"/>
      <c r="BL21" s="547"/>
      <c r="BM21" s="548"/>
      <c r="BN21" s="549"/>
      <c r="BO21" s="550"/>
      <c r="BP21" s="550"/>
      <c r="BQ21" s="551"/>
      <c r="BR21" s="547"/>
      <c r="BS21" s="548"/>
      <c r="BT21" s="549"/>
      <c r="BU21" s="550"/>
      <c r="BV21" s="550"/>
      <c r="BW21" s="551"/>
      <c r="BX21" s="547"/>
      <c r="BY21" s="542"/>
      <c r="BZ21" s="543"/>
      <c r="CA21" s="550"/>
      <c r="CB21" s="550"/>
      <c r="CC21" s="551"/>
      <c r="CD21" s="547"/>
      <c r="CE21" s="548"/>
      <c r="CF21" s="549"/>
      <c r="CG21" s="550"/>
      <c r="CH21" s="550"/>
      <c r="CI21" s="551"/>
      <c r="CK21" s="548"/>
      <c r="CL21" s="549"/>
      <c r="CM21" s="550"/>
      <c r="CN21" s="550"/>
      <c r="CO21" s="551"/>
    </row>
    <row r="22" spans="2:93" ht="27" customHeight="1" x14ac:dyDescent="0.3">
      <c r="B22" s="497"/>
      <c r="C22" s="459"/>
      <c r="D22" s="380"/>
      <c r="E22" s="454"/>
      <c r="F22" s="492"/>
      <c r="H22" s="497"/>
      <c r="I22" s="459"/>
      <c r="J22" s="454"/>
      <c r="K22" s="454"/>
      <c r="L22" s="492"/>
      <c r="N22" s="497"/>
      <c r="O22" s="459"/>
      <c r="P22" s="454"/>
      <c r="Q22" s="454"/>
      <c r="R22" s="492"/>
      <c r="T22" s="497"/>
      <c r="U22" s="459"/>
      <c r="V22" s="454"/>
      <c r="W22" s="454"/>
      <c r="X22" s="492"/>
      <c r="Z22" s="497"/>
      <c r="AA22" s="459"/>
      <c r="AB22" s="454"/>
      <c r="AC22" s="454"/>
      <c r="AD22" s="492"/>
      <c r="AF22" s="497"/>
      <c r="AG22" s="459"/>
      <c r="AH22" s="454"/>
      <c r="AI22" s="454"/>
      <c r="AJ22" s="492"/>
      <c r="AL22" s="497"/>
      <c r="AM22" s="459"/>
      <c r="AN22" s="454"/>
      <c r="AO22" s="454"/>
      <c r="AP22" s="492"/>
      <c r="AS22" s="497"/>
      <c r="AT22" s="459"/>
      <c r="AU22" s="454"/>
      <c r="AV22" s="454"/>
      <c r="AW22" s="492"/>
      <c r="BA22" s="516"/>
      <c r="BB22" s="459"/>
      <c r="BC22" s="454"/>
      <c r="BD22" s="454"/>
      <c r="BE22" s="454"/>
      <c r="BG22" s="516"/>
      <c r="BH22" s="459"/>
      <c r="BI22" s="454"/>
      <c r="BJ22" s="454"/>
      <c r="BK22" s="454"/>
      <c r="BM22" s="497"/>
      <c r="BN22" s="459"/>
      <c r="BO22" s="454"/>
      <c r="BP22" s="454"/>
      <c r="BQ22" s="492"/>
      <c r="BS22" s="497"/>
      <c r="BT22" s="459"/>
      <c r="BU22" s="454"/>
      <c r="BV22" s="454"/>
      <c r="BW22" s="492"/>
      <c r="BY22" s="497"/>
      <c r="BZ22" s="459"/>
      <c r="CA22" s="454"/>
      <c r="CB22" s="454"/>
      <c r="CC22" s="492"/>
      <c r="CE22" s="497"/>
      <c r="CF22" s="459"/>
      <c r="CG22" s="454"/>
      <c r="CH22" s="454"/>
      <c r="CI22" s="492"/>
      <c r="CK22" s="497"/>
      <c r="CL22" s="459"/>
      <c r="CM22" s="454"/>
      <c r="CN22" s="454"/>
      <c r="CO22" s="492"/>
    </row>
    <row r="23" spans="2:93" ht="27" customHeight="1" x14ac:dyDescent="0.3">
      <c r="B23" s="497"/>
      <c r="C23" s="442"/>
      <c r="D23" s="454"/>
      <c r="E23" s="454"/>
      <c r="F23" s="492"/>
      <c r="H23" s="497"/>
      <c r="I23" s="442"/>
      <c r="J23" s="454"/>
      <c r="K23" s="454"/>
      <c r="L23" s="492"/>
      <c r="N23" s="497"/>
      <c r="O23" s="442"/>
      <c r="P23" s="454"/>
      <c r="Q23" s="454"/>
      <c r="R23" s="492"/>
      <c r="T23" s="497"/>
      <c r="U23" s="442"/>
      <c r="V23" s="454"/>
      <c r="W23" s="454"/>
      <c r="X23" s="492"/>
      <c r="Z23" s="497"/>
      <c r="AA23" s="442"/>
      <c r="AB23" s="454"/>
      <c r="AC23" s="454"/>
      <c r="AD23" s="492"/>
      <c r="AF23" s="497"/>
      <c r="AG23" s="442"/>
      <c r="AH23" s="454"/>
      <c r="AI23" s="454"/>
      <c r="AJ23" s="492"/>
      <c r="AL23" s="497"/>
      <c r="AM23" s="442"/>
      <c r="AN23" s="454"/>
      <c r="AO23" s="454"/>
      <c r="AP23" s="492"/>
      <c r="AS23" s="497"/>
      <c r="AT23" s="442"/>
      <c r="AU23" s="454"/>
      <c r="AV23" s="454"/>
      <c r="AW23" s="492"/>
      <c r="BA23" s="516"/>
      <c r="BB23" s="442"/>
      <c r="BC23" s="454"/>
      <c r="BD23" s="454"/>
      <c r="BE23" s="454"/>
      <c r="BG23" s="516"/>
      <c r="BH23" s="442"/>
      <c r="BI23" s="454"/>
      <c r="BJ23" s="454"/>
      <c r="BK23" s="454"/>
      <c r="BM23" s="497"/>
      <c r="BN23" s="442"/>
      <c r="BO23" s="454"/>
      <c r="BP23" s="454"/>
      <c r="BQ23" s="492"/>
      <c r="BS23" s="497"/>
      <c r="BT23" s="442"/>
      <c r="BU23" s="454"/>
      <c r="BV23" s="454"/>
      <c r="BW23" s="492"/>
      <c r="BY23" s="497"/>
      <c r="BZ23" s="442"/>
      <c r="CA23" s="454"/>
      <c r="CB23" s="454"/>
      <c r="CC23" s="492"/>
      <c r="CE23" s="497"/>
      <c r="CF23" s="442"/>
      <c r="CG23" s="454"/>
      <c r="CH23" s="454"/>
      <c r="CI23" s="492"/>
      <c r="CK23" s="497"/>
      <c r="CL23" s="442"/>
      <c r="CM23" s="454"/>
      <c r="CN23" s="454"/>
      <c r="CO23" s="492"/>
    </row>
    <row r="24" spans="2:93" ht="27" customHeight="1" x14ac:dyDescent="0.3">
      <c r="B24" s="514" t="s">
        <v>345</v>
      </c>
      <c r="C24" s="1495">
        <f>SUM(C17:C23)</f>
        <v>1854</v>
      </c>
      <c r="D24" s="1496"/>
      <c r="E24" s="1496"/>
      <c r="F24" s="1497"/>
      <c r="H24" s="514" t="s">
        <v>345</v>
      </c>
      <c r="I24" s="1495">
        <f>SUM(I17:I23)</f>
        <v>2110</v>
      </c>
      <c r="J24" s="1496"/>
      <c r="K24" s="1496"/>
      <c r="L24" s="1497"/>
      <c r="N24" s="514" t="s">
        <v>345</v>
      </c>
      <c r="O24" s="1495">
        <f>SUM(O17:O23)</f>
        <v>700</v>
      </c>
      <c r="P24" s="1496"/>
      <c r="Q24" s="1496"/>
      <c r="R24" s="1497"/>
      <c r="T24" s="514" t="s">
        <v>345</v>
      </c>
      <c r="U24" s="1495">
        <f>SUM(U17:U23)</f>
        <v>5307</v>
      </c>
      <c r="V24" s="1496"/>
      <c r="W24" s="1496"/>
      <c r="X24" s="1497"/>
      <c r="Z24" s="514" t="s">
        <v>345</v>
      </c>
      <c r="AA24" s="1495">
        <f>SUM(AA17:AA23)</f>
        <v>1861</v>
      </c>
      <c r="AB24" s="1496"/>
      <c r="AC24" s="1496"/>
      <c r="AD24" s="1497"/>
      <c r="AF24" s="514" t="s">
        <v>345</v>
      </c>
      <c r="AG24" s="1495">
        <f>SUM(AG17:AG23)</f>
        <v>782</v>
      </c>
      <c r="AH24" s="1496"/>
      <c r="AI24" s="1496"/>
      <c r="AJ24" s="1497"/>
      <c r="AL24" s="514" t="s">
        <v>345</v>
      </c>
      <c r="AM24" s="1495">
        <f>SUM(AM17:AM23)</f>
        <v>960</v>
      </c>
      <c r="AN24" s="1496"/>
      <c r="AO24" s="1496"/>
      <c r="AP24" s="1497"/>
      <c r="AS24" s="514" t="s">
        <v>345</v>
      </c>
      <c r="AT24" s="1495">
        <f>SUM(AT17:AT23)</f>
        <v>1509</v>
      </c>
      <c r="AU24" s="1496"/>
      <c r="AV24" s="1496"/>
      <c r="AW24" s="1497"/>
      <c r="BA24" s="517" t="s">
        <v>345</v>
      </c>
      <c r="BB24" s="1495">
        <f>SUM(BB17:BB23)</f>
        <v>0</v>
      </c>
      <c r="BC24" s="1496"/>
      <c r="BD24" s="1496"/>
      <c r="BE24" s="1608"/>
      <c r="BG24" s="517" t="s">
        <v>345</v>
      </c>
      <c r="BH24" s="1495">
        <f>SUM(BH17:BH23)</f>
        <v>0</v>
      </c>
      <c r="BI24" s="1496"/>
      <c r="BJ24" s="1496"/>
      <c r="BK24" s="1608"/>
      <c r="BM24" s="514" t="s">
        <v>345</v>
      </c>
      <c r="BN24" s="1495">
        <f>SUM(BN17:BN23)</f>
        <v>0</v>
      </c>
      <c r="BO24" s="1496"/>
      <c r="BP24" s="1496"/>
      <c r="BQ24" s="1497"/>
      <c r="BS24" s="514" t="s">
        <v>345</v>
      </c>
      <c r="BT24" s="1495">
        <f>SUM(BT17:BT23)</f>
        <v>0</v>
      </c>
      <c r="BU24" s="1496"/>
      <c r="BV24" s="1496"/>
      <c r="BW24" s="1497"/>
      <c r="BY24" s="514" t="s">
        <v>345</v>
      </c>
      <c r="BZ24" s="1495">
        <f>SUM(BZ17:BZ23)</f>
        <v>0</v>
      </c>
      <c r="CA24" s="1496"/>
      <c r="CB24" s="1496"/>
      <c r="CC24" s="1497"/>
      <c r="CE24" s="514" t="s">
        <v>345</v>
      </c>
      <c r="CF24" s="1495">
        <f>SUM(CF17:CF23)</f>
        <v>160</v>
      </c>
      <c r="CG24" s="1496"/>
      <c r="CH24" s="1496"/>
      <c r="CI24" s="1497"/>
      <c r="CK24" s="514" t="s">
        <v>345</v>
      </c>
      <c r="CL24" s="1495">
        <f>SUM(CL17:CL23)</f>
        <v>0</v>
      </c>
      <c r="CM24" s="1496"/>
      <c r="CN24" s="1496"/>
      <c r="CO24" s="1497"/>
    </row>
    <row r="25" spans="2:93" ht="27" customHeight="1" x14ac:dyDescent="0.3">
      <c r="B25" s="555" t="s">
        <v>346</v>
      </c>
      <c r="C25" s="1516">
        <f>SUM(C15-C24)</f>
        <v>18806.380952380954</v>
      </c>
      <c r="D25" s="1517"/>
      <c r="E25" s="1517"/>
      <c r="F25" s="1518"/>
      <c r="G25" s="196"/>
      <c r="H25" s="555" t="s">
        <v>346</v>
      </c>
      <c r="I25" s="1516" t="e">
        <f>SUM(I15-I24)</f>
        <v>#REF!</v>
      </c>
      <c r="J25" s="1517"/>
      <c r="K25" s="1517"/>
      <c r="L25" s="1518"/>
      <c r="M25" s="196"/>
      <c r="N25" s="555" t="s">
        <v>346</v>
      </c>
      <c r="O25" s="1516" t="e">
        <f>SUM(O15-O24)</f>
        <v>#REF!</v>
      </c>
      <c r="P25" s="1517"/>
      <c r="Q25" s="1517"/>
      <c r="R25" s="1518"/>
      <c r="S25" s="196"/>
      <c r="T25" s="1142" t="s">
        <v>346</v>
      </c>
      <c r="U25" s="1516" t="e">
        <f>SUM(U15-U24)</f>
        <v>#REF!</v>
      </c>
      <c r="V25" s="1517"/>
      <c r="W25" s="1517"/>
      <c r="X25" s="1518"/>
      <c r="Y25" s="196"/>
      <c r="Z25" s="555" t="s">
        <v>346</v>
      </c>
      <c r="AA25" s="1516" t="e">
        <f>SUM(AA15-AA24)</f>
        <v>#REF!</v>
      </c>
      <c r="AB25" s="1517"/>
      <c r="AC25" s="1517"/>
      <c r="AD25" s="1518"/>
      <c r="AE25" s="196"/>
      <c r="AF25" s="555" t="s">
        <v>346</v>
      </c>
      <c r="AG25" s="1516" t="e">
        <f>SUM(AG15-AG24)</f>
        <v>#REF!</v>
      </c>
      <c r="AH25" s="1517"/>
      <c r="AI25" s="1517"/>
      <c r="AJ25" s="1518"/>
      <c r="AK25" s="196"/>
      <c r="AL25" s="555" t="s">
        <v>346</v>
      </c>
      <c r="AM25" s="1516" t="e">
        <f>SUM(AM15-AM24)</f>
        <v>#REF!</v>
      </c>
      <c r="AN25" s="1517"/>
      <c r="AO25" s="1517"/>
      <c r="AP25" s="1518"/>
      <c r="AQ25" s="196"/>
      <c r="AR25" s="196"/>
      <c r="AS25" s="555" t="s">
        <v>346</v>
      </c>
      <c r="AT25" s="1516">
        <f>SUM(AT15-AT24)</f>
        <v>32491.000000000007</v>
      </c>
      <c r="AU25" s="1517"/>
      <c r="AV25" s="1517"/>
      <c r="AW25" s="1518"/>
      <c r="AX25" s="196"/>
      <c r="AY25" s="196"/>
      <c r="AZ25" s="499"/>
      <c r="BA25" s="556" t="s">
        <v>346</v>
      </c>
      <c r="BB25" s="1516">
        <f>SUM(BB15-BB24)</f>
        <v>0</v>
      </c>
      <c r="BC25" s="1517"/>
      <c r="BD25" s="1517"/>
      <c r="BE25" s="1627"/>
      <c r="BF25" s="196"/>
      <c r="BG25" s="556" t="s">
        <v>346</v>
      </c>
      <c r="BH25" s="1495">
        <f>SUM(BH15-BH24)</f>
        <v>0</v>
      </c>
      <c r="BI25" s="1496"/>
      <c r="BJ25" s="1496"/>
      <c r="BK25" s="1608"/>
      <c r="BL25" s="196"/>
      <c r="BM25" s="555" t="s">
        <v>346</v>
      </c>
      <c r="BN25" s="1495">
        <f>SUM(BN15-BN24)</f>
        <v>70000</v>
      </c>
      <c r="BO25" s="1496"/>
      <c r="BP25" s="1496"/>
      <c r="BQ25" s="1497"/>
      <c r="BR25" s="196"/>
      <c r="BS25" s="555" t="s">
        <v>346</v>
      </c>
      <c r="BT25" s="1495">
        <f>SUM(BT15-BT24)</f>
        <v>35000</v>
      </c>
      <c r="BU25" s="1496"/>
      <c r="BV25" s="1496"/>
      <c r="BW25" s="1497"/>
      <c r="BX25" s="196"/>
      <c r="BY25" s="555" t="s">
        <v>346</v>
      </c>
      <c r="BZ25" s="1495">
        <f>SUM(BZ15-BZ24)</f>
        <v>22000</v>
      </c>
      <c r="CA25" s="1496"/>
      <c r="CB25" s="1496"/>
      <c r="CC25" s="1497"/>
      <c r="CD25" s="196"/>
      <c r="CE25" s="555" t="s">
        <v>346</v>
      </c>
      <c r="CF25" s="1516" t="e">
        <f>SUM(CF15-CF24)</f>
        <v>#REF!</v>
      </c>
      <c r="CG25" s="1517"/>
      <c r="CH25" s="1517"/>
      <c r="CI25" s="1518"/>
      <c r="CK25" s="555" t="s">
        <v>346</v>
      </c>
      <c r="CL25" s="1516" t="e">
        <f>SUM(CL15-CL24)</f>
        <v>#REF!</v>
      </c>
      <c r="CM25" s="1517"/>
      <c r="CN25" s="1517"/>
      <c r="CO25" s="1518"/>
    </row>
    <row r="26" spans="2:93" s="502" customFormat="1" ht="21" customHeight="1" x14ac:dyDescent="0.3">
      <c r="B26" s="1519" t="s">
        <v>373</v>
      </c>
      <c r="C26" s="1629"/>
      <c r="D26" s="1520"/>
      <c r="E26" s="1520"/>
      <c r="F26" s="1521"/>
      <c r="H26" s="1519" t="s">
        <v>373</v>
      </c>
      <c r="I26" s="1520" t="s">
        <v>560</v>
      </c>
      <c r="J26" s="1520"/>
      <c r="K26" s="1520"/>
      <c r="L26" s="1521"/>
      <c r="N26" s="1519" t="s">
        <v>373</v>
      </c>
      <c r="O26" s="1520"/>
      <c r="P26" s="1520"/>
      <c r="Q26" s="1520"/>
      <c r="R26" s="1521"/>
      <c r="T26" s="1519" t="s">
        <v>373</v>
      </c>
      <c r="U26" s="1635" t="s">
        <v>579</v>
      </c>
      <c r="V26" s="1635"/>
      <c r="W26" s="1635"/>
      <c r="X26" s="1636"/>
      <c r="Z26" s="1519" t="s">
        <v>373</v>
      </c>
      <c r="AA26" s="1514"/>
      <c r="AB26" s="1514"/>
      <c r="AC26" s="1514"/>
      <c r="AD26" s="1515"/>
      <c r="AF26" s="1519" t="s">
        <v>373</v>
      </c>
      <c r="AG26" s="1514"/>
      <c r="AH26" s="1514"/>
      <c r="AI26" s="1514"/>
      <c r="AJ26" s="1515"/>
      <c r="AL26" s="1519" t="s">
        <v>373</v>
      </c>
      <c r="AM26" s="1514"/>
      <c r="AN26" s="1514"/>
      <c r="AO26" s="1514"/>
      <c r="AP26" s="1515"/>
      <c r="AS26" s="1519" t="s">
        <v>373</v>
      </c>
      <c r="AT26" s="1520" t="s">
        <v>657</v>
      </c>
      <c r="AU26" s="1520"/>
      <c r="AV26" s="1520"/>
      <c r="AW26" s="1521"/>
      <c r="AX26" s="500"/>
      <c r="AY26" s="500"/>
      <c r="AZ26" s="557"/>
      <c r="BA26" s="1618" t="s">
        <v>373</v>
      </c>
      <c r="BB26" s="1621"/>
      <c r="BC26" s="1622"/>
      <c r="BD26" s="1622"/>
      <c r="BE26" s="1623"/>
      <c r="BG26" s="1607" t="s">
        <v>373</v>
      </c>
      <c r="BH26" s="1621"/>
      <c r="BI26" s="1622"/>
      <c r="BJ26" s="1622"/>
      <c r="BK26" s="1623"/>
      <c r="BM26" s="1519" t="s">
        <v>373</v>
      </c>
      <c r="BN26" s="1520"/>
      <c r="BO26" s="1520"/>
      <c r="BP26" s="1520"/>
      <c r="BQ26" s="1521"/>
      <c r="BS26" s="1519" t="s">
        <v>373</v>
      </c>
      <c r="BT26" s="1520" t="s">
        <v>374</v>
      </c>
      <c r="BU26" s="1520"/>
      <c r="BV26" s="1520"/>
      <c r="BW26" s="1521"/>
      <c r="BY26" s="1519" t="s">
        <v>373</v>
      </c>
      <c r="BZ26" s="1520"/>
      <c r="CA26" s="1520"/>
      <c r="CB26" s="1520"/>
      <c r="CC26" s="1521"/>
      <c r="CE26" s="1519" t="s">
        <v>373</v>
      </c>
      <c r="CF26" s="1514"/>
      <c r="CG26" s="1514"/>
      <c r="CH26" s="1514"/>
      <c r="CI26" s="1515"/>
      <c r="CK26" s="1519" t="s">
        <v>373</v>
      </c>
      <c r="CL26" s="1514"/>
      <c r="CM26" s="1514"/>
      <c r="CN26" s="1514"/>
      <c r="CO26" s="1515"/>
    </row>
    <row r="27" spans="2:93" s="502" customFormat="1" ht="21" customHeight="1" x14ac:dyDescent="0.3">
      <c r="B27" s="1519"/>
      <c r="C27" s="1514"/>
      <c r="D27" s="1514"/>
      <c r="E27" s="1514"/>
      <c r="F27" s="1515"/>
      <c r="H27" s="1519"/>
      <c r="I27" s="1514"/>
      <c r="J27" s="1514"/>
      <c r="K27" s="1514"/>
      <c r="L27" s="1515"/>
      <c r="N27" s="1519"/>
      <c r="O27" s="1514"/>
      <c r="P27" s="1514"/>
      <c r="Q27" s="1514"/>
      <c r="R27" s="1515"/>
      <c r="T27" s="1519"/>
      <c r="U27" s="1628"/>
      <c r="V27" s="1628"/>
      <c r="W27" s="1628"/>
      <c r="X27" s="1628"/>
      <c r="Z27" s="1519"/>
      <c r="AA27" s="1514"/>
      <c r="AB27" s="1514"/>
      <c r="AC27" s="1514"/>
      <c r="AD27" s="1515"/>
      <c r="AF27" s="1519"/>
      <c r="AG27" s="1514"/>
      <c r="AH27" s="1514"/>
      <c r="AI27" s="1514"/>
      <c r="AJ27" s="1515"/>
      <c r="AL27" s="1519"/>
      <c r="AM27" s="1520" t="s">
        <v>560</v>
      </c>
      <c r="AN27" s="1520"/>
      <c r="AO27" s="1520"/>
      <c r="AP27" s="1521"/>
      <c r="AS27" s="1519"/>
      <c r="AT27" s="1514"/>
      <c r="AU27" s="1514"/>
      <c r="AV27" s="1514"/>
      <c r="AW27" s="1515"/>
      <c r="AX27" s="500"/>
      <c r="AY27" s="500"/>
      <c r="AZ27" s="557"/>
      <c r="BA27" s="1619"/>
      <c r="BB27" s="1624"/>
      <c r="BC27" s="1625"/>
      <c r="BD27" s="1625"/>
      <c r="BE27" s="1626"/>
      <c r="BG27" s="1607"/>
      <c r="BH27" s="1624"/>
      <c r="BI27" s="1625"/>
      <c r="BJ27" s="1625"/>
      <c r="BK27" s="1626"/>
      <c r="BM27" s="1519"/>
      <c r="BN27" s="1514"/>
      <c r="BO27" s="1514"/>
      <c r="BP27" s="1514"/>
      <c r="BQ27" s="1515"/>
      <c r="BS27" s="1519"/>
      <c r="BT27" s="1514"/>
      <c r="BU27" s="1514"/>
      <c r="BV27" s="1514"/>
      <c r="BW27" s="1515"/>
      <c r="BY27" s="1519"/>
      <c r="BZ27" s="1514"/>
      <c r="CA27" s="1514"/>
      <c r="CB27" s="1514"/>
      <c r="CC27" s="1515"/>
      <c r="CE27" s="1519"/>
      <c r="CF27" s="1514"/>
      <c r="CG27" s="1514"/>
      <c r="CH27" s="1514"/>
      <c r="CI27" s="1515"/>
      <c r="CK27" s="1519"/>
      <c r="CL27" s="1514"/>
      <c r="CM27" s="1514"/>
      <c r="CN27" s="1514"/>
      <c r="CO27" s="1515"/>
    </row>
    <row r="28" spans="2:93" ht="21" customHeight="1" x14ac:dyDescent="0.3">
      <c r="B28" s="504"/>
      <c r="C28" s="1508"/>
      <c r="D28" s="1508"/>
      <c r="E28" s="1508"/>
      <c r="F28" s="1509"/>
      <c r="H28" s="504"/>
      <c r="I28" s="1514"/>
      <c r="J28" s="1514"/>
      <c r="K28" s="1514"/>
      <c r="L28" s="1515"/>
      <c r="N28" s="504"/>
      <c r="O28" s="1583"/>
      <c r="P28" s="1584"/>
      <c r="Q28" s="1584"/>
      <c r="R28" s="1585"/>
      <c r="T28" s="504"/>
      <c r="U28" s="1637"/>
      <c r="V28" s="1637"/>
      <c r="W28" s="1637"/>
      <c r="X28" s="1638"/>
      <c r="Z28" s="504"/>
      <c r="AA28" s="1583"/>
      <c r="AB28" s="1584"/>
      <c r="AC28" s="1584"/>
      <c r="AD28" s="1585"/>
      <c r="AF28" s="504"/>
      <c r="AG28" s="1522"/>
      <c r="AH28" s="1522"/>
      <c r="AI28" s="1522"/>
      <c r="AJ28" s="1523"/>
      <c r="AL28" s="504"/>
      <c r="AM28" s="1601"/>
      <c r="AN28" s="1601"/>
      <c r="AO28" s="1601"/>
      <c r="AP28" s="1602"/>
      <c r="AS28" s="504"/>
      <c r="AT28" s="1166"/>
      <c r="AU28" s="1166"/>
      <c r="AV28" s="1166"/>
      <c r="AW28" s="1167"/>
      <c r="BM28" s="504"/>
      <c r="BN28" s="1508"/>
      <c r="BO28" s="1508"/>
      <c r="BP28" s="1508"/>
      <c r="BQ28" s="1509"/>
      <c r="BS28" s="504"/>
      <c r="BT28" s="1508"/>
      <c r="BU28" s="1508"/>
      <c r="BV28" s="1508"/>
      <c r="BW28" s="1509"/>
      <c r="BY28" s="504"/>
      <c r="BZ28" s="1508"/>
      <c r="CA28" s="1508"/>
      <c r="CB28" s="1508"/>
      <c r="CC28" s="1509"/>
      <c r="CE28" s="504"/>
      <c r="CF28" s="1583"/>
      <c r="CG28" s="1584"/>
      <c r="CH28" s="1584"/>
      <c r="CI28" s="1585"/>
      <c r="CK28" s="504"/>
      <c r="CL28" s="1583"/>
      <c r="CM28" s="1584"/>
      <c r="CN28" s="1584"/>
      <c r="CO28" s="1585"/>
    </row>
    <row r="29" spans="2:93" ht="22.8" thickBot="1" x14ac:dyDescent="0.35">
      <c r="B29" s="505"/>
      <c r="C29" s="1504"/>
      <c r="D29" s="1504"/>
      <c r="E29" s="1504"/>
      <c r="F29" s="1505"/>
      <c r="H29" s="505"/>
      <c r="I29" s="1504"/>
      <c r="J29" s="1504"/>
      <c r="K29" s="1504"/>
      <c r="L29" s="1505"/>
      <c r="N29" s="505"/>
      <c r="O29" s="1504"/>
      <c r="P29" s="1504"/>
      <c r="Q29" s="1504"/>
      <c r="R29" s="1505"/>
      <c r="T29" s="505"/>
      <c r="U29" s="1633"/>
      <c r="V29" s="1633"/>
      <c r="W29" s="1633"/>
      <c r="X29" s="1634"/>
      <c r="Z29" s="505"/>
      <c r="AA29" s="1504"/>
      <c r="AB29" s="1504"/>
      <c r="AC29" s="1504"/>
      <c r="AD29" s="1505"/>
      <c r="AF29" s="505"/>
      <c r="AG29" s="1504"/>
      <c r="AH29" s="1504"/>
      <c r="AI29" s="1504"/>
      <c r="AJ29" s="1505"/>
      <c r="AL29" s="505"/>
      <c r="AM29" s="1603"/>
      <c r="AN29" s="1603"/>
      <c r="AO29" s="1603"/>
      <c r="AP29" s="1604"/>
      <c r="AS29" s="505"/>
      <c r="AT29" s="1168"/>
      <c r="AU29" s="1168"/>
      <c r="AV29" s="1168"/>
      <c r="AW29" s="1169"/>
      <c r="BM29" s="505"/>
      <c r="BN29" s="1504"/>
      <c r="BO29" s="1504"/>
      <c r="BP29" s="1504"/>
      <c r="BQ29" s="1505"/>
      <c r="BS29" s="505"/>
      <c r="BT29" s="1504"/>
      <c r="BU29" s="1504"/>
      <c r="BV29" s="1504"/>
      <c r="BW29" s="1505"/>
      <c r="BY29" s="505"/>
      <c r="BZ29" s="1504"/>
      <c r="CA29" s="1504"/>
      <c r="CB29" s="1504"/>
      <c r="CC29" s="1505"/>
      <c r="CE29" s="505"/>
      <c r="CF29" s="1504"/>
      <c r="CG29" s="1504"/>
      <c r="CH29" s="1504"/>
      <c r="CI29" s="1505"/>
      <c r="CK29" s="505"/>
      <c r="CL29" s="1504"/>
      <c r="CM29" s="1504"/>
      <c r="CN29" s="1504"/>
      <c r="CO29" s="1505"/>
    </row>
    <row r="30" spans="2:93" ht="15.75" customHeight="1" x14ac:dyDescent="0.3"/>
    <row r="31" spans="2:93" ht="16.5" customHeight="1" x14ac:dyDescent="0.3">
      <c r="Q31" s="196"/>
      <c r="R31" s="196"/>
      <c r="AC31" s="196"/>
      <c r="AD31" s="196"/>
      <c r="AE31" s="196"/>
      <c r="AF31" s="196"/>
      <c r="AO31" s="196"/>
      <c r="AP31" s="196"/>
      <c r="AQ31" s="196"/>
    </row>
    <row r="35" spans="5:23" x14ac:dyDescent="0.3">
      <c r="E35" s="1137"/>
    </row>
    <row r="39" spans="5:23" x14ac:dyDescent="0.3">
      <c r="T39" s="1605"/>
      <c r="U39" s="1606"/>
      <c r="V39" s="1606"/>
      <c r="W39" s="1606"/>
    </row>
  </sheetData>
  <mergeCells count="214">
    <mergeCell ref="U29:X29"/>
    <mergeCell ref="AA27:AD27"/>
    <mergeCell ref="AG27:AJ27"/>
    <mergeCell ref="T26:T27"/>
    <mergeCell ref="C27:F27"/>
    <mergeCell ref="Z26:Z27"/>
    <mergeCell ref="U26:X26"/>
    <mergeCell ref="C29:F29"/>
    <mergeCell ref="C28:F28"/>
    <mergeCell ref="I26:L26"/>
    <mergeCell ref="I29:L29"/>
    <mergeCell ref="I27:L27"/>
    <mergeCell ref="I28:L28"/>
    <mergeCell ref="O29:R29"/>
    <mergeCell ref="AA29:AD29"/>
    <mergeCell ref="AG29:AJ29"/>
    <mergeCell ref="U28:X28"/>
    <mergeCell ref="AA28:AD28"/>
    <mergeCell ref="O28:R28"/>
    <mergeCell ref="AG28:AJ28"/>
    <mergeCell ref="H16:L16"/>
    <mergeCell ref="N16:R16"/>
    <mergeCell ref="B26:B27"/>
    <mergeCell ref="C26:F26"/>
    <mergeCell ref="C15:F15"/>
    <mergeCell ref="T16:X16"/>
    <mergeCell ref="Z16:AD16"/>
    <mergeCell ref="AF16:AJ16"/>
    <mergeCell ref="AF26:AF27"/>
    <mergeCell ref="AG26:AJ26"/>
    <mergeCell ref="C25:F25"/>
    <mergeCell ref="C24:F24"/>
    <mergeCell ref="H26:H27"/>
    <mergeCell ref="AA26:AD26"/>
    <mergeCell ref="AG25:AJ25"/>
    <mergeCell ref="U25:X25"/>
    <mergeCell ref="AA25:AD25"/>
    <mergeCell ref="I24:L24"/>
    <mergeCell ref="B16:F16"/>
    <mergeCell ref="U15:X15"/>
    <mergeCell ref="N26:N27"/>
    <mergeCell ref="O26:R26"/>
    <mergeCell ref="I15:L15"/>
    <mergeCell ref="O15:R15"/>
    <mergeCell ref="AT25:AW25"/>
    <mergeCell ref="BB25:BE25"/>
    <mergeCell ref="BB26:BE27"/>
    <mergeCell ref="O27:R27"/>
    <mergeCell ref="I25:L25"/>
    <mergeCell ref="O24:R24"/>
    <mergeCell ref="O25:R25"/>
    <mergeCell ref="BB24:BE24"/>
    <mergeCell ref="U24:X24"/>
    <mergeCell ref="AA24:AD24"/>
    <mergeCell ref="AG24:AJ24"/>
    <mergeCell ref="AT24:AW24"/>
    <mergeCell ref="U27:X27"/>
    <mergeCell ref="AS26:AS27"/>
    <mergeCell ref="AT26:AW27"/>
    <mergeCell ref="T4:X4"/>
    <mergeCell ref="AH9:AJ9"/>
    <mergeCell ref="J9:L9"/>
    <mergeCell ref="P9:R9"/>
    <mergeCell ref="AA15:AD15"/>
    <mergeCell ref="AG15:AJ15"/>
    <mergeCell ref="BB15:BE15"/>
    <mergeCell ref="N4:R4"/>
    <mergeCell ref="H4:L4"/>
    <mergeCell ref="V9:X9"/>
    <mergeCell ref="AB9:AD9"/>
    <mergeCell ref="BZ28:CC28"/>
    <mergeCell ref="BH15:BK15"/>
    <mergeCell ref="BN15:BQ15"/>
    <mergeCell ref="BN29:BQ29"/>
    <mergeCell ref="BT29:BW29"/>
    <mergeCell ref="BZ29:CC29"/>
    <mergeCell ref="BN28:BQ28"/>
    <mergeCell ref="BT28:BW28"/>
    <mergeCell ref="BT24:BW24"/>
    <mergeCell ref="BM16:BQ16"/>
    <mergeCell ref="BT27:BW27"/>
    <mergeCell ref="BZ27:CC27"/>
    <mergeCell ref="BH26:BK27"/>
    <mergeCell ref="BM26:BM27"/>
    <mergeCell ref="BN26:BQ26"/>
    <mergeCell ref="BS26:BS27"/>
    <mergeCell ref="BN27:BQ27"/>
    <mergeCell ref="BT26:BW26"/>
    <mergeCell ref="BS16:BW16"/>
    <mergeCell ref="BY26:BY27"/>
    <mergeCell ref="BZ26:CC26"/>
    <mergeCell ref="BT15:BW15"/>
    <mergeCell ref="BZ15:CC15"/>
    <mergeCell ref="BZ24:CC24"/>
    <mergeCell ref="B4:F4"/>
    <mergeCell ref="AI1:AJ1"/>
    <mergeCell ref="H1:I1"/>
    <mergeCell ref="K1:L1"/>
    <mergeCell ref="K2:L2"/>
    <mergeCell ref="N1:O1"/>
    <mergeCell ref="BS4:BW4"/>
    <mergeCell ref="BS1:BT1"/>
    <mergeCell ref="BV1:BW1"/>
    <mergeCell ref="Z4:AD4"/>
    <mergeCell ref="AF4:AJ4"/>
    <mergeCell ref="BD1:BE1"/>
    <mergeCell ref="BG1:BH1"/>
    <mergeCell ref="BJ1:BK1"/>
    <mergeCell ref="BM1:BN1"/>
    <mergeCell ref="BP1:BQ1"/>
    <mergeCell ref="Q1:R1"/>
    <mergeCell ref="AI2:AJ2"/>
    <mergeCell ref="BD2:BE2"/>
    <mergeCell ref="BJ2:BK2"/>
    <mergeCell ref="K3:L3"/>
    <mergeCell ref="BM4:BQ4"/>
    <mergeCell ref="BV2:BW2"/>
    <mergeCell ref="AL1:AM1"/>
    <mergeCell ref="BG26:BG27"/>
    <mergeCell ref="BH25:BK25"/>
    <mergeCell ref="BN25:BQ25"/>
    <mergeCell ref="BT25:BW25"/>
    <mergeCell ref="BZ25:CC25"/>
    <mergeCell ref="BY16:CC16"/>
    <mergeCell ref="BH24:BK24"/>
    <mergeCell ref="BN24:BQ24"/>
    <mergeCell ref="AI3:AJ3"/>
    <mergeCell ref="BD3:BE3"/>
    <mergeCell ref="BJ3:BK3"/>
    <mergeCell ref="AM25:AP25"/>
    <mergeCell ref="AL26:AL27"/>
    <mergeCell ref="AM26:AP26"/>
    <mergeCell ref="AM27:AP27"/>
    <mergeCell ref="BG16:BK16"/>
    <mergeCell ref="AT15:AW15"/>
    <mergeCell ref="BY4:CC4"/>
    <mergeCell ref="AS4:AW4"/>
    <mergeCell ref="BA4:BE4"/>
    <mergeCell ref="BG4:BK4"/>
    <mergeCell ref="AS16:AW16"/>
    <mergeCell ref="BA16:BE16"/>
    <mergeCell ref="BA26:BA27"/>
    <mergeCell ref="AM28:AP29"/>
    <mergeCell ref="BY1:BZ1"/>
    <mergeCell ref="CB1:CC1"/>
    <mergeCell ref="AS1:AT1"/>
    <mergeCell ref="AV1:AW1"/>
    <mergeCell ref="BA1:BB1"/>
    <mergeCell ref="T39:W39"/>
    <mergeCell ref="B1:C1"/>
    <mergeCell ref="E1:F1"/>
    <mergeCell ref="E2:F2"/>
    <mergeCell ref="T1:U1"/>
    <mergeCell ref="W1:X1"/>
    <mergeCell ref="Z1:AA1"/>
    <mergeCell ref="AC1:AD1"/>
    <mergeCell ref="AF1:AG1"/>
    <mergeCell ref="E3:F3"/>
    <mergeCell ref="W2:X2"/>
    <mergeCell ref="AC2:AD2"/>
    <mergeCell ref="Q2:R2"/>
    <mergeCell ref="Q3:R3"/>
    <mergeCell ref="D9:F9"/>
    <mergeCell ref="W3:X3"/>
    <mergeCell ref="AC3:AD3"/>
    <mergeCell ref="BP2:BQ2"/>
    <mergeCell ref="CF15:CI15"/>
    <mergeCell ref="CE16:CI16"/>
    <mergeCell ref="CF24:CI24"/>
    <mergeCell ref="CN1:CO1"/>
    <mergeCell ref="CN2:CO2"/>
    <mergeCell ref="CN3:CO3"/>
    <mergeCell ref="AO1:AP1"/>
    <mergeCell ref="AO2:AP2"/>
    <mergeCell ref="AO3:AP3"/>
    <mergeCell ref="AL4:AP4"/>
    <mergeCell ref="AN9:AP9"/>
    <mergeCell ref="AM15:AP15"/>
    <mergeCell ref="AL16:AP16"/>
    <mergeCell ref="AM24:AP24"/>
    <mergeCell ref="CB2:CC2"/>
    <mergeCell ref="AV2:AW2"/>
    <mergeCell ref="BV3:BW3"/>
    <mergeCell ref="CB3:CC3"/>
    <mergeCell ref="AV3:AW3"/>
    <mergeCell ref="BC9:BE9"/>
    <mergeCell ref="BI9:BK9"/>
    <mergeCell ref="AU9:AW9"/>
    <mergeCell ref="BP3:BQ3"/>
    <mergeCell ref="CA9:CC9"/>
    <mergeCell ref="CK4:CO4"/>
    <mergeCell ref="CF25:CI25"/>
    <mergeCell ref="CE26:CE27"/>
    <mergeCell ref="CF26:CI26"/>
    <mergeCell ref="CF27:CI27"/>
    <mergeCell ref="CF28:CI28"/>
    <mergeCell ref="CF29:CI29"/>
    <mergeCell ref="CK1:CL1"/>
    <mergeCell ref="CM9:CO9"/>
    <mergeCell ref="CL15:CO15"/>
    <mergeCell ref="CK16:CO16"/>
    <mergeCell ref="CL24:CO24"/>
    <mergeCell ref="CL25:CO25"/>
    <mergeCell ref="CK26:CK27"/>
    <mergeCell ref="CL26:CO26"/>
    <mergeCell ref="CL27:CO27"/>
    <mergeCell ref="CL28:CO28"/>
    <mergeCell ref="CL29:CO29"/>
    <mergeCell ref="CE1:CF1"/>
    <mergeCell ref="CH1:CI1"/>
    <mergeCell ref="CH2:CI2"/>
    <mergeCell ref="CH3:CI3"/>
    <mergeCell ref="CE4:CI4"/>
    <mergeCell ref="CG9:CI9"/>
  </mergeCells>
  <phoneticPr fontId="77" type="noConversion"/>
  <printOptions horizontalCentered="1" verticalCentered="1"/>
  <pageMargins left="0.11811023622047245" right="0.11811023622047245" top="0.15748031496062992" bottom="0" header="0" footer="0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9ABF-6325-4DDD-9221-826A31097A2A}">
  <dimension ref="A1:AO39"/>
  <sheetViews>
    <sheetView topLeftCell="A9" zoomScale="55" zoomScaleNormal="55" workbookViewId="0">
      <selection activeCell="R51" sqref="R51:R52"/>
    </sheetView>
  </sheetViews>
  <sheetFormatPr defaultRowHeight="16.2" x14ac:dyDescent="0.3"/>
  <cols>
    <col min="1" max="1" width="13" customWidth="1"/>
    <col min="2" max="2" width="10.33203125" customWidth="1"/>
    <col min="3" max="3" width="11.77734375" style="3" customWidth="1"/>
    <col min="4" max="4" width="10.77734375" style="3" customWidth="1"/>
    <col min="5" max="5" width="12.77734375" style="3" customWidth="1"/>
    <col min="6" max="6" width="5.33203125" style="3" customWidth="1"/>
    <col min="7" max="7" width="13" customWidth="1"/>
    <col min="8" max="8" width="10.33203125" customWidth="1"/>
    <col min="9" max="9" width="11.77734375" style="3" customWidth="1"/>
    <col min="10" max="10" width="12" style="3" customWidth="1"/>
    <col min="11" max="11" width="10.33203125" style="3" customWidth="1"/>
    <col min="12" max="12" width="5.33203125" style="3" customWidth="1"/>
    <col min="13" max="14" width="13.6640625" customWidth="1"/>
    <col min="15" max="15" width="15.44140625" style="3" customWidth="1"/>
    <col min="16" max="16" width="15.109375" style="3" customWidth="1"/>
    <col min="17" max="17" width="13.6640625" style="3" customWidth="1"/>
    <col min="18" max="18" width="5.33203125" style="3" customWidth="1"/>
    <col min="19" max="19" width="13" customWidth="1"/>
    <col min="20" max="20" width="10.33203125" customWidth="1"/>
    <col min="21" max="21" width="11.77734375" style="3" customWidth="1"/>
    <col min="22" max="22" width="12" style="3" customWidth="1"/>
    <col min="23" max="23" width="10.33203125" style="3" customWidth="1"/>
    <col min="24" max="24" width="5.33203125" style="3" customWidth="1"/>
    <col min="25" max="25" width="13" customWidth="1"/>
    <col min="26" max="26" width="10.33203125" customWidth="1"/>
    <col min="27" max="27" width="11.77734375" style="3" customWidth="1"/>
    <col min="28" max="28" width="12" style="3" customWidth="1"/>
    <col min="29" max="29" width="10.33203125" style="3" customWidth="1"/>
    <col min="30" max="30" width="5.33203125" style="3" customWidth="1"/>
    <col min="31" max="31" width="13" customWidth="1"/>
    <col min="32" max="32" width="10.33203125" customWidth="1"/>
    <col min="33" max="33" width="11.77734375" style="3" customWidth="1"/>
    <col min="34" max="34" width="12" style="3" customWidth="1"/>
    <col min="35" max="35" width="10.33203125" style="3" customWidth="1"/>
    <col min="36" max="36" width="5.33203125" style="3" customWidth="1"/>
    <col min="37" max="37" width="13" customWidth="1"/>
    <col min="38" max="38" width="10.33203125" customWidth="1"/>
    <col min="39" max="39" width="11.77734375" style="3" customWidth="1"/>
    <col min="40" max="40" width="12" style="3" customWidth="1"/>
    <col min="41" max="41" width="10.33203125" style="3" customWidth="1"/>
  </cols>
  <sheetData>
    <row r="1" spans="1:41" ht="17.399999999999999" thickTop="1" thickBot="1" x14ac:dyDescent="0.35">
      <c r="L1" s="858"/>
      <c r="M1" s="859"/>
      <c r="N1" s="859"/>
      <c r="O1" s="860"/>
      <c r="P1" s="860"/>
      <c r="Q1" s="860"/>
      <c r="R1" s="861"/>
    </row>
    <row r="2" spans="1:41" x14ac:dyDescent="0.3">
      <c r="A2" s="1640" t="s">
        <v>416</v>
      </c>
      <c r="B2" s="1641"/>
      <c r="C2" s="1642"/>
      <c r="D2" s="678" t="s">
        <v>267</v>
      </c>
      <c r="E2" s="679" t="s">
        <v>12</v>
      </c>
      <c r="F2"/>
      <c r="G2" s="1640" t="s">
        <v>417</v>
      </c>
      <c r="H2" s="1641"/>
      <c r="I2" s="1642"/>
      <c r="J2" s="678" t="s">
        <v>267</v>
      </c>
      <c r="K2" s="841" t="s">
        <v>12</v>
      </c>
      <c r="L2" s="862"/>
      <c r="M2" s="1647" t="s">
        <v>611</v>
      </c>
      <c r="N2" s="1648"/>
      <c r="O2" s="1649"/>
      <c r="P2" s="1326" t="s">
        <v>267</v>
      </c>
      <c r="Q2" s="1327" t="s">
        <v>12</v>
      </c>
      <c r="R2" s="863"/>
      <c r="S2" s="1641" t="s">
        <v>418</v>
      </c>
      <c r="T2" s="1641"/>
      <c r="U2" s="1642"/>
      <c r="V2" s="678" t="s">
        <v>267</v>
      </c>
      <c r="W2" s="679" t="s">
        <v>12</v>
      </c>
      <c r="X2"/>
      <c r="Y2" s="1640" t="s">
        <v>419</v>
      </c>
      <c r="Z2" s="1641"/>
      <c r="AA2" s="1642"/>
      <c r="AB2" s="678" t="s">
        <v>267</v>
      </c>
      <c r="AC2" s="679" t="s">
        <v>12</v>
      </c>
      <c r="AD2"/>
      <c r="AE2" s="1640" t="s">
        <v>420</v>
      </c>
      <c r="AF2" s="1641"/>
      <c r="AG2" s="1642"/>
      <c r="AH2" s="678" t="s">
        <v>267</v>
      </c>
      <c r="AI2" s="679" t="s">
        <v>12</v>
      </c>
      <c r="AJ2"/>
      <c r="AK2" s="1640" t="s">
        <v>421</v>
      </c>
      <c r="AL2" s="1641"/>
      <c r="AM2" s="1642"/>
      <c r="AN2" s="678" t="s">
        <v>267</v>
      </c>
      <c r="AO2" s="679" t="s">
        <v>12</v>
      </c>
    </row>
    <row r="3" spans="1:41" ht="19.8" x14ac:dyDescent="0.4">
      <c r="A3" s="92" t="s">
        <v>10</v>
      </c>
      <c r="B3" s="585" t="s">
        <v>386</v>
      </c>
      <c r="C3" s="680" t="s">
        <v>422</v>
      </c>
      <c r="D3" s="681" t="s">
        <v>387</v>
      </c>
      <c r="E3" s="682" t="s">
        <v>387</v>
      </c>
      <c r="F3"/>
      <c r="G3" s="92" t="s">
        <v>10</v>
      </c>
      <c r="H3" s="585" t="s">
        <v>386</v>
      </c>
      <c r="I3" s="680" t="s">
        <v>422</v>
      </c>
      <c r="J3" s="681" t="s">
        <v>387</v>
      </c>
      <c r="K3" s="842" t="s">
        <v>387</v>
      </c>
      <c r="L3" s="862"/>
      <c r="M3" s="92" t="s">
        <v>10</v>
      </c>
      <c r="N3" s="1317" t="s">
        <v>386</v>
      </c>
      <c r="O3" s="1321" t="s">
        <v>666</v>
      </c>
      <c r="P3" s="1328" t="s">
        <v>387</v>
      </c>
      <c r="Q3" s="1218" t="s">
        <v>387</v>
      </c>
      <c r="R3" s="863"/>
      <c r="S3" s="850" t="s">
        <v>10</v>
      </c>
      <c r="T3" s="585" t="s">
        <v>386</v>
      </c>
      <c r="U3" s="680" t="s">
        <v>422</v>
      </c>
      <c r="V3" s="681" t="s">
        <v>387</v>
      </c>
      <c r="W3" s="682" t="s">
        <v>387</v>
      </c>
      <c r="X3"/>
      <c r="Y3" s="92" t="s">
        <v>10</v>
      </c>
      <c r="Z3" s="585" t="s">
        <v>386</v>
      </c>
      <c r="AA3" s="680" t="s">
        <v>422</v>
      </c>
      <c r="AB3" s="681" t="s">
        <v>387</v>
      </c>
      <c r="AC3" s="682" t="s">
        <v>387</v>
      </c>
      <c r="AD3"/>
      <c r="AE3" s="92" t="s">
        <v>10</v>
      </c>
      <c r="AF3" s="585" t="s">
        <v>386</v>
      </c>
      <c r="AG3" s="680" t="s">
        <v>422</v>
      </c>
      <c r="AH3" s="681" t="s">
        <v>387</v>
      </c>
      <c r="AI3" s="682" t="s">
        <v>387</v>
      </c>
      <c r="AJ3"/>
      <c r="AK3" s="92" t="s">
        <v>10</v>
      </c>
      <c r="AL3" s="585" t="s">
        <v>386</v>
      </c>
      <c r="AM3" s="680" t="s">
        <v>422</v>
      </c>
      <c r="AN3" s="681" t="s">
        <v>387</v>
      </c>
      <c r="AO3" s="682" t="s">
        <v>387</v>
      </c>
    </row>
    <row r="4" spans="1:41" ht="19.8" x14ac:dyDescent="0.4">
      <c r="A4" s="683">
        <f t="shared" ref="A4:A6" si="0">+C4*B4</f>
        <v>405000</v>
      </c>
      <c r="B4" s="585">
        <v>1000</v>
      </c>
      <c r="C4" s="684">
        <f>SUM(D4:E4)</f>
        <v>405</v>
      </c>
      <c r="D4" s="350">
        <v>241</v>
      </c>
      <c r="E4" s="51">
        <v>164</v>
      </c>
      <c r="F4"/>
      <c r="G4" s="683">
        <f t="shared" ref="G4:G6" si="1">+I4*H4</f>
        <v>389000</v>
      </c>
      <c r="H4" s="585">
        <v>1000</v>
      </c>
      <c r="I4" s="684">
        <f>SUM(J4:K4)</f>
        <v>389</v>
      </c>
      <c r="J4" s="350">
        <v>198</v>
      </c>
      <c r="K4" s="245">
        <v>191</v>
      </c>
      <c r="L4" s="862"/>
      <c r="M4" s="683">
        <f t="shared" ref="M4:M6" si="2">+O4*N4</f>
        <v>424000</v>
      </c>
      <c r="N4" s="585">
        <v>1000</v>
      </c>
      <c r="O4" s="1321">
        <f>SUM(P4:Q4)</f>
        <v>424</v>
      </c>
      <c r="P4" s="1328">
        <f>亦傑6月薪!AA3</f>
        <v>209</v>
      </c>
      <c r="Q4" s="1218">
        <f>欣鮮6月薪!Z10</f>
        <v>215</v>
      </c>
      <c r="R4" s="863"/>
      <c r="S4" s="851">
        <f t="shared" ref="S4:S6" si="3">+U4*T4</f>
        <v>369000</v>
      </c>
      <c r="T4" s="585">
        <v>1000</v>
      </c>
      <c r="U4" s="684">
        <f>SUM(V4:W4)</f>
        <v>369</v>
      </c>
      <c r="V4" s="350">
        <v>198</v>
      </c>
      <c r="W4" s="51">
        <v>171</v>
      </c>
      <c r="X4"/>
      <c r="Y4" s="683">
        <f t="shared" ref="Y4:Y6" si="4">+AA4*Z4</f>
        <v>344000</v>
      </c>
      <c r="Z4" s="585">
        <v>1000</v>
      </c>
      <c r="AA4" s="684">
        <f>SUM(AB4:AC4)</f>
        <v>344</v>
      </c>
      <c r="AB4" s="350">
        <v>162</v>
      </c>
      <c r="AC4" s="51">
        <v>182</v>
      </c>
      <c r="AD4"/>
      <c r="AE4" s="683">
        <f t="shared" ref="AE4:AE6" si="5">+AG4*AF4</f>
        <v>328000</v>
      </c>
      <c r="AF4" s="585">
        <v>1000</v>
      </c>
      <c r="AG4" s="684">
        <f>SUM(AH4:AI4)</f>
        <v>328</v>
      </c>
      <c r="AH4" s="350">
        <v>166</v>
      </c>
      <c r="AI4" s="51">
        <v>162</v>
      </c>
      <c r="AJ4"/>
      <c r="AK4" s="683">
        <f t="shared" ref="AK4:AK6" si="6">+AM4*AL4</f>
        <v>338000</v>
      </c>
      <c r="AL4" s="585">
        <v>1000</v>
      </c>
      <c r="AM4" s="684">
        <f>SUM(AN4:AO4)</f>
        <v>338</v>
      </c>
      <c r="AN4" s="350">
        <v>206</v>
      </c>
      <c r="AO4" s="51">
        <v>132</v>
      </c>
    </row>
    <row r="5" spans="1:41" ht="19.8" x14ac:dyDescent="0.4">
      <c r="A5" s="683">
        <f t="shared" si="0"/>
        <v>4000</v>
      </c>
      <c r="B5" s="585">
        <v>500</v>
      </c>
      <c r="C5" s="684">
        <f t="shared" ref="C5:C6" si="7">SUM(D5:E5)</f>
        <v>8</v>
      </c>
      <c r="D5" s="350">
        <v>5</v>
      </c>
      <c r="E5" s="51">
        <v>3</v>
      </c>
      <c r="F5"/>
      <c r="G5" s="683">
        <f t="shared" si="1"/>
        <v>2000</v>
      </c>
      <c r="H5" s="585">
        <v>500</v>
      </c>
      <c r="I5" s="684">
        <f t="shared" ref="I5:I6" si="8">SUM(J5:K5)</f>
        <v>4</v>
      </c>
      <c r="J5" s="350">
        <v>3</v>
      </c>
      <c r="K5" s="245">
        <v>1</v>
      </c>
      <c r="L5" s="862"/>
      <c r="M5" s="683">
        <f t="shared" si="2"/>
        <v>3000</v>
      </c>
      <c r="N5" s="585">
        <v>500</v>
      </c>
      <c r="O5" s="1321">
        <f t="shared" ref="O5:O6" si="9">SUM(P5:Q5)</f>
        <v>6</v>
      </c>
      <c r="P5" s="1328">
        <f>亦傑6月薪!AA4</f>
        <v>3</v>
      </c>
      <c r="Q5" s="1218">
        <f>欣鮮6月薪!Z9</f>
        <v>3</v>
      </c>
      <c r="R5" s="863"/>
      <c r="S5" s="851">
        <f t="shared" si="3"/>
        <v>4000</v>
      </c>
      <c r="T5" s="585">
        <v>500</v>
      </c>
      <c r="U5" s="684">
        <f t="shared" ref="U5:U6" si="10">SUM(V5:W5)</f>
        <v>8</v>
      </c>
      <c r="V5" s="350">
        <v>6</v>
      </c>
      <c r="W5" s="51">
        <v>2</v>
      </c>
      <c r="X5"/>
      <c r="Y5" s="683">
        <f t="shared" si="4"/>
        <v>2500</v>
      </c>
      <c r="Z5" s="585">
        <v>500</v>
      </c>
      <c r="AA5" s="684">
        <f t="shared" ref="AA5:AA6" si="11">SUM(AB5:AC5)</f>
        <v>5</v>
      </c>
      <c r="AB5" s="350">
        <v>3</v>
      </c>
      <c r="AC5" s="51">
        <v>2</v>
      </c>
      <c r="AD5"/>
      <c r="AE5" s="683">
        <f t="shared" si="5"/>
        <v>2500</v>
      </c>
      <c r="AF5" s="585">
        <v>500</v>
      </c>
      <c r="AG5" s="684">
        <f t="shared" ref="AG5:AG6" si="12">SUM(AH5:AI5)</f>
        <v>5</v>
      </c>
      <c r="AH5" s="350">
        <v>3</v>
      </c>
      <c r="AI5" s="51">
        <v>2</v>
      </c>
      <c r="AJ5"/>
      <c r="AK5" s="683">
        <f t="shared" si="6"/>
        <v>3000</v>
      </c>
      <c r="AL5" s="585">
        <v>500</v>
      </c>
      <c r="AM5" s="684">
        <f t="shared" ref="AM5:AM6" si="13">SUM(AN5:AO5)</f>
        <v>6</v>
      </c>
      <c r="AN5" s="350">
        <v>3</v>
      </c>
      <c r="AO5" s="51">
        <v>3</v>
      </c>
    </row>
    <row r="6" spans="1:41" ht="19.8" x14ac:dyDescent="0.4">
      <c r="A6" s="683">
        <f t="shared" si="0"/>
        <v>2200</v>
      </c>
      <c r="B6" s="585">
        <v>100</v>
      </c>
      <c r="C6" s="684">
        <f t="shared" si="7"/>
        <v>22</v>
      </c>
      <c r="D6" s="350">
        <v>13</v>
      </c>
      <c r="E6" s="51">
        <v>9</v>
      </c>
      <c r="F6"/>
      <c r="G6" s="683">
        <f t="shared" si="1"/>
        <v>2400</v>
      </c>
      <c r="H6" s="585">
        <v>100</v>
      </c>
      <c r="I6" s="684">
        <f t="shared" si="8"/>
        <v>24</v>
      </c>
      <c r="J6" s="350">
        <v>14</v>
      </c>
      <c r="K6" s="245">
        <v>10</v>
      </c>
      <c r="L6" s="862"/>
      <c r="M6" s="683">
        <f t="shared" si="2"/>
        <v>1900</v>
      </c>
      <c r="N6" s="585">
        <v>100</v>
      </c>
      <c r="O6" s="1321">
        <f t="shared" si="9"/>
        <v>19</v>
      </c>
      <c r="P6" s="1328">
        <f>亦傑6月薪!AA5</f>
        <v>11</v>
      </c>
      <c r="Q6" s="1218">
        <f>欣鮮6月薪!Z8</f>
        <v>8</v>
      </c>
      <c r="R6" s="863"/>
      <c r="S6" s="851">
        <f t="shared" si="3"/>
        <v>3400</v>
      </c>
      <c r="T6" s="585">
        <v>100</v>
      </c>
      <c r="U6" s="684">
        <f t="shared" si="10"/>
        <v>34</v>
      </c>
      <c r="V6" s="350">
        <v>12</v>
      </c>
      <c r="W6" s="51">
        <v>22</v>
      </c>
      <c r="X6"/>
      <c r="Y6" s="683">
        <f t="shared" si="4"/>
        <v>2200</v>
      </c>
      <c r="Z6" s="585">
        <v>100</v>
      </c>
      <c r="AA6" s="684">
        <f t="shared" si="11"/>
        <v>22</v>
      </c>
      <c r="AB6" s="350">
        <v>9</v>
      </c>
      <c r="AC6" s="51">
        <v>13</v>
      </c>
      <c r="AD6"/>
      <c r="AE6" s="683">
        <f t="shared" si="5"/>
        <v>1600</v>
      </c>
      <c r="AF6" s="585">
        <v>100</v>
      </c>
      <c r="AG6" s="684">
        <f t="shared" si="12"/>
        <v>16</v>
      </c>
      <c r="AH6" s="350">
        <v>11</v>
      </c>
      <c r="AI6" s="51">
        <v>5</v>
      </c>
      <c r="AJ6"/>
      <c r="AK6" s="683">
        <f t="shared" si="6"/>
        <v>1500</v>
      </c>
      <c r="AL6" s="585">
        <v>100</v>
      </c>
      <c r="AM6" s="684">
        <f t="shared" si="13"/>
        <v>15</v>
      </c>
      <c r="AN6" s="350">
        <v>6</v>
      </c>
      <c r="AO6" s="51">
        <v>9</v>
      </c>
    </row>
    <row r="7" spans="1:41" x14ac:dyDescent="0.3">
      <c r="A7" s="685"/>
      <c r="B7" s="686">
        <v>50</v>
      </c>
      <c r="C7" s="351"/>
      <c r="D7" s="350"/>
      <c r="E7" s="51"/>
      <c r="F7"/>
      <c r="G7" s="685"/>
      <c r="H7" s="686">
        <v>50</v>
      </c>
      <c r="I7" s="351"/>
      <c r="J7" s="350"/>
      <c r="K7" s="245"/>
      <c r="L7" s="862"/>
      <c r="M7" s="685"/>
      <c r="N7" s="686">
        <v>50</v>
      </c>
      <c r="O7" s="1318"/>
      <c r="P7" s="1322"/>
      <c r="Q7" s="1323"/>
      <c r="R7" s="863"/>
      <c r="S7" s="852"/>
      <c r="T7" s="686">
        <v>50</v>
      </c>
      <c r="U7" s="351"/>
      <c r="V7" s="350"/>
      <c r="W7" s="51"/>
      <c r="X7"/>
      <c r="Y7" s="685"/>
      <c r="Z7" s="686">
        <v>50</v>
      </c>
      <c r="AA7" s="351"/>
      <c r="AB7" s="350"/>
      <c r="AC7" s="51"/>
      <c r="AD7"/>
      <c r="AE7" s="685"/>
      <c r="AF7" s="686">
        <v>50</v>
      </c>
      <c r="AG7" s="351"/>
      <c r="AH7" s="350"/>
      <c r="AI7" s="51"/>
      <c r="AJ7"/>
      <c r="AK7" s="685"/>
      <c r="AL7" s="686">
        <v>50</v>
      </c>
      <c r="AM7" s="351"/>
      <c r="AN7" s="350"/>
      <c r="AO7" s="51"/>
    </row>
    <row r="8" spans="1:41" x14ac:dyDescent="0.3">
      <c r="A8" s="685"/>
      <c r="B8" s="686">
        <v>10</v>
      </c>
      <c r="C8" s="351"/>
      <c r="D8" s="350"/>
      <c r="E8" s="51"/>
      <c r="F8"/>
      <c r="G8" s="685"/>
      <c r="H8" s="686">
        <v>10</v>
      </c>
      <c r="I8" s="351"/>
      <c r="J8" s="350"/>
      <c r="K8" s="245"/>
      <c r="L8" s="862"/>
      <c r="M8" s="685"/>
      <c r="N8" s="686">
        <v>10</v>
      </c>
      <c r="O8" s="1318"/>
      <c r="P8" s="1322"/>
      <c r="Q8" s="1323"/>
      <c r="R8" s="863"/>
      <c r="S8" s="852"/>
      <c r="T8" s="686">
        <v>10</v>
      </c>
      <c r="U8" s="351"/>
      <c r="V8" s="350"/>
      <c r="W8" s="51"/>
      <c r="X8"/>
      <c r="Y8" s="685"/>
      <c r="Z8" s="686">
        <v>10</v>
      </c>
      <c r="AA8" s="351"/>
      <c r="AB8" s="350"/>
      <c r="AC8" s="51"/>
      <c r="AD8"/>
      <c r="AE8" s="685"/>
      <c r="AF8" s="686">
        <v>10</v>
      </c>
      <c r="AG8" s="351"/>
      <c r="AH8" s="350"/>
      <c r="AI8" s="51"/>
      <c r="AJ8"/>
      <c r="AK8" s="685"/>
      <c r="AL8" s="686">
        <v>10</v>
      </c>
      <c r="AM8" s="351"/>
      <c r="AN8" s="350"/>
      <c r="AO8" s="51"/>
    </row>
    <row r="9" spans="1:41" x14ac:dyDescent="0.3">
      <c r="A9" s="685"/>
      <c r="B9" s="686">
        <v>5</v>
      </c>
      <c r="C9" s="351"/>
      <c r="D9" s="350"/>
      <c r="E9" s="51"/>
      <c r="F9"/>
      <c r="G9" s="685"/>
      <c r="H9" s="686">
        <v>5</v>
      </c>
      <c r="I9" s="351"/>
      <c r="J9" s="350"/>
      <c r="K9" s="245"/>
      <c r="L9" s="862"/>
      <c r="M9" s="685"/>
      <c r="N9" s="686">
        <v>5</v>
      </c>
      <c r="O9" s="1318"/>
      <c r="P9" s="1322"/>
      <c r="Q9" s="1323"/>
      <c r="R9" s="863"/>
      <c r="S9" s="852"/>
      <c r="T9" s="686">
        <v>5</v>
      </c>
      <c r="U9" s="351"/>
      <c r="V9" s="350"/>
      <c r="W9" s="51"/>
      <c r="X9"/>
      <c r="Y9" s="685"/>
      <c r="Z9" s="686">
        <v>5</v>
      </c>
      <c r="AA9" s="351"/>
      <c r="AB9" s="350"/>
      <c r="AC9" s="51"/>
      <c r="AD9"/>
      <c r="AE9" s="685"/>
      <c r="AF9" s="686">
        <v>5</v>
      </c>
      <c r="AG9" s="351"/>
      <c r="AH9" s="350"/>
      <c r="AI9" s="51"/>
      <c r="AJ9"/>
      <c r="AK9" s="685"/>
      <c r="AL9" s="686">
        <v>5</v>
      </c>
      <c r="AM9" s="351"/>
      <c r="AN9" s="350"/>
      <c r="AO9" s="51"/>
    </row>
    <row r="10" spans="1:41" ht="16.8" thickBot="1" x14ac:dyDescent="0.35">
      <c r="A10" s="687"/>
      <c r="B10" s="688">
        <v>1</v>
      </c>
      <c r="C10" s="689"/>
      <c r="D10" s="350"/>
      <c r="E10" s="51"/>
      <c r="F10"/>
      <c r="G10" s="687"/>
      <c r="H10" s="688">
        <v>1</v>
      </c>
      <c r="I10" s="689"/>
      <c r="J10" s="350"/>
      <c r="K10" s="245"/>
      <c r="L10" s="862"/>
      <c r="M10" s="687"/>
      <c r="N10" s="688">
        <v>1</v>
      </c>
      <c r="O10" s="1319"/>
      <c r="P10" s="1322"/>
      <c r="Q10" s="1323"/>
      <c r="R10" s="863"/>
      <c r="S10" s="853"/>
      <c r="T10" s="688">
        <v>1</v>
      </c>
      <c r="U10" s="689"/>
      <c r="V10" s="350"/>
      <c r="W10" s="51"/>
      <c r="X10"/>
      <c r="Y10" s="687"/>
      <c r="Z10" s="688">
        <v>1</v>
      </c>
      <c r="AA10" s="689"/>
      <c r="AB10" s="350"/>
      <c r="AC10" s="51"/>
      <c r="AD10"/>
      <c r="AE10" s="687"/>
      <c r="AF10" s="688">
        <v>1</v>
      </c>
      <c r="AG10" s="689"/>
      <c r="AH10" s="350"/>
      <c r="AI10" s="51"/>
      <c r="AJ10"/>
      <c r="AK10" s="687"/>
      <c r="AL10" s="688">
        <v>1</v>
      </c>
      <c r="AM10" s="689"/>
      <c r="AN10" s="350"/>
      <c r="AO10" s="51"/>
    </row>
    <row r="11" spans="1:41" ht="16.8" thickBot="1" x14ac:dyDescent="0.35">
      <c r="A11" s="690">
        <f>SUM(A4:A10)</f>
        <v>411200</v>
      </c>
      <c r="B11" s="691"/>
      <c r="C11" s="692"/>
      <c r="D11" s="693">
        <f>SUM(B4*D4+B5*D5+B6*D6+B7*D7+B8*D8+B9*D9+B10*D10)</f>
        <v>244800</v>
      </c>
      <c r="E11" s="694">
        <f>+B4*E4+B5*E5+B6*E6+B7*E7+B8*E8+B9*E9+B10*E10</f>
        <v>166400</v>
      </c>
      <c r="F11"/>
      <c r="G11" s="690">
        <f>SUM(G4:G10)</f>
        <v>393400</v>
      </c>
      <c r="H11" s="691"/>
      <c r="I11" s="692"/>
      <c r="J11" s="693">
        <f>SUM(H4*J4+H5*J5+H6*J6+H7*J7+H8*J8+H9*J9+H10*J10)</f>
        <v>200900</v>
      </c>
      <c r="K11" s="843">
        <f>+H4*K4+H5*K5+H6*K6+H7*K7+H8*K8+H9*K9+H10*K10</f>
        <v>192500</v>
      </c>
      <c r="L11" s="862"/>
      <c r="M11" s="690">
        <f>SUM(M4:M10)</f>
        <v>428900</v>
      </c>
      <c r="N11" s="691"/>
      <c r="O11" s="1320"/>
      <c r="P11" s="1324">
        <f>SUM(N4*P4+N5*P5+N6*P6+N7*P7+N8*P8+N9*P9+N10*P10)</f>
        <v>211600</v>
      </c>
      <c r="Q11" s="1325">
        <f>+N4*Q4+N5*Q5+N6*Q6+N7*Q7+N8*Q8+N9*Q9+N10*Q10</f>
        <v>217300</v>
      </c>
      <c r="R11" s="863"/>
      <c r="S11" s="854">
        <f>SUM(S4:S10)</f>
        <v>376400</v>
      </c>
      <c r="T11" s="691"/>
      <c r="U11" s="692"/>
      <c r="V11" s="693">
        <f>SUM(T4*V4+T5*V5+T6*V6+T7*V7+T8*V8+T9*V9+T10*V10)</f>
        <v>202200</v>
      </c>
      <c r="W11" s="694">
        <f>+T4*W4+T5*W5+T6*W6+T7*W7+T8*W8+T9*W9+T10*W10</f>
        <v>174200</v>
      </c>
      <c r="X11"/>
      <c r="Y11" s="690">
        <f>SUM(Y4:Y10)</f>
        <v>348700</v>
      </c>
      <c r="Z11" s="691"/>
      <c r="AA11" s="692"/>
      <c r="AB11" s="693">
        <f>SUM(Z4*AB4+Z5*AB5+Z6*AB6+Z7*AB7+Z8*AB8+Z9*AB9+Z10*AB10)</f>
        <v>164400</v>
      </c>
      <c r="AC11" s="694">
        <f>+Z4*AC4+Z5*AC5+Z6*AC6+Z7*AC7+Z8*AC8+Z9*AC9+Z10*AC10</f>
        <v>184300</v>
      </c>
      <c r="AD11"/>
      <c r="AE11" s="690">
        <f>SUM(AE4:AE10)</f>
        <v>332100</v>
      </c>
      <c r="AF11" s="691"/>
      <c r="AG11" s="692"/>
      <c r="AH11" s="693">
        <f>SUM(AF4*AH4+AF5*AH5+AF6*AH6+AF7*AH7+AF8*AH8+AF9*AH9+AF10*AH10)</f>
        <v>168600</v>
      </c>
      <c r="AI11" s="694">
        <f>+AF4*AI4+AF5*AI5+AF6*AI6+AF7*AI7+AF8*AI8+AF9*AI9+AF10*AI10</f>
        <v>163500</v>
      </c>
      <c r="AJ11"/>
      <c r="AK11" s="690">
        <f>SUM(AK4:AK10)</f>
        <v>342500</v>
      </c>
      <c r="AL11" s="691"/>
      <c r="AM11" s="692"/>
      <c r="AN11" s="693">
        <f>SUM(AL4*AN4+AL5*AN5+AL6*AN6+AL7*AN7+AL8*AN8+AL9*AN9+AL10*AN10)</f>
        <v>208100</v>
      </c>
      <c r="AO11" s="694">
        <f>+AL4*AO4+AL5*AO5+AL6*AO6+AL7*AO7+AL8*AO8+AL9*AO9+AL10*AO10</f>
        <v>134400</v>
      </c>
    </row>
    <row r="12" spans="1:41" x14ac:dyDescent="0.3">
      <c r="L12" s="864"/>
      <c r="R12" s="865"/>
    </row>
    <row r="13" spans="1:41" ht="16.8" thickBot="1" x14ac:dyDescent="0.35">
      <c r="L13" s="864"/>
      <c r="R13" s="865"/>
    </row>
    <row r="14" spans="1:41" ht="19.8" x14ac:dyDescent="0.3">
      <c r="B14" s="1643" t="s">
        <v>423</v>
      </c>
      <c r="C14" s="1644"/>
      <c r="D14" s="695" t="s">
        <v>424</v>
      </c>
      <c r="E14" s="696"/>
      <c r="H14" s="1643" t="s">
        <v>423</v>
      </c>
      <c r="I14" s="1644"/>
      <c r="J14" s="695" t="s">
        <v>424</v>
      </c>
      <c r="K14" s="844"/>
      <c r="L14" s="864"/>
      <c r="N14" s="1645" t="s">
        <v>423</v>
      </c>
      <c r="O14" s="1646"/>
      <c r="P14" s="1073" t="s">
        <v>424</v>
      </c>
      <c r="Q14" s="1074"/>
      <c r="R14" s="865"/>
      <c r="T14" s="1643" t="s">
        <v>423</v>
      </c>
      <c r="U14" s="1644"/>
      <c r="V14" s="695" t="s">
        <v>424</v>
      </c>
      <c r="W14" s="696"/>
      <c r="Z14" s="1643" t="s">
        <v>423</v>
      </c>
      <c r="AA14" s="1644"/>
      <c r="AB14" s="695" t="s">
        <v>424</v>
      </c>
      <c r="AC14" s="696"/>
      <c r="AF14" s="1643" t="s">
        <v>423</v>
      </c>
      <c r="AG14" s="1644"/>
      <c r="AH14" s="695" t="s">
        <v>424</v>
      </c>
      <c r="AI14" s="696"/>
      <c r="AL14" s="1643" t="s">
        <v>423</v>
      </c>
      <c r="AM14" s="1644"/>
      <c r="AN14" s="695" t="s">
        <v>424</v>
      </c>
      <c r="AO14" s="696"/>
    </row>
    <row r="15" spans="1:41" ht="19.8" x14ac:dyDescent="0.3">
      <c r="B15" s="1" t="s">
        <v>267</v>
      </c>
      <c r="C15" s="6">
        <v>467794</v>
      </c>
      <c r="D15" s="697">
        <f>SUM(D11)</f>
        <v>244800</v>
      </c>
      <c r="E15" s="697"/>
      <c r="H15" s="1" t="s">
        <v>267</v>
      </c>
      <c r="I15" s="6">
        <v>520115</v>
      </c>
      <c r="J15" s="697">
        <f>SUM(J11)</f>
        <v>200900</v>
      </c>
      <c r="K15" s="845"/>
      <c r="L15" s="864"/>
      <c r="N15" s="1075" t="s">
        <v>267</v>
      </c>
      <c r="O15" s="1076" t="e">
        <f>亦傑6月薪!V34</f>
        <v>#REF!</v>
      </c>
      <c r="P15" s="1077">
        <f>SUM(P11)</f>
        <v>211600</v>
      </c>
      <c r="Q15" s="1078"/>
      <c r="R15" s="865"/>
      <c r="T15" s="1" t="s">
        <v>267</v>
      </c>
      <c r="U15" s="6">
        <v>583092</v>
      </c>
      <c r="V15" s="697">
        <f>+V11</f>
        <v>202200</v>
      </c>
      <c r="W15" s="697"/>
      <c r="Z15" s="1" t="s">
        <v>267</v>
      </c>
      <c r="AA15" s="6">
        <v>573791</v>
      </c>
      <c r="AB15" s="697">
        <f>+AB11</f>
        <v>164400</v>
      </c>
      <c r="AC15" s="697"/>
      <c r="AF15" s="1" t="s">
        <v>267</v>
      </c>
      <c r="AG15" s="6">
        <v>575034</v>
      </c>
      <c r="AH15" s="697">
        <f>+AH11</f>
        <v>168600</v>
      </c>
      <c r="AI15" s="697"/>
      <c r="AL15" s="1" t="s">
        <v>267</v>
      </c>
      <c r="AM15" s="6">
        <v>501852</v>
      </c>
      <c r="AN15" s="697">
        <f>+AN11</f>
        <v>208100</v>
      </c>
      <c r="AO15" s="697"/>
    </row>
    <row r="16" spans="1:41" ht="19.8" x14ac:dyDescent="0.3">
      <c r="B16" s="1" t="s">
        <v>12</v>
      </c>
      <c r="C16" s="346">
        <v>340196</v>
      </c>
      <c r="D16" s="698">
        <f>SUM(E11)</f>
        <v>166400</v>
      </c>
      <c r="E16" s="699"/>
      <c r="H16" s="1" t="s">
        <v>12</v>
      </c>
      <c r="I16" s="6">
        <v>306408</v>
      </c>
      <c r="J16" s="698">
        <f>SUM(K11)</f>
        <v>192500</v>
      </c>
      <c r="K16" s="846"/>
      <c r="L16" s="864"/>
      <c r="N16" s="1075" t="s">
        <v>12</v>
      </c>
      <c r="O16" s="1076" t="e">
        <f>欣鮮6月薪!U31</f>
        <v>#REF!</v>
      </c>
      <c r="P16" s="1079">
        <f>SUM(Q11)</f>
        <v>217300</v>
      </c>
      <c r="Q16" s="1080"/>
      <c r="R16" s="865"/>
      <c r="T16" s="1" t="s">
        <v>12</v>
      </c>
      <c r="U16" s="6">
        <v>411453</v>
      </c>
      <c r="V16" s="698">
        <f>+W11</f>
        <v>174200</v>
      </c>
      <c r="W16" s="699"/>
      <c r="Z16" s="1" t="s">
        <v>12</v>
      </c>
      <c r="AA16" s="6">
        <v>406413</v>
      </c>
      <c r="AB16" s="698">
        <f>+AC11</f>
        <v>184300</v>
      </c>
      <c r="AC16" s="699"/>
      <c r="AF16" s="1" t="s">
        <v>12</v>
      </c>
      <c r="AG16" s="6">
        <v>439676</v>
      </c>
      <c r="AH16" s="698">
        <f>+AI11</f>
        <v>163500</v>
      </c>
      <c r="AI16" s="699"/>
      <c r="AL16" s="1" t="s">
        <v>12</v>
      </c>
      <c r="AM16" s="6">
        <v>466538</v>
      </c>
      <c r="AN16" s="698">
        <f>+AO11</f>
        <v>134400</v>
      </c>
      <c r="AO16" s="699"/>
    </row>
    <row r="17" spans="1:41" ht="20.399999999999999" thickBot="1" x14ac:dyDescent="0.35">
      <c r="B17" s="66" t="s">
        <v>36</v>
      </c>
      <c r="C17" s="700">
        <f>SUM(C15:C16)</f>
        <v>807990</v>
      </c>
      <c r="D17" s="701">
        <f>SUM(A11)</f>
        <v>411200</v>
      </c>
      <c r="E17" s="700">
        <f>SUM(C17:D17)</f>
        <v>1219190</v>
      </c>
      <c r="H17" s="66" t="s">
        <v>36</v>
      </c>
      <c r="I17" s="700">
        <f>SUM(I15:I16)</f>
        <v>826523</v>
      </c>
      <c r="J17" s="701">
        <f>SUM(G11)</f>
        <v>393400</v>
      </c>
      <c r="K17" s="847">
        <f>SUM(K15:K16)</f>
        <v>0</v>
      </c>
      <c r="L17" s="864"/>
      <c r="N17" s="1333" t="s">
        <v>36</v>
      </c>
      <c r="O17" s="1081" t="e">
        <f>SUM(O15:O16)</f>
        <v>#REF!</v>
      </c>
      <c r="P17" s="1082">
        <f>SUM(M11)</f>
        <v>428900</v>
      </c>
      <c r="Q17" s="1083">
        <f>SUM(Q15:Q16)</f>
        <v>0</v>
      </c>
      <c r="R17" s="865"/>
      <c r="T17" s="66" t="s">
        <v>36</v>
      </c>
      <c r="U17" s="700">
        <f>SUM(U15:U16)</f>
        <v>994545</v>
      </c>
      <c r="V17" s="701">
        <f>SUM(S11)</f>
        <v>376400</v>
      </c>
      <c r="W17" s="700">
        <f>SUM(W15:W16)</f>
        <v>0</v>
      </c>
      <c r="Z17" s="66" t="s">
        <v>36</v>
      </c>
      <c r="AA17" s="700">
        <f>SUM(AA15:AA16)</f>
        <v>980204</v>
      </c>
      <c r="AB17" s="701">
        <f>SUM(Y11)</f>
        <v>348700</v>
      </c>
      <c r="AC17" s="700">
        <f>SUM(AC15:AC16)</f>
        <v>0</v>
      </c>
      <c r="AF17" s="66" t="s">
        <v>36</v>
      </c>
      <c r="AG17" s="700">
        <f>SUM(AG15:AG16)</f>
        <v>1014710</v>
      </c>
      <c r="AH17" s="701">
        <f>SUM(AE11)</f>
        <v>332100</v>
      </c>
      <c r="AI17" s="700">
        <f>SUM(AI15:AI16)</f>
        <v>0</v>
      </c>
      <c r="AL17" s="66" t="s">
        <v>36</v>
      </c>
      <c r="AM17" s="700">
        <f>SUM(AM15:AM16)</f>
        <v>968390</v>
      </c>
      <c r="AN17" s="701">
        <f>SUM(AK11)</f>
        <v>342500</v>
      </c>
      <c r="AO17" s="700">
        <f>SUM(AO15:AO16)</f>
        <v>0</v>
      </c>
    </row>
    <row r="18" spans="1:41" x14ac:dyDescent="0.3">
      <c r="D18" s="702"/>
      <c r="I18" s="703"/>
      <c r="J18" s="702"/>
      <c r="L18" s="864"/>
      <c r="O18" s="703"/>
      <c r="P18" s="702"/>
      <c r="R18" s="865"/>
      <c r="U18" s="703"/>
      <c r="V18" s="702"/>
      <c r="AA18" s="703"/>
      <c r="AB18" s="702"/>
      <c r="AG18" s="703"/>
      <c r="AH18" s="702"/>
      <c r="AM18" s="703"/>
      <c r="AN18" s="702"/>
    </row>
    <row r="19" spans="1:41" x14ac:dyDescent="0.3">
      <c r="D19" s="702"/>
      <c r="J19" s="702"/>
      <c r="L19" s="864"/>
      <c r="O19" s="736"/>
      <c r="P19" s="702"/>
      <c r="Q19" s="703"/>
      <c r="R19" s="865"/>
      <c r="U19" s="703"/>
      <c r="V19" s="702"/>
      <c r="AA19" s="703"/>
      <c r="AB19" s="702"/>
      <c r="AG19" s="703"/>
      <c r="AH19" s="702"/>
      <c r="AM19" s="703"/>
      <c r="AN19" s="702"/>
    </row>
    <row r="20" spans="1:41" x14ac:dyDescent="0.3">
      <c r="D20" s="702"/>
      <c r="J20" s="702"/>
      <c r="L20" s="864"/>
      <c r="P20" s="702"/>
      <c r="R20" s="865"/>
      <c r="U20" s="703"/>
      <c r="V20" s="702"/>
      <c r="AA20" s="703"/>
      <c r="AB20" s="702"/>
      <c r="AG20" s="703"/>
      <c r="AH20" s="702"/>
      <c r="AM20" s="703"/>
      <c r="AN20" s="702"/>
    </row>
    <row r="21" spans="1:41" x14ac:dyDescent="0.3">
      <c r="D21" s="702"/>
      <c r="J21" s="702"/>
      <c r="L21" s="864"/>
      <c r="P21" s="702"/>
      <c r="R21" s="865"/>
      <c r="V21" s="702"/>
      <c r="AB21" s="702"/>
      <c r="AH21" s="702"/>
      <c r="AN21" s="702"/>
    </row>
    <row r="22" spans="1:41" x14ac:dyDescent="0.3">
      <c r="L22" s="864"/>
      <c r="R22" s="865"/>
    </row>
    <row r="23" spans="1:41" x14ac:dyDescent="0.3">
      <c r="L23" s="864"/>
      <c r="R23" s="865"/>
    </row>
    <row r="24" spans="1:41" x14ac:dyDescent="0.3">
      <c r="L24" s="864"/>
      <c r="R24" s="865"/>
    </row>
    <row r="25" spans="1:41" x14ac:dyDescent="0.3">
      <c r="A25" s="704">
        <f>SUM(A11,A36)</f>
        <v>411671</v>
      </c>
      <c r="G25" s="704">
        <f>SUM(G11,G36)</f>
        <v>394094</v>
      </c>
      <c r="L25" s="864"/>
      <c r="M25" s="1334">
        <f>SUM(M11,M36)</f>
        <v>429316</v>
      </c>
      <c r="R25" s="865"/>
      <c r="S25" s="704">
        <f>SUM(S11,S36)</f>
        <v>376892</v>
      </c>
      <c r="Y25" s="704">
        <f>SUM(Y11,Y36)</f>
        <v>349088</v>
      </c>
      <c r="AE25" s="704">
        <f>SUM(AE11,AE36)</f>
        <v>332505</v>
      </c>
      <c r="AK25" s="704">
        <f>SUM(AK11,AK36)</f>
        <v>343032</v>
      </c>
    </row>
    <row r="26" spans="1:41" ht="16.8" thickBot="1" x14ac:dyDescent="0.35">
      <c r="A26" s="705" t="s">
        <v>425</v>
      </c>
      <c r="D26" s="706">
        <f>SUM(D11,D36)</f>
        <v>245190</v>
      </c>
      <c r="E26" s="706">
        <f>SUM(E11,E36)</f>
        <v>166481</v>
      </c>
      <c r="G26" s="705" t="s">
        <v>425</v>
      </c>
      <c r="J26" s="706">
        <f>SUM(J11,J36)</f>
        <v>201286</v>
      </c>
      <c r="K26" s="706">
        <f>SUM(K11,K36)</f>
        <v>192808</v>
      </c>
      <c r="L26" s="864"/>
      <c r="M26" s="1335" t="s">
        <v>425</v>
      </c>
      <c r="P26" s="706">
        <f>SUM(P11,P36)</f>
        <v>211843</v>
      </c>
      <c r="Q26" s="706">
        <f>SUM(Q11,Q36)</f>
        <v>217473</v>
      </c>
      <c r="R26" s="865"/>
      <c r="S26" s="705" t="s">
        <v>425</v>
      </c>
      <c r="V26" s="706">
        <f>SUM(V11,V36)</f>
        <v>202483</v>
      </c>
      <c r="W26" s="706">
        <f>SUM(W11,W36)</f>
        <v>174409</v>
      </c>
      <c r="Y26" s="705" t="s">
        <v>425</v>
      </c>
      <c r="AB26" s="706">
        <f>SUM(AB11,AB36)</f>
        <v>164603</v>
      </c>
      <c r="AC26" s="706">
        <f>SUM(AC11,AC36)</f>
        <v>184485</v>
      </c>
      <c r="AE26" s="705" t="s">
        <v>425</v>
      </c>
      <c r="AH26" s="706">
        <f>SUM(AH11,AH36)</f>
        <v>168859</v>
      </c>
      <c r="AI26" s="706">
        <f>SUM(AI11,AI36)</f>
        <v>163646</v>
      </c>
      <c r="AK26" s="705" t="s">
        <v>425</v>
      </c>
      <c r="AN26" s="706">
        <f>SUM(AN11,AN36)</f>
        <v>208336</v>
      </c>
      <c r="AO26" s="706">
        <f>SUM(AO11,AO36)</f>
        <v>134696</v>
      </c>
    </row>
    <row r="27" spans="1:41" x14ac:dyDescent="0.3">
      <c r="A27" s="1640" t="s">
        <v>416</v>
      </c>
      <c r="B27" s="1641"/>
      <c r="C27" s="1642"/>
      <c r="D27" s="707" t="s">
        <v>267</v>
      </c>
      <c r="E27" s="679" t="s">
        <v>12</v>
      </c>
      <c r="G27" s="1640" t="s">
        <v>426</v>
      </c>
      <c r="H27" s="1641"/>
      <c r="I27" s="1642"/>
      <c r="J27" s="707" t="s">
        <v>267</v>
      </c>
      <c r="K27" s="841" t="s">
        <v>12</v>
      </c>
      <c r="L27" s="864"/>
      <c r="M27" s="1650" t="s">
        <v>611</v>
      </c>
      <c r="N27" s="1641"/>
      <c r="O27" s="1642"/>
      <c r="P27" s="1338" t="s">
        <v>267</v>
      </c>
      <c r="Q27" s="1339" t="s">
        <v>12</v>
      </c>
      <c r="R27" s="865"/>
      <c r="S27" s="1641" t="s">
        <v>418</v>
      </c>
      <c r="T27" s="1641"/>
      <c r="U27" s="1642"/>
      <c r="V27" s="707" t="s">
        <v>267</v>
      </c>
      <c r="W27" s="679" t="s">
        <v>12</v>
      </c>
      <c r="Y27" s="1640" t="s">
        <v>419</v>
      </c>
      <c r="Z27" s="1641"/>
      <c r="AA27" s="1642"/>
      <c r="AB27" s="707" t="s">
        <v>267</v>
      </c>
      <c r="AC27" s="679" t="s">
        <v>12</v>
      </c>
      <c r="AE27" s="1640" t="s">
        <v>420</v>
      </c>
      <c r="AF27" s="1641"/>
      <c r="AG27" s="1642"/>
      <c r="AH27" s="707" t="s">
        <v>267</v>
      </c>
      <c r="AI27" s="679" t="s">
        <v>12</v>
      </c>
      <c r="AK27" s="1640" t="s">
        <v>421</v>
      </c>
      <c r="AL27" s="1641"/>
      <c r="AM27" s="1642"/>
      <c r="AN27" s="707" t="s">
        <v>267</v>
      </c>
      <c r="AO27" s="679" t="s">
        <v>12</v>
      </c>
    </row>
    <row r="28" spans="1:41" ht="17.399999999999999" x14ac:dyDescent="0.3">
      <c r="A28" s="92" t="s">
        <v>10</v>
      </c>
      <c r="B28" s="585" t="s">
        <v>386</v>
      </c>
      <c r="C28" s="680" t="s">
        <v>422</v>
      </c>
      <c r="D28" s="681" t="s">
        <v>387</v>
      </c>
      <c r="E28" s="682" t="s">
        <v>387</v>
      </c>
      <c r="G28" s="92" t="s">
        <v>10</v>
      </c>
      <c r="H28" s="585" t="s">
        <v>386</v>
      </c>
      <c r="I28" s="680" t="s">
        <v>422</v>
      </c>
      <c r="J28" s="681" t="s">
        <v>387</v>
      </c>
      <c r="K28" s="842" t="s">
        <v>387</v>
      </c>
      <c r="L28" s="864"/>
      <c r="M28" s="92" t="s">
        <v>10</v>
      </c>
      <c r="N28" s="585" t="s">
        <v>386</v>
      </c>
      <c r="O28" s="1329" t="s">
        <v>422</v>
      </c>
      <c r="P28" s="681" t="s">
        <v>387</v>
      </c>
      <c r="Q28" s="682" t="s">
        <v>387</v>
      </c>
      <c r="R28" s="865"/>
      <c r="S28" s="850" t="s">
        <v>10</v>
      </c>
      <c r="T28" s="585" t="s">
        <v>386</v>
      </c>
      <c r="U28" s="680" t="s">
        <v>422</v>
      </c>
      <c r="V28" s="681" t="s">
        <v>387</v>
      </c>
      <c r="W28" s="682" t="s">
        <v>387</v>
      </c>
      <c r="Y28" s="92" t="s">
        <v>10</v>
      </c>
      <c r="Z28" s="585" t="s">
        <v>386</v>
      </c>
      <c r="AA28" s="680" t="s">
        <v>422</v>
      </c>
      <c r="AB28" s="681" t="s">
        <v>387</v>
      </c>
      <c r="AC28" s="682" t="s">
        <v>387</v>
      </c>
      <c r="AE28" s="92" t="s">
        <v>10</v>
      </c>
      <c r="AF28" s="585" t="s">
        <v>386</v>
      </c>
      <c r="AG28" s="680" t="s">
        <v>422</v>
      </c>
      <c r="AH28" s="681" t="s">
        <v>387</v>
      </c>
      <c r="AI28" s="682" t="s">
        <v>387</v>
      </c>
      <c r="AK28" s="92" t="s">
        <v>10</v>
      </c>
      <c r="AL28" s="585" t="s">
        <v>386</v>
      </c>
      <c r="AM28" s="680" t="s">
        <v>422</v>
      </c>
      <c r="AN28" s="681" t="s">
        <v>387</v>
      </c>
      <c r="AO28" s="682" t="s">
        <v>387</v>
      </c>
    </row>
    <row r="29" spans="1:41" ht="17.399999999999999" x14ac:dyDescent="0.3">
      <c r="A29" s="708">
        <f t="shared" ref="A29:A35" si="14">+C29*B29</f>
        <v>0</v>
      </c>
      <c r="B29" s="686">
        <v>1000</v>
      </c>
      <c r="C29" s="709">
        <f t="shared" ref="C29:C35" si="15">SUM(D29:E29)</f>
        <v>0</v>
      </c>
      <c r="D29" s="710"/>
      <c r="E29" s="711"/>
      <c r="G29" s="708">
        <f t="shared" ref="G29:G35" si="16">+I29*H29</f>
        <v>0</v>
      </c>
      <c r="H29" s="686">
        <v>1000</v>
      </c>
      <c r="I29" s="709">
        <f t="shared" ref="I29:I35" si="17">SUM(J29:K29)</f>
        <v>0</v>
      </c>
      <c r="J29" s="710"/>
      <c r="K29" s="848"/>
      <c r="L29" s="864"/>
      <c r="M29" s="708">
        <f t="shared" ref="M29:M35" si="18">+O29*N29</f>
        <v>0</v>
      </c>
      <c r="N29" s="686">
        <v>1000</v>
      </c>
      <c r="O29" s="1330">
        <f t="shared" ref="O29:O34" si="19">SUM(P29:Q29)</f>
        <v>0</v>
      </c>
      <c r="P29" s="710"/>
      <c r="Q29" s="711"/>
      <c r="R29" s="865"/>
      <c r="S29" s="855">
        <f t="shared" ref="S29:S35" si="20">+U29*T29</f>
        <v>0</v>
      </c>
      <c r="T29" s="686">
        <v>1000</v>
      </c>
      <c r="U29" s="709">
        <f t="shared" ref="U29:U35" si="21">SUM(V29:W29)</f>
        <v>0</v>
      </c>
      <c r="V29" s="710"/>
      <c r="W29" s="711"/>
      <c r="Y29" s="708">
        <f t="shared" ref="Y29:Y35" si="22">+AA29*Z29</f>
        <v>0</v>
      </c>
      <c r="Z29" s="686">
        <v>1000</v>
      </c>
      <c r="AA29" s="709">
        <f t="shared" ref="AA29:AA35" si="23">SUM(AB29:AC29)</f>
        <v>0</v>
      </c>
      <c r="AB29" s="710"/>
      <c r="AC29" s="711"/>
      <c r="AE29" s="708">
        <f t="shared" ref="AE29:AE35" si="24">+AG29*AF29</f>
        <v>0</v>
      </c>
      <c r="AF29" s="686">
        <v>1000</v>
      </c>
      <c r="AG29" s="709">
        <f t="shared" ref="AG29:AG35" si="25">SUM(AH29:AI29)</f>
        <v>0</v>
      </c>
      <c r="AH29" s="710"/>
      <c r="AI29" s="711"/>
      <c r="AK29" s="708">
        <f t="shared" ref="AK29:AK35" si="26">+AM29*AL29</f>
        <v>0</v>
      </c>
      <c r="AL29" s="686">
        <v>1000</v>
      </c>
      <c r="AM29" s="709">
        <f t="shared" ref="AM29:AM35" si="27">SUM(AN29:AO29)</f>
        <v>0</v>
      </c>
      <c r="AN29" s="710"/>
      <c r="AO29" s="711"/>
    </row>
    <row r="30" spans="1:41" ht="17.399999999999999" x14ac:dyDescent="0.3">
      <c r="A30" s="708">
        <f t="shared" si="14"/>
        <v>0</v>
      </c>
      <c r="B30" s="686">
        <v>500</v>
      </c>
      <c r="C30" s="709">
        <f t="shared" si="15"/>
        <v>0</v>
      </c>
      <c r="D30" s="710"/>
      <c r="E30" s="711"/>
      <c r="G30" s="708">
        <f t="shared" si="16"/>
        <v>0</v>
      </c>
      <c r="H30" s="686">
        <v>500</v>
      </c>
      <c r="I30" s="709">
        <f t="shared" si="17"/>
        <v>0</v>
      </c>
      <c r="J30" s="710"/>
      <c r="K30" s="848"/>
      <c r="L30" s="864"/>
      <c r="M30" s="708">
        <f t="shared" si="18"/>
        <v>0</v>
      </c>
      <c r="N30" s="686">
        <v>500</v>
      </c>
      <c r="O30" s="1330">
        <f t="shared" si="19"/>
        <v>0</v>
      </c>
      <c r="P30" s="710"/>
      <c r="Q30" s="711"/>
      <c r="R30" s="865"/>
      <c r="S30" s="855">
        <f t="shared" si="20"/>
        <v>0</v>
      </c>
      <c r="T30" s="686">
        <v>500</v>
      </c>
      <c r="U30" s="709">
        <f t="shared" si="21"/>
        <v>0</v>
      </c>
      <c r="V30" s="710"/>
      <c r="W30" s="711"/>
      <c r="Y30" s="708">
        <f t="shared" si="22"/>
        <v>0</v>
      </c>
      <c r="Z30" s="686">
        <v>500</v>
      </c>
      <c r="AA30" s="709">
        <f t="shared" si="23"/>
        <v>0</v>
      </c>
      <c r="AB30" s="710"/>
      <c r="AC30" s="711"/>
      <c r="AE30" s="708">
        <f t="shared" si="24"/>
        <v>0</v>
      </c>
      <c r="AF30" s="686">
        <v>500</v>
      </c>
      <c r="AG30" s="709">
        <f t="shared" si="25"/>
        <v>0</v>
      </c>
      <c r="AH30" s="710"/>
      <c r="AI30" s="711"/>
      <c r="AK30" s="708">
        <f t="shared" si="26"/>
        <v>0</v>
      </c>
      <c r="AL30" s="686">
        <v>500</v>
      </c>
      <c r="AM30" s="709">
        <f t="shared" si="27"/>
        <v>0</v>
      </c>
      <c r="AN30" s="710"/>
      <c r="AO30" s="711"/>
    </row>
    <row r="31" spans="1:41" ht="17.399999999999999" x14ac:dyDescent="0.3">
      <c r="A31" s="708">
        <f t="shared" si="14"/>
        <v>0</v>
      </c>
      <c r="B31" s="686">
        <v>100</v>
      </c>
      <c r="C31" s="709">
        <f t="shared" si="15"/>
        <v>0</v>
      </c>
      <c r="D31" s="710"/>
      <c r="E31" s="711"/>
      <c r="G31" s="708">
        <f t="shared" si="16"/>
        <v>0</v>
      </c>
      <c r="H31" s="686">
        <v>100</v>
      </c>
      <c r="I31" s="709">
        <f t="shared" si="17"/>
        <v>0</v>
      </c>
      <c r="J31" s="710"/>
      <c r="K31" s="848"/>
      <c r="L31" s="864"/>
      <c r="M31" s="708">
        <f t="shared" si="18"/>
        <v>0</v>
      </c>
      <c r="N31" s="686">
        <v>100</v>
      </c>
      <c r="O31" s="1330">
        <f t="shared" si="19"/>
        <v>0</v>
      </c>
      <c r="P31" s="710"/>
      <c r="Q31" s="711"/>
      <c r="R31" s="865"/>
      <c r="S31" s="855">
        <f t="shared" si="20"/>
        <v>0</v>
      </c>
      <c r="T31" s="686">
        <v>100</v>
      </c>
      <c r="U31" s="709">
        <f t="shared" si="21"/>
        <v>0</v>
      </c>
      <c r="V31" s="710"/>
      <c r="W31" s="711"/>
      <c r="Y31" s="708">
        <f t="shared" si="22"/>
        <v>0</v>
      </c>
      <c r="Z31" s="686">
        <v>100</v>
      </c>
      <c r="AA31" s="709">
        <f t="shared" si="23"/>
        <v>0</v>
      </c>
      <c r="AB31" s="710"/>
      <c r="AC31" s="711"/>
      <c r="AE31" s="708">
        <f t="shared" si="24"/>
        <v>0</v>
      </c>
      <c r="AF31" s="686">
        <v>100</v>
      </c>
      <c r="AG31" s="709">
        <f t="shared" si="25"/>
        <v>0</v>
      </c>
      <c r="AH31" s="710"/>
      <c r="AI31" s="711"/>
      <c r="AK31" s="708">
        <f t="shared" si="26"/>
        <v>0</v>
      </c>
      <c r="AL31" s="686">
        <v>100</v>
      </c>
      <c r="AM31" s="709">
        <f t="shared" si="27"/>
        <v>0</v>
      </c>
      <c r="AN31" s="710"/>
      <c r="AO31" s="711"/>
    </row>
    <row r="32" spans="1:41" ht="17.399999999999999" x14ac:dyDescent="0.3">
      <c r="A32" s="683">
        <f t="shared" si="14"/>
        <v>150</v>
      </c>
      <c r="B32" s="585">
        <v>50</v>
      </c>
      <c r="C32" s="684">
        <f t="shared" si="15"/>
        <v>3</v>
      </c>
      <c r="D32" s="350">
        <v>3</v>
      </c>
      <c r="E32" s="51">
        <v>0</v>
      </c>
      <c r="G32" s="683">
        <f t="shared" si="16"/>
        <v>400</v>
      </c>
      <c r="H32" s="585">
        <v>50</v>
      </c>
      <c r="I32" s="684">
        <f t="shared" si="17"/>
        <v>8</v>
      </c>
      <c r="J32" s="350">
        <v>4</v>
      </c>
      <c r="K32" s="245">
        <v>4</v>
      </c>
      <c r="L32" s="864"/>
      <c r="M32" s="683">
        <f t="shared" si="18"/>
        <v>150</v>
      </c>
      <c r="N32" s="585">
        <v>50</v>
      </c>
      <c r="O32" s="1331">
        <f t="shared" si="19"/>
        <v>3</v>
      </c>
      <c r="P32" s="350">
        <f>亦傑6月薪!AA6</f>
        <v>2</v>
      </c>
      <c r="Q32" s="51">
        <f>欣鮮6月薪!Z7</f>
        <v>1</v>
      </c>
      <c r="R32" s="865"/>
      <c r="S32" s="851">
        <f t="shared" si="20"/>
        <v>250</v>
      </c>
      <c r="T32" s="585">
        <v>50</v>
      </c>
      <c r="U32" s="684">
        <f t="shared" si="21"/>
        <v>5</v>
      </c>
      <c r="V32" s="350">
        <v>3</v>
      </c>
      <c r="W32" s="51">
        <v>2</v>
      </c>
      <c r="Y32" s="683">
        <f t="shared" si="22"/>
        <v>200</v>
      </c>
      <c r="Z32" s="585">
        <v>50</v>
      </c>
      <c r="AA32" s="684">
        <f t="shared" si="23"/>
        <v>4</v>
      </c>
      <c r="AB32" s="350">
        <v>2</v>
      </c>
      <c r="AC32" s="51">
        <v>2</v>
      </c>
      <c r="AE32" s="683">
        <f t="shared" si="24"/>
        <v>200</v>
      </c>
      <c r="AF32" s="585">
        <v>50</v>
      </c>
      <c r="AG32" s="684">
        <f t="shared" si="25"/>
        <v>4</v>
      </c>
      <c r="AH32" s="350">
        <v>3</v>
      </c>
      <c r="AI32" s="51">
        <v>1</v>
      </c>
      <c r="AK32" s="683">
        <f t="shared" si="26"/>
        <v>250</v>
      </c>
      <c r="AL32" s="585">
        <v>50</v>
      </c>
      <c r="AM32" s="684">
        <f t="shared" si="27"/>
        <v>5</v>
      </c>
      <c r="AN32" s="350">
        <v>1</v>
      </c>
      <c r="AO32" s="51">
        <v>4</v>
      </c>
    </row>
    <row r="33" spans="1:41" ht="17.399999999999999" x14ac:dyDescent="0.3">
      <c r="A33" s="683">
        <f t="shared" si="14"/>
        <v>260</v>
      </c>
      <c r="B33" s="585">
        <v>10</v>
      </c>
      <c r="C33" s="684">
        <f t="shared" si="15"/>
        <v>26</v>
      </c>
      <c r="D33" s="350">
        <v>19</v>
      </c>
      <c r="E33" s="51">
        <v>7</v>
      </c>
      <c r="G33" s="683">
        <f t="shared" si="16"/>
        <v>250</v>
      </c>
      <c r="H33" s="585">
        <v>10</v>
      </c>
      <c r="I33" s="684">
        <f t="shared" si="17"/>
        <v>25</v>
      </c>
      <c r="J33" s="350">
        <v>16</v>
      </c>
      <c r="K33" s="245">
        <v>9</v>
      </c>
      <c r="L33" s="864"/>
      <c r="M33" s="683">
        <f t="shared" si="18"/>
        <v>220</v>
      </c>
      <c r="N33" s="585">
        <v>10</v>
      </c>
      <c r="O33" s="1331">
        <f t="shared" si="19"/>
        <v>22</v>
      </c>
      <c r="P33" s="350">
        <f>亦傑6月薪!AA7</f>
        <v>12</v>
      </c>
      <c r="Q33" s="51">
        <f>欣鮮6月薪!Z6</f>
        <v>10</v>
      </c>
      <c r="R33" s="865"/>
      <c r="S33" s="851">
        <f t="shared" si="20"/>
        <v>190</v>
      </c>
      <c r="T33" s="585">
        <v>10</v>
      </c>
      <c r="U33" s="684">
        <f t="shared" si="21"/>
        <v>19</v>
      </c>
      <c r="V33" s="350">
        <v>9</v>
      </c>
      <c r="W33" s="51">
        <v>10</v>
      </c>
      <c r="Y33" s="683">
        <f t="shared" si="22"/>
        <v>160</v>
      </c>
      <c r="Z33" s="585">
        <v>10</v>
      </c>
      <c r="AA33" s="684">
        <f t="shared" si="23"/>
        <v>16</v>
      </c>
      <c r="AB33" s="350">
        <v>9</v>
      </c>
      <c r="AC33" s="51">
        <v>7</v>
      </c>
      <c r="AE33" s="683">
        <f t="shared" si="24"/>
        <v>180</v>
      </c>
      <c r="AF33" s="585">
        <v>10</v>
      </c>
      <c r="AG33" s="684">
        <f t="shared" si="25"/>
        <v>18</v>
      </c>
      <c r="AH33" s="350">
        <v>10</v>
      </c>
      <c r="AI33" s="51">
        <v>8</v>
      </c>
      <c r="AK33" s="683">
        <f t="shared" si="26"/>
        <v>230</v>
      </c>
      <c r="AL33" s="585">
        <v>10</v>
      </c>
      <c r="AM33" s="684">
        <f t="shared" si="27"/>
        <v>23</v>
      </c>
      <c r="AN33" s="350">
        <v>16</v>
      </c>
      <c r="AO33" s="51">
        <v>7</v>
      </c>
    </row>
    <row r="34" spans="1:41" ht="17.399999999999999" x14ac:dyDescent="0.3">
      <c r="A34" s="683">
        <f t="shared" si="14"/>
        <v>35</v>
      </c>
      <c r="B34" s="585">
        <v>5</v>
      </c>
      <c r="C34" s="684">
        <f t="shared" si="15"/>
        <v>7</v>
      </c>
      <c r="D34" s="350">
        <v>6</v>
      </c>
      <c r="E34" s="51">
        <v>1</v>
      </c>
      <c r="G34" s="683">
        <f t="shared" si="16"/>
        <v>20</v>
      </c>
      <c r="H34" s="585">
        <v>5</v>
      </c>
      <c r="I34" s="684">
        <f t="shared" si="17"/>
        <v>4</v>
      </c>
      <c r="J34" s="350">
        <v>2</v>
      </c>
      <c r="K34" s="245">
        <v>2</v>
      </c>
      <c r="L34" s="864"/>
      <c r="M34" s="683">
        <f t="shared" si="18"/>
        <v>25</v>
      </c>
      <c r="N34" s="585">
        <v>5</v>
      </c>
      <c r="O34" s="1331">
        <f t="shared" si="19"/>
        <v>5</v>
      </c>
      <c r="P34" s="350">
        <f>亦傑6月薪!AA8</f>
        <v>2</v>
      </c>
      <c r="Q34" s="51">
        <f>欣鮮6月薪!Z5</f>
        <v>3</v>
      </c>
      <c r="R34" s="865"/>
      <c r="S34" s="851">
        <f t="shared" si="20"/>
        <v>35</v>
      </c>
      <c r="T34" s="585">
        <v>5</v>
      </c>
      <c r="U34" s="684">
        <f t="shared" si="21"/>
        <v>7</v>
      </c>
      <c r="V34" s="350">
        <v>6</v>
      </c>
      <c r="W34" s="51">
        <v>1</v>
      </c>
      <c r="Y34" s="683">
        <f t="shared" si="22"/>
        <v>15</v>
      </c>
      <c r="Z34" s="585">
        <v>5</v>
      </c>
      <c r="AA34" s="684">
        <f t="shared" si="23"/>
        <v>3</v>
      </c>
      <c r="AB34" s="350">
        <v>1</v>
      </c>
      <c r="AC34" s="51">
        <v>2</v>
      </c>
      <c r="AE34" s="683">
        <f t="shared" si="24"/>
        <v>15</v>
      </c>
      <c r="AF34" s="585">
        <v>5</v>
      </c>
      <c r="AG34" s="684">
        <f t="shared" si="25"/>
        <v>3</v>
      </c>
      <c r="AH34" s="350">
        <v>1</v>
      </c>
      <c r="AI34" s="51">
        <v>2</v>
      </c>
      <c r="AK34" s="683">
        <f t="shared" si="26"/>
        <v>35</v>
      </c>
      <c r="AL34" s="585">
        <v>5</v>
      </c>
      <c r="AM34" s="684">
        <f t="shared" si="27"/>
        <v>7</v>
      </c>
      <c r="AN34" s="350">
        <v>4</v>
      </c>
      <c r="AO34" s="51">
        <v>3</v>
      </c>
    </row>
    <row r="35" spans="1:41" ht="18" thickBot="1" x14ac:dyDescent="0.35">
      <c r="A35" s="712">
        <f t="shared" si="14"/>
        <v>26</v>
      </c>
      <c r="B35" s="713">
        <v>1</v>
      </c>
      <c r="C35" s="714">
        <f t="shared" si="15"/>
        <v>26</v>
      </c>
      <c r="D35" s="350">
        <v>20</v>
      </c>
      <c r="E35" s="51">
        <v>6</v>
      </c>
      <c r="G35" s="712">
        <f t="shared" si="16"/>
        <v>24</v>
      </c>
      <c r="H35" s="713">
        <v>1</v>
      </c>
      <c r="I35" s="714">
        <f t="shared" si="17"/>
        <v>24</v>
      </c>
      <c r="J35" s="350">
        <v>16</v>
      </c>
      <c r="K35" s="245">
        <v>8</v>
      </c>
      <c r="L35" s="864"/>
      <c r="M35" s="712">
        <f t="shared" si="18"/>
        <v>21</v>
      </c>
      <c r="N35" s="713">
        <v>1</v>
      </c>
      <c r="O35" s="1332">
        <f>SUM(P35:Q35)</f>
        <v>21</v>
      </c>
      <c r="P35" s="825">
        <f>亦傑6月薪!Y9</f>
        <v>13</v>
      </c>
      <c r="Q35" s="51">
        <f>欣鮮6月薪!Z4</f>
        <v>8</v>
      </c>
      <c r="R35" s="865"/>
      <c r="S35" s="856">
        <f t="shared" si="20"/>
        <v>17</v>
      </c>
      <c r="T35" s="713">
        <v>1</v>
      </c>
      <c r="U35" s="714">
        <f t="shared" si="21"/>
        <v>17</v>
      </c>
      <c r="V35" s="350">
        <v>13</v>
      </c>
      <c r="W35" s="51">
        <v>4</v>
      </c>
      <c r="Y35" s="712">
        <f t="shared" si="22"/>
        <v>13</v>
      </c>
      <c r="Z35" s="713">
        <v>1</v>
      </c>
      <c r="AA35" s="714">
        <f t="shared" si="23"/>
        <v>13</v>
      </c>
      <c r="AB35" s="350">
        <v>8</v>
      </c>
      <c r="AC35" s="51">
        <v>5</v>
      </c>
      <c r="AE35" s="712">
        <f t="shared" si="24"/>
        <v>10</v>
      </c>
      <c r="AF35" s="713">
        <v>1</v>
      </c>
      <c r="AG35" s="714">
        <f t="shared" si="25"/>
        <v>10</v>
      </c>
      <c r="AH35" s="350">
        <v>4</v>
      </c>
      <c r="AI35" s="51">
        <v>6</v>
      </c>
      <c r="AK35" s="712">
        <f t="shared" si="26"/>
        <v>17</v>
      </c>
      <c r="AL35" s="713">
        <v>1</v>
      </c>
      <c r="AM35" s="714">
        <f t="shared" si="27"/>
        <v>17</v>
      </c>
      <c r="AN35" s="350">
        <v>6</v>
      </c>
      <c r="AO35" s="51">
        <v>11</v>
      </c>
    </row>
    <row r="36" spans="1:41" ht="16.8" thickBot="1" x14ac:dyDescent="0.35">
      <c r="A36" s="715">
        <f>SUM(A29:A35)</f>
        <v>471</v>
      </c>
      <c r="B36" s="691"/>
      <c r="C36" s="692"/>
      <c r="D36" s="716">
        <f>SUM(B29*D29+B30*D30+B31*D31+B32*D32+B33*D33+B34*D34+B35*D35)</f>
        <v>390</v>
      </c>
      <c r="E36" s="717">
        <f>+B29*E29+B30*E30+B31*E31+B32*E32+B33*E33+B34*E34+B35*E35</f>
        <v>81</v>
      </c>
      <c r="G36" s="715">
        <f>SUM(G29:G35)</f>
        <v>694</v>
      </c>
      <c r="H36" s="691"/>
      <c r="I36" s="692"/>
      <c r="J36" s="716">
        <f>SUM(H29*J29+H30*J30+H31*J31+H32*J32+H33*J33+H34*J34+H35*J35)</f>
        <v>386</v>
      </c>
      <c r="K36" s="849">
        <f>+H29*K29+H30*K30+H31*K31+H32*K32+H33*K33+H34*K34+H35*K35</f>
        <v>308</v>
      </c>
      <c r="L36" s="864"/>
      <c r="M36" s="715">
        <f>SUM(M29:M35)</f>
        <v>416</v>
      </c>
      <c r="N36" s="1344"/>
      <c r="O36" s="1340"/>
      <c r="P36" s="1341">
        <f>SUM(N29*P29+N30*P30+N31*P31+N32*P32+N33*P33+N34*P34+N35*P35)</f>
        <v>243</v>
      </c>
      <c r="Q36" s="1342">
        <f>+N29*Q29+N30*Q30+N31*Q31+N32*Q32+N33*Q33+N34*Q34+N35*Q35</f>
        <v>173</v>
      </c>
      <c r="R36" s="865"/>
      <c r="S36" s="857">
        <f>SUM(S29:S35)</f>
        <v>492</v>
      </c>
      <c r="T36" s="691"/>
      <c r="U36" s="692"/>
      <c r="V36" s="716">
        <f>SUM(T29*V29+T30*V30+T31*V31+T32*V32+T33*V33+T34*V34+T35*V35)</f>
        <v>283</v>
      </c>
      <c r="W36" s="717">
        <f>+T29*W29+T30*W30+T31*W31+T32*W32+T33*W33+T34*W34+T35*W35</f>
        <v>209</v>
      </c>
      <c r="Y36" s="715">
        <f>SUM(Y29:Y35)</f>
        <v>388</v>
      </c>
      <c r="Z36" s="691"/>
      <c r="AA36" s="692"/>
      <c r="AB36" s="716">
        <f>SUM(Z29*AB29+Z30*AB30+Z31*AB31+Z32*AB32+Z33*AB33+Z34*AB34+Z35*AB35)</f>
        <v>203</v>
      </c>
      <c r="AC36" s="717">
        <f>+Z29*AC29+Z30*AC30+Z31*AC31+Z32*AC32+Z33*AC33+Z34*AC34+Z35*AC35</f>
        <v>185</v>
      </c>
      <c r="AE36" s="715">
        <f>SUM(AE29:AE35)</f>
        <v>405</v>
      </c>
      <c r="AF36" s="691"/>
      <c r="AG36" s="692"/>
      <c r="AH36" s="716">
        <f>SUM(AF29*AH29+AF30*AH30+AF31*AH31+AF32*AH32+AF33*AH33+AF34*AH34+AF35*AH35)</f>
        <v>259</v>
      </c>
      <c r="AI36" s="717">
        <f>+AF29*AI29+AF30*AI30+AF31*AI31+AF32*AI32+AF33*AI33+AF34*AI34+AF35*AI35</f>
        <v>146</v>
      </c>
      <c r="AK36" s="715">
        <f>SUM(AK29:AK35)</f>
        <v>532</v>
      </c>
      <c r="AL36" s="691"/>
      <c r="AM36" s="692"/>
      <c r="AN36" s="716">
        <f>SUM(AL29*AN29+AL30*AN30+AL31*AN31+AL32*AN32+AL33*AN33+AL34*AN34+AL35*AN35)</f>
        <v>236</v>
      </c>
      <c r="AO36" s="717">
        <f>+AL29*AO29+AL30*AO30+AL31*AO31+AL32*AO32+AL33*AO33+AL34*AO34+AL35*AO35</f>
        <v>296</v>
      </c>
    </row>
    <row r="37" spans="1:41" ht="19.8" x14ac:dyDescent="0.3">
      <c r="L37" s="864"/>
      <c r="N37" s="1639" t="s">
        <v>670</v>
      </c>
      <c r="O37" s="1639"/>
      <c r="P37" s="1343">
        <f>P11+P36</f>
        <v>211843</v>
      </c>
      <c r="Q37" s="1343">
        <f>Q11+Q36</f>
        <v>217473</v>
      </c>
      <c r="R37" s="865"/>
    </row>
    <row r="38" spans="1:41" ht="16.8" thickBot="1" x14ac:dyDescent="0.35">
      <c r="L38" s="866"/>
      <c r="M38" s="867"/>
      <c r="N38" s="867"/>
      <c r="O38" s="868"/>
      <c r="P38" s="868"/>
      <c r="Q38" s="868"/>
      <c r="R38" s="869"/>
    </row>
    <row r="39" spans="1:41" ht="16.8" thickTop="1" x14ac:dyDescent="0.3"/>
  </sheetData>
  <mergeCells count="22">
    <mergeCell ref="AE27:AG27"/>
    <mergeCell ref="A27:C27"/>
    <mergeCell ref="G27:I27"/>
    <mergeCell ref="M27:O27"/>
    <mergeCell ref="S27:U27"/>
    <mergeCell ref="Y27:AA27"/>
    <mergeCell ref="N37:O37"/>
    <mergeCell ref="AK2:AM2"/>
    <mergeCell ref="B14:C14"/>
    <mergeCell ref="H14:I14"/>
    <mergeCell ref="N14:O14"/>
    <mergeCell ref="T14:U14"/>
    <mergeCell ref="Z14:AA14"/>
    <mergeCell ref="AF14:AG14"/>
    <mergeCell ref="AL14:AM14"/>
    <mergeCell ref="A2:C2"/>
    <mergeCell ref="G2:I2"/>
    <mergeCell ref="M2:O2"/>
    <mergeCell ref="S2:U2"/>
    <mergeCell ref="Y2:AA2"/>
    <mergeCell ref="AE2:AG2"/>
    <mergeCell ref="AK27:AM27"/>
  </mergeCells>
  <phoneticPr fontId="2" type="noConversion"/>
  <printOptions horizontalCentered="1"/>
  <pageMargins left="0.11811023622047245" right="0.70866141732283472" top="0.19685039370078741" bottom="0.74803149606299213" header="0.31496062992125984" footer="0.31496062992125984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FD7A-E693-47B5-98A1-767E4235A052}">
  <dimension ref="A1:FH44"/>
  <sheetViews>
    <sheetView tabSelected="1" topLeftCell="A5" zoomScale="60" zoomScaleNormal="60" workbookViewId="0">
      <selection activeCell="DV16" sqref="DV16:EA16"/>
    </sheetView>
  </sheetViews>
  <sheetFormatPr defaultRowHeight="16.2" x14ac:dyDescent="0.3"/>
  <cols>
    <col min="1" max="1" width="8" customWidth="1"/>
    <col min="2" max="2" width="8.33203125" customWidth="1"/>
    <col min="3" max="3" width="12.77734375" customWidth="1"/>
    <col min="4" max="4" width="15.44140625" customWidth="1"/>
    <col min="5" max="5" width="6.77734375" customWidth="1"/>
    <col min="6" max="6" width="8.109375" customWidth="1"/>
    <col min="7" max="7" width="4.88671875" customWidth="1"/>
    <col min="8" max="8" width="8.21875" customWidth="1"/>
    <col min="9" max="9" width="7.33203125" customWidth="1"/>
    <col min="10" max="10" width="8.21875" customWidth="1"/>
    <col min="11" max="11" width="1.6640625" customWidth="1"/>
    <col min="12" max="12" width="7.33203125" style="827" customWidth="1"/>
    <col min="13" max="13" width="5.6640625" style="827" customWidth="1"/>
    <col min="14" max="14" width="9" style="827"/>
    <col min="15" max="15" width="17.44140625" style="827" customWidth="1"/>
    <col min="16" max="16" width="6.77734375" style="827" customWidth="1"/>
    <col min="17" max="17" width="8.109375" style="827" customWidth="1"/>
    <col min="18" max="18" width="5.6640625" style="827" customWidth="1"/>
    <col min="19" max="19" width="9" style="827"/>
    <col min="20" max="20" width="7.6640625" style="827" bestFit="1" customWidth="1"/>
    <col min="21" max="21" width="8.77734375" style="827" customWidth="1"/>
    <col min="22" max="22" width="1.6640625" customWidth="1"/>
    <col min="23" max="23" width="7.33203125" style="827" customWidth="1"/>
    <col min="24" max="24" width="5.6640625" style="827" customWidth="1"/>
    <col min="25" max="25" width="9" style="827"/>
    <col min="26" max="26" width="17.44140625" style="827" customWidth="1"/>
    <col min="27" max="27" width="6.21875" style="827" customWidth="1"/>
    <col min="28" max="28" width="8.109375" style="827" customWidth="1"/>
    <col min="29" max="29" width="5.6640625" style="827" customWidth="1"/>
    <col min="30" max="30" width="9" style="827" customWidth="1"/>
    <col min="31" max="31" width="7.6640625" style="827" bestFit="1" customWidth="1"/>
    <col min="32" max="32" width="9.21875" style="827" customWidth="1"/>
    <col min="33" max="33" width="2.33203125" customWidth="1"/>
    <col min="34" max="34" width="7.21875" style="827" customWidth="1"/>
    <col min="35" max="35" width="4.88671875" style="827" customWidth="1"/>
    <col min="36" max="36" width="9" style="827"/>
    <col min="37" max="37" width="17.21875" style="827" customWidth="1"/>
    <col min="38" max="38" width="6.21875" style="827" customWidth="1"/>
    <col min="39" max="39" width="8" style="827" customWidth="1"/>
    <col min="40" max="40" width="4.6640625" style="827" customWidth="1"/>
    <col min="41" max="41" width="9" style="827"/>
    <col min="42" max="42" width="10" style="827" bestFit="1" customWidth="1"/>
    <col min="43" max="43" width="8.44140625" style="827" customWidth="1"/>
    <col min="44" max="44" width="1.6640625" customWidth="1"/>
    <col min="45" max="45" width="7.21875" style="827" customWidth="1"/>
    <col min="46" max="46" width="5.21875" style="827" customWidth="1"/>
    <col min="47" max="47" width="9" style="827"/>
    <col min="48" max="48" width="17.21875" style="827" customWidth="1"/>
    <col min="49" max="49" width="6.88671875" style="827" customWidth="1"/>
    <col min="50" max="50" width="8" style="827" customWidth="1"/>
    <col min="51" max="51" width="4.88671875" style="827" customWidth="1"/>
    <col min="52" max="52" width="7.6640625" style="827" customWidth="1"/>
    <col min="53" max="53" width="10" style="827" bestFit="1" customWidth="1"/>
    <col min="54" max="54" width="9.109375" style="827" customWidth="1"/>
    <col min="55" max="55" width="2.21875" customWidth="1"/>
    <col min="56" max="56" width="7.21875" style="827" customWidth="1"/>
    <col min="57" max="57" width="5.21875" style="827" customWidth="1"/>
    <col min="58" max="58" width="9" style="827"/>
    <col min="59" max="59" width="17.21875" style="827" customWidth="1"/>
    <col min="60" max="60" width="6.88671875" style="827" customWidth="1"/>
    <col min="61" max="61" width="8" style="827" customWidth="1"/>
    <col min="62" max="62" width="4.88671875" style="827" customWidth="1"/>
    <col min="63" max="63" width="7.6640625" style="827" customWidth="1"/>
    <col min="64" max="64" width="10" style="827" bestFit="1" customWidth="1"/>
    <col min="65" max="65" width="8.44140625" style="827" customWidth="1"/>
    <col min="66" max="66" width="2.21875" customWidth="1"/>
    <col min="67" max="67" width="7.21875" style="827" customWidth="1"/>
    <col min="68" max="68" width="5.21875" style="827" customWidth="1"/>
    <col min="69" max="69" width="9" style="827"/>
    <col min="70" max="70" width="17.21875" style="827" customWidth="1"/>
    <col min="71" max="71" width="6.88671875" style="827" customWidth="1"/>
    <col min="72" max="72" width="8" style="827" customWidth="1"/>
    <col min="73" max="73" width="4.88671875" style="827" customWidth="1"/>
    <col min="74" max="74" width="7.6640625" style="827" customWidth="1"/>
    <col min="75" max="75" width="10" style="827" bestFit="1" customWidth="1"/>
    <col min="76" max="76" width="8.44140625" style="827" customWidth="1"/>
    <col min="77" max="77" width="2.21875" customWidth="1"/>
    <col min="78" max="78" width="7.21875" style="827" customWidth="1"/>
    <col min="79" max="79" width="5.21875" style="827" customWidth="1"/>
    <col min="80" max="80" width="9" style="827"/>
    <col min="81" max="81" width="17.21875" style="827" customWidth="1"/>
    <col min="82" max="82" width="6.88671875" style="827" customWidth="1"/>
    <col min="83" max="83" width="8" style="827" customWidth="1"/>
    <col min="84" max="84" width="4.88671875" style="827" customWidth="1"/>
    <col min="85" max="85" width="7.6640625" style="827" customWidth="1"/>
    <col min="86" max="86" width="10" style="827" bestFit="1" customWidth="1"/>
    <col min="87" max="87" width="8.21875" style="827" customWidth="1"/>
    <col min="88" max="88" width="2.21875" customWidth="1"/>
    <col min="89" max="89" width="7.21875" style="827" customWidth="1"/>
    <col min="90" max="90" width="5.21875" style="827" customWidth="1"/>
    <col min="91" max="91" width="9" style="827"/>
    <col min="92" max="92" width="17.21875" style="827" customWidth="1"/>
    <col min="93" max="93" width="6.88671875" style="827" customWidth="1"/>
    <col min="94" max="94" width="8" style="827" customWidth="1"/>
    <col min="95" max="95" width="4.88671875" style="827" customWidth="1"/>
    <col min="96" max="96" width="7.6640625" style="827" customWidth="1"/>
    <col min="97" max="97" width="10" style="827" bestFit="1" customWidth="1"/>
    <col min="98" max="98" width="8.21875" style="827" customWidth="1"/>
    <col min="99" max="99" width="2.21875" customWidth="1"/>
    <col min="100" max="100" width="7.21875" style="827" customWidth="1"/>
    <col min="101" max="101" width="5.21875" style="827" customWidth="1"/>
    <col min="102" max="102" width="9" style="827"/>
    <col min="103" max="103" width="17.21875" style="827" customWidth="1"/>
    <col min="104" max="104" width="6.88671875" style="827" customWidth="1"/>
    <col min="105" max="105" width="8" style="827" customWidth="1"/>
    <col min="106" max="106" width="4.88671875" style="827" customWidth="1"/>
    <col min="107" max="107" width="7.6640625" style="827" customWidth="1"/>
    <col min="108" max="108" width="10" style="827" bestFit="1" customWidth="1"/>
    <col min="109" max="109" width="7.77734375" style="827" customWidth="1"/>
    <col min="110" max="110" width="2.21875" customWidth="1"/>
    <col min="111" max="111" width="7.21875" style="827" customWidth="1"/>
    <col min="112" max="112" width="5.21875" style="827" customWidth="1"/>
    <col min="113" max="113" width="9" style="827"/>
    <col min="114" max="114" width="17.21875" style="827" customWidth="1"/>
    <col min="115" max="115" width="6.88671875" style="827" customWidth="1"/>
    <col min="116" max="116" width="8" style="827" customWidth="1"/>
    <col min="117" max="117" width="4.88671875" style="827" customWidth="1"/>
    <col min="118" max="118" width="7.6640625" style="827" customWidth="1"/>
    <col min="119" max="119" width="10" style="827" bestFit="1" customWidth="1"/>
    <col min="120" max="120" width="8.21875" style="827" customWidth="1"/>
    <col min="121" max="121" width="2.21875" customWidth="1"/>
    <col min="122" max="122" width="7.21875" style="827" customWidth="1"/>
    <col min="123" max="123" width="5.21875" style="827" customWidth="1"/>
    <col min="124" max="124" width="9" style="827"/>
    <col min="125" max="125" width="17.21875" style="827" customWidth="1"/>
    <col min="126" max="126" width="6.6640625" style="827" customWidth="1"/>
    <col min="127" max="127" width="8" style="827" customWidth="1"/>
    <col min="128" max="128" width="4.88671875" style="827" customWidth="1"/>
    <col min="129" max="129" width="7.109375" style="827" customWidth="1"/>
    <col min="130" max="130" width="10" style="827" bestFit="1" customWidth="1"/>
    <col min="131" max="131" width="9.33203125" style="827" customWidth="1"/>
    <col min="132" max="132" width="2.21875" style="138" customWidth="1"/>
    <col min="133" max="133" width="7.21875" style="827" customWidth="1"/>
    <col min="134" max="134" width="5.21875" style="827" customWidth="1"/>
    <col min="135" max="135" width="9" style="827"/>
    <col min="136" max="136" width="17.21875" style="827" customWidth="1"/>
    <col min="137" max="137" width="6.88671875" style="827" customWidth="1"/>
    <col min="138" max="138" width="8" style="827" customWidth="1"/>
    <col min="139" max="139" width="4.88671875" style="827" customWidth="1"/>
    <col min="140" max="140" width="7.77734375" style="827" customWidth="1"/>
    <col min="141" max="141" width="10" style="827" bestFit="1" customWidth="1"/>
    <col min="142" max="142" width="9.109375" style="827" customWidth="1"/>
    <col min="143" max="143" width="2.21875" customWidth="1"/>
    <col min="144" max="144" width="7.21875" style="827" customWidth="1"/>
    <col min="145" max="145" width="5.21875" style="827" customWidth="1"/>
    <col min="146" max="146" width="9" style="827"/>
    <col min="147" max="147" width="17.21875" style="827" customWidth="1"/>
    <col min="148" max="148" width="6.88671875" style="827" customWidth="1"/>
    <col min="149" max="149" width="8" style="827" customWidth="1"/>
    <col min="150" max="150" width="4.88671875" style="827" customWidth="1"/>
    <col min="151" max="151" width="7.6640625" style="827" customWidth="1"/>
    <col min="152" max="152" width="10" style="827" bestFit="1" customWidth="1"/>
    <col min="153" max="153" width="9.109375" style="827" customWidth="1"/>
    <col min="154" max="154" width="2.21875" customWidth="1"/>
    <col min="155" max="155" width="7.21875" style="827" customWidth="1"/>
    <col min="156" max="156" width="5.21875" style="827" customWidth="1"/>
    <col min="157" max="157" width="9" style="827"/>
    <col min="158" max="158" width="17.21875" style="827" customWidth="1"/>
    <col min="159" max="159" width="6.88671875" style="827" customWidth="1"/>
    <col min="160" max="160" width="8" style="827" customWidth="1"/>
    <col min="161" max="161" width="4.88671875" style="827" customWidth="1"/>
    <col min="162" max="162" width="7.6640625" style="827" customWidth="1"/>
    <col min="163" max="163" width="10" style="827" bestFit="1" customWidth="1"/>
    <col min="164" max="164" width="9.109375" style="827" customWidth="1"/>
    <col min="165" max="165" width="2.21875" customWidth="1"/>
  </cols>
  <sheetData>
    <row r="1" spans="1:164" ht="19.8" x14ac:dyDescent="0.3">
      <c r="A1" s="261"/>
      <c r="B1" s="261"/>
      <c r="C1" s="261">
        <v>114</v>
      </c>
      <c r="D1" s="882" t="s">
        <v>445</v>
      </c>
      <c r="E1" s="250">
        <v>6</v>
      </c>
      <c r="F1" s="129" t="s">
        <v>446</v>
      </c>
      <c r="G1" s="129"/>
      <c r="H1" s="261"/>
      <c r="I1" s="261"/>
      <c r="J1" s="261"/>
      <c r="L1" s="261"/>
      <c r="M1" s="261"/>
      <c r="N1" s="261">
        <v>114</v>
      </c>
      <c r="O1" s="882" t="s">
        <v>445</v>
      </c>
      <c r="P1" s="250">
        <f>E1</f>
        <v>6</v>
      </c>
      <c r="Q1" s="129" t="s">
        <v>446</v>
      </c>
      <c r="R1" s="129"/>
      <c r="S1" s="261"/>
      <c r="T1" s="261"/>
      <c r="U1" s="261"/>
      <c r="W1" s="261"/>
      <c r="X1" s="261"/>
      <c r="Y1" s="261">
        <v>114</v>
      </c>
      <c r="Z1" s="882" t="s">
        <v>445</v>
      </c>
      <c r="AA1" s="250">
        <v>6</v>
      </c>
      <c r="AB1" s="129" t="s">
        <v>446</v>
      </c>
      <c r="AC1" s="129"/>
      <c r="AD1" s="261"/>
      <c r="AE1" s="261"/>
      <c r="AF1" s="261"/>
      <c r="AH1" s="261"/>
      <c r="AI1" s="261"/>
      <c r="AJ1" s="261">
        <v>114</v>
      </c>
      <c r="AK1" s="882" t="s">
        <v>445</v>
      </c>
      <c r="AL1" s="250">
        <v>6</v>
      </c>
      <c r="AM1" s="129" t="s">
        <v>446</v>
      </c>
      <c r="AN1" s="129"/>
      <c r="AO1" s="261"/>
      <c r="AP1" s="261"/>
      <c r="AQ1" s="261"/>
      <c r="AS1" s="261"/>
      <c r="AT1" s="261"/>
      <c r="AU1" s="261">
        <v>114</v>
      </c>
      <c r="AV1" s="882" t="s">
        <v>445</v>
      </c>
      <c r="AW1" s="250">
        <v>6</v>
      </c>
      <c r="AX1" s="129" t="s">
        <v>446</v>
      </c>
      <c r="AY1" s="129"/>
      <c r="AZ1" s="261"/>
      <c r="BA1" s="261"/>
      <c r="BB1" s="261"/>
      <c r="BD1" s="261"/>
      <c r="BE1" s="261"/>
      <c r="BF1" s="261">
        <v>114</v>
      </c>
      <c r="BG1" s="882" t="s">
        <v>445</v>
      </c>
      <c r="BH1" s="250">
        <v>6</v>
      </c>
      <c r="BI1" s="129" t="s">
        <v>446</v>
      </c>
      <c r="BJ1" s="129"/>
      <c r="BK1" s="261"/>
      <c r="BL1" s="261"/>
      <c r="BM1" s="261"/>
      <c r="BO1" s="261"/>
      <c r="BP1" s="261"/>
      <c r="BQ1" s="261">
        <v>114</v>
      </c>
      <c r="BR1" s="882" t="s">
        <v>445</v>
      </c>
      <c r="BS1" s="250">
        <v>6</v>
      </c>
      <c r="BT1" s="129" t="s">
        <v>446</v>
      </c>
      <c r="BU1" s="129"/>
      <c r="BV1" s="261"/>
      <c r="BW1" s="261"/>
      <c r="BX1" s="261"/>
      <c r="BZ1" s="261"/>
      <c r="CA1" s="261"/>
      <c r="CB1" s="261">
        <v>114</v>
      </c>
      <c r="CC1" s="882" t="s">
        <v>445</v>
      </c>
      <c r="CD1" s="250">
        <v>6</v>
      </c>
      <c r="CE1" s="129" t="s">
        <v>446</v>
      </c>
      <c r="CF1" s="129"/>
      <c r="CG1" s="261"/>
      <c r="CH1" s="261"/>
      <c r="CI1" s="261"/>
      <c r="CK1" s="261"/>
      <c r="CL1" s="261"/>
      <c r="CM1" s="261">
        <v>114</v>
      </c>
      <c r="CN1" s="882" t="s">
        <v>445</v>
      </c>
      <c r="CO1" s="250">
        <v>6</v>
      </c>
      <c r="CP1" s="129" t="s">
        <v>446</v>
      </c>
      <c r="CQ1" s="129"/>
      <c r="CR1" s="261"/>
      <c r="CS1" s="261"/>
      <c r="CT1" s="261"/>
      <c r="CV1" s="261"/>
      <c r="CW1" s="261"/>
      <c r="CX1" s="261">
        <v>114</v>
      </c>
      <c r="CY1" s="882" t="s">
        <v>445</v>
      </c>
      <c r="CZ1" s="250">
        <v>6</v>
      </c>
      <c r="DA1" s="129" t="s">
        <v>446</v>
      </c>
      <c r="DB1" s="129"/>
      <c r="DC1" s="261"/>
      <c r="DD1" s="261"/>
      <c r="DE1" s="261"/>
      <c r="DG1" s="261"/>
      <c r="DH1" s="261"/>
      <c r="DI1" s="261">
        <v>114</v>
      </c>
      <c r="DJ1" s="882" t="s">
        <v>445</v>
      </c>
      <c r="DK1" s="250">
        <v>6</v>
      </c>
      <c r="DL1" s="129" t="s">
        <v>446</v>
      </c>
      <c r="DM1" s="129"/>
      <c r="DN1" s="261"/>
      <c r="DO1" s="261"/>
      <c r="DP1" s="261"/>
      <c r="DR1" s="261"/>
      <c r="DS1" s="261"/>
      <c r="DT1" s="261">
        <v>114</v>
      </c>
      <c r="DU1" s="882" t="s">
        <v>445</v>
      </c>
      <c r="DV1" s="250">
        <v>6</v>
      </c>
      <c r="DW1" s="129" t="s">
        <v>446</v>
      </c>
      <c r="DX1" s="129"/>
      <c r="DY1" s="261"/>
      <c r="DZ1" s="261"/>
      <c r="EA1" s="261"/>
      <c r="EC1" s="261"/>
      <c r="ED1" s="261"/>
      <c r="EE1" s="261"/>
      <c r="EF1" s="261" t="str">
        <f>DU1</f>
        <v>年tahun</v>
      </c>
      <c r="EG1" s="833" t="s">
        <v>445</v>
      </c>
      <c r="EH1" s="250" t="str">
        <f>DL1</f>
        <v>月bulan</v>
      </c>
      <c r="EI1" s="129" t="s">
        <v>446</v>
      </c>
      <c r="EJ1" s="261"/>
      <c r="EK1" s="261"/>
      <c r="EL1" s="261"/>
      <c r="EN1" s="261"/>
      <c r="EO1" s="261"/>
      <c r="EP1" s="261"/>
      <c r="EQ1" s="261" t="str">
        <f>EF1</f>
        <v>年tahun</v>
      </c>
      <c r="ER1" s="833" t="s">
        <v>445</v>
      </c>
      <c r="ES1" s="250" t="str">
        <f>DW1</f>
        <v>月bulan</v>
      </c>
      <c r="ET1" s="129" t="s">
        <v>446</v>
      </c>
      <c r="EU1" s="261"/>
      <c r="EV1" s="261"/>
      <c r="EW1" s="261"/>
      <c r="EY1" s="261"/>
      <c r="EZ1" s="261"/>
      <c r="FA1" s="261"/>
      <c r="FB1" s="261" t="str">
        <f>EQ1</f>
        <v>年tahun</v>
      </c>
      <c r="FC1" s="833" t="s">
        <v>445</v>
      </c>
      <c r="FD1" s="250" t="str">
        <f>EH1</f>
        <v>月bulan</v>
      </c>
      <c r="FE1" s="129" t="s">
        <v>446</v>
      </c>
      <c r="FF1" s="261"/>
      <c r="FG1" s="261"/>
      <c r="FH1" s="261"/>
    </row>
    <row r="2" spans="1:164" ht="19.8" x14ac:dyDescent="0.3">
      <c r="A2" s="1704" t="s">
        <v>447</v>
      </c>
      <c r="B2" s="1704"/>
      <c r="C2" s="1704"/>
      <c r="D2" s="1704"/>
      <c r="E2" s="1704"/>
      <c r="F2" s="1704"/>
      <c r="G2" s="1704"/>
      <c r="H2" s="1704"/>
      <c r="I2" s="1704"/>
      <c r="J2" s="1704"/>
      <c r="L2" s="1704" t="s">
        <v>447</v>
      </c>
      <c r="M2" s="1704"/>
      <c r="N2" s="1704"/>
      <c r="O2" s="1704"/>
      <c r="P2" s="1704"/>
      <c r="Q2" s="1704"/>
      <c r="R2" s="1704"/>
      <c r="S2" s="1704"/>
      <c r="T2" s="1704"/>
      <c r="U2" s="1704"/>
      <c r="W2" s="1704" t="s">
        <v>447</v>
      </c>
      <c r="X2" s="1704"/>
      <c r="Y2" s="1704"/>
      <c r="Z2" s="1704"/>
      <c r="AA2" s="1704"/>
      <c r="AB2" s="1704"/>
      <c r="AC2" s="1704"/>
      <c r="AD2" s="1704"/>
      <c r="AE2" s="1704"/>
      <c r="AF2" s="1704"/>
      <c r="AH2" s="1704" t="s">
        <v>447</v>
      </c>
      <c r="AI2" s="1704"/>
      <c r="AJ2" s="1704"/>
      <c r="AK2" s="1704"/>
      <c r="AL2" s="1704"/>
      <c r="AM2" s="1704"/>
      <c r="AN2" s="1704"/>
      <c r="AO2" s="1704"/>
      <c r="AP2" s="1704"/>
      <c r="AQ2" s="1704"/>
      <c r="AS2" s="1704" t="s">
        <v>447</v>
      </c>
      <c r="AT2" s="1704"/>
      <c r="AU2" s="1704"/>
      <c r="AV2" s="1704"/>
      <c r="AW2" s="1704"/>
      <c r="AX2" s="1704"/>
      <c r="AY2" s="1704"/>
      <c r="AZ2" s="1704"/>
      <c r="BA2" s="1704"/>
      <c r="BB2" s="1704"/>
      <c r="BD2" s="1704" t="s">
        <v>447</v>
      </c>
      <c r="BE2" s="1704"/>
      <c r="BF2" s="1704"/>
      <c r="BG2" s="1704"/>
      <c r="BH2" s="1704"/>
      <c r="BI2" s="1704"/>
      <c r="BJ2" s="1704"/>
      <c r="BK2" s="1704"/>
      <c r="BL2" s="1704"/>
      <c r="BM2" s="1704"/>
      <c r="BO2" s="1704" t="s">
        <v>447</v>
      </c>
      <c r="BP2" s="1704"/>
      <c r="BQ2" s="1704"/>
      <c r="BR2" s="1704"/>
      <c r="BS2" s="1704"/>
      <c r="BT2" s="1704"/>
      <c r="BU2" s="1704"/>
      <c r="BV2" s="1704"/>
      <c r="BW2" s="1704"/>
      <c r="BX2" s="1704"/>
      <c r="BZ2" s="1704" t="s">
        <v>447</v>
      </c>
      <c r="CA2" s="1704"/>
      <c r="CB2" s="1704"/>
      <c r="CC2" s="1704"/>
      <c r="CD2" s="1704"/>
      <c r="CE2" s="1704"/>
      <c r="CF2" s="1704"/>
      <c r="CG2" s="1704"/>
      <c r="CH2" s="1704"/>
      <c r="CI2" s="1704"/>
      <c r="CK2" s="1704" t="s">
        <v>447</v>
      </c>
      <c r="CL2" s="1704"/>
      <c r="CM2" s="1704"/>
      <c r="CN2" s="1704"/>
      <c r="CO2" s="1704"/>
      <c r="CP2" s="1704"/>
      <c r="CQ2" s="1704"/>
      <c r="CR2" s="1704"/>
      <c r="CS2" s="1704"/>
      <c r="CT2" s="1704"/>
      <c r="CV2" s="1704" t="s">
        <v>447</v>
      </c>
      <c r="CW2" s="1704"/>
      <c r="CX2" s="1704"/>
      <c r="CY2" s="1704"/>
      <c r="CZ2" s="1704"/>
      <c r="DA2" s="1704"/>
      <c r="DB2" s="1704"/>
      <c r="DC2" s="1704"/>
      <c r="DD2" s="1704"/>
      <c r="DE2" s="1704"/>
      <c r="DG2" s="1704" t="s">
        <v>447</v>
      </c>
      <c r="DH2" s="1704"/>
      <c r="DI2" s="1704"/>
      <c r="DJ2" s="1704"/>
      <c r="DK2" s="1704"/>
      <c r="DL2" s="1704"/>
      <c r="DM2" s="1704"/>
      <c r="DN2" s="1704"/>
      <c r="DO2" s="1704"/>
      <c r="DP2" s="1704"/>
      <c r="DR2" s="1704" t="s">
        <v>447</v>
      </c>
      <c r="DS2" s="1704"/>
      <c r="DT2" s="1704"/>
      <c r="DU2" s="1704"/>
      <c r="DV2" s="1704"/>
      <c r="DW2" s="1704"/>
      <c r="DX2" s="1704"/>
      <c r="DY2" s="1704"/>
      <c r="DZ2" s="1704"/>
      <c r="EA2" s="1704"/>
      <c r="EC2" s="1704" t="s">
        <v>447</v>
      </c>
      <c r="ED2" s="1704"/>
      <c r="EE2" s="1704"/>
      <c r="EF2" s="1704"/>
      <c r="EG2" s="1704"/>
      <c r="EH2" s="1704"/>
      <c r="EI2" s="1704"/>
      <c r="EJ2" s="1704"/>
      <c r="EK2" s="1704"/>
      <c r="EL2" s="1704"/>
      <c r="EN2" s="1704" t="s">
        <v>447</v>
      </c>
      <c r="EO2" s="1704"/>
      <c r="EP2" s="1704"/>
      <c r="EQ2" s="1704"/>
      <c r="ER2" s="1704"/>
      <c r="ES2" s="1704"/>
      <c r="ET2" s="1704"/>
      <c r="EU2" s="1704"/>
      <c r="EV2" s="1704"/>
      <c r="EW2" s="1704"/>
      <c r="EY2" s="1704" t="s">
        <v>447</v>
      </c>
      <c r="EZ2" s="1704"/>
      <c r="FA2" s="1704"/>
      <c r="FB2" s="1704"/>
      <c r="FC2" s="1704"/>
      <c r="FD2" s="1704"/>
      <c r="FE2" s="1704"/>
      <c r="FF2" s="1704"/>
      <c r="FG2" s="1704"/>
      <c r="FH2" s="1704"/>
    </row>
    <row r="3" spans="1:164" ht="31.8" x14ac:dyDescent="0.3">
      <c r="A3" s="1677" t="s">
        <v>448</v>
      </c>
      <c r="B3" s="1677"/>
      <c r="C3" s="1677"/>
      <c r="D3" s="1677"/>
      <c r="E3" s="1709" t="s">
        <v>13</v>
      </c>
      <c r="F3" s="1709"/>
      <c r="G3" s="1709"/>
      <c r="H3" s="1709"/>
      <c r="I3" s="1709"/>
      <c r="J3" s="1709"/>
      <c r="L3" s="1677" t="s">
        <v>448</v>
      </c>
      <c r="M3" s="1677"/>
      <c r="N3" s="1677"/>
      <c r="O3" s="1677"/>
      <c r="P3" s="1709" t="s">
        <v>13</v>
      </c>
      <c r="Q3" s="1709"/>
      <c r="R3" s="1709"/>
      <c r="S3" s="1709"/>
      <c r="T3" s="1709"/>
      <c r="U3" s="1709"/>
      <c r="W3" s="1677" t="s">
        <v>448</v>
      </c>
      <c r="X3" s="1677"/>
      <c r="Y3" s="1677"/>
      <c r="Z3" s="1677"/>
      <c r="AA3" s="1709" t="s">
        <v>13</v>
      </c>
      <c r="AB3" s="1709"/>
      <c r="AC3" s="1709"/>
      <c r="AD3" s="1709"/>
      <c r="AE3" s="1709"/>
      <c r="AF3" s="1709"/>
      <c r="AH3" s="1677" t="s">
        <v>448</v>
      </c>
      <c r="AI3" s="1677"/>
      <c r="AJ3" s="1677"/>
      <c r="AK3" s="1677"/>
      <c r="AL3" s="1709" t="s">
        <v>135</v>
      </c>
      <c r="AM3" s="1709"/>
      <c r="AN3" s="1709"/>
      <c r="AO3" s="1709"/>
      <c r="AP3" s="1709"/>
      <c r="AQ3" s="1709"/>
      <c r="AS3" s="1677" t="s">
        <v>448</v>
      </c>
      <c r="AT3" s="1677"/>
      <c r="AU3" s="1677"/>
      <c r="AV3" s="1677"/>
      <c r="AW3" s="1709" t="s">
        <v>173</v>
      </c>
      <c r="AX3" s="1709"/>
      <c r="AY3" s="1709"/>
      <c r="AZ3" s="1709"/>
      <c r="BA3" s="1709"/>
      <c r="BB3" s="1709"/>
      <c r="BD3" s="1677" t="s">
        <v>448</v>
      </c>
      <c r="BE3" s="1677"/>
      <c r="BF3" s="1677"/>
      <c r="BG3" s="1677"/>
      <c r="BH3" s="1709" t="s">
        <v>171</v>
      </c>
      <c r="BI3" s="1709"/>
      <c r="BJ3" s="1709"/>
      <c r="BK3" s="1709"/>
      <c r="BL3" s="1709"/>
      <c r="BM3" s="1709"/>
      <c r="BO3" s="1677" t="s">
        <v>448</v>
      </c>
      <c r="BP3" s="1677"/>
      <c r="BQ3" s="1677"/>
      <c r="BR3" s="1677"/>
      <c r="BS3" s="1709" t="s">
        <v>483</v>
      </c>
      <c r="BT3" s="1709"/>
      <c r="BU3" s="1709"/>
      <c r="BV3" s="1709"/>
      <c r="BW3" s="1709"/>
      <c r="BX3" s="1709"/>
      <c r="BZ3" s="1677" t="s">
        <v>448</v>
      </c>
      <c r="CA3" s="1677"/>
      <c r="CB3" s="1677"/>
      <c r="CC3" s="1677"/>
      <c r="CD3" s="1709" t="s">
        <v>141</v>
      </c>
      <c r="CE3" s="1709"/>
      <c r="CF3" s="1709"/>
      <c r="CG3" s="1709"/>
      <c r="CH3" s="1709"/>
      <c r="CI3" s="1709"/>
      <c r="CK3" s="1677" t="s">
        <v>448</v>
      </c>
      <c r="CL3" s="1677"/>
      <c r="CM3" s="1677"/>
      <c r="CN3" s="1677"/>
      <c r="CO3" s="1709" t="s">
        <v>192</v>
      </c>
      <c r="CP3" s="1709"/>
      <c r="CQ3" s="1709"/>
      <c r="CR3" s="1709"/>
      <c r="CS3" s="1709"/>
      <c r="CT3" s="1709"/>
      <c r="CV3" s="1677" t="s">
        <v>448</v>
      </c>
      <c r="CW3" s="1677"/>
      <c r="CX3" s="1677"/>
      <c r="CY3" s="1677"/>
      <c r="CZ3" s="1709" t="s">
        <v>263</v>
      </c>
      <c r="DA3" s="1709"/>
      <c r="DB3" s="1709"/>
      <c r="DC3" s="1709"/>
      <c r="DD3" s="1709"/>
      <c r="DE3" s="1709"/>
      <c r="DG3" s="1677" t="s">
        <v>448</v>
      </c>
      <c r="DH3" s="1677"/>
      <c r="DI3" s="1677"/>
      <c r="DJ3" s="1677"/>
      <c r="DK3" s="1709" t="s">
        <v>264</v>
      </c>
      <c r="DL3" s="1709"/>
      <c r="DM3" s="1709"/>
      <c r="DN3" s="1709"/>
      <c r="DO3" s="1709"/>
      <c r="DP3" s="1709"/>
      <c r="DR3" s="1677" t="s">
        <v>448</v>
      </c>
      <c r="DS3" s="1677"/>
      <c r="DT3" s="1677"/>
      <c r="DU3" s="1677"/>
      <c r="DV3" s="1709" t="s">
        <v>443</v>
      </c>
      <c r="DW3" s="1709"/>
      <c r="DX3" s="1709"/>
      <c r="DY3" s="1709"/>
      <c r="DZ3" s="1709"/>
      <c r="EA3" s="1709"/>
      <c r="EB3"/>
      <c r="EC3" s="1677" t="s">
        <v>448</v>
      </c>
      <c r="ED3" s="1677"/>
      <c r="EE3" s="1677"/>
      <c r="EF3" s="1677"/>
      <c r="EG3" s="1708" t="s">
        <v>263</v>
      </c>
      <c r="EH3" s="1708"/>
      <c r="EI3" s="1708"/>
      <c r="EJ3" s="1708"/>
      <c r="EK3" s="1708"/>
      <c r="EL3" s="1708"/>
      <c r="EN3" s="1677" t="s">
        <v>448</v>
      </c>
      <c r="EO3" s="1677"/>
      <c r="EP3" s="1677"/>
      <c r="EQ3" s="1677"/>
      <c r="ER3" s="1705" t="s">
        <v>173</v>
      </c>
      <c r="ES3" s="1705"/>
      <c r="ET3" s="1705"/>
      <c r="EU3" s="1705"/>
      <c r="EV3" s="1705"/>
      <c r="EW3" s="1705"/>
      <c r="EY3" s="1677" t="s">
        <v>448</v>
      </c>
      <c r="EZ3" s="1677"/>
      <c r="FA3" s="1677"/>
      <c r="FB3" s="1677"/>
      <c r="FC3" s="1705" t="s">
        <v>171</v>
      </c>
      <c r="FD3" s="1705"/>
      <c r="FE3" s="1705"/>
      <c r="FF3" s="1705"/>
      <c r="FG3" s="1705"/>
      <c r="FH3" s="1705"/>
    </row>
    <row r="4" spans="1:164" x14ac:dyDescent="0.3">
      <c r="A4" s="1677" t="s">
        <v>449</v>
      </c>
      <c r="B4" s="1677"/>
      <c r="C4" s="1677"/>
      <c r="D4" s="1677"/>
      <c r="E4" s="1366" t="s">
        <v>450</v>
      </c>
      <c r="F4" s="1366"/>
      <c r="G4" s="1366"/>
      <c r="H4" s="1366"/>
      <c r="I4" s="1366"/>
      <c r="J4" s="1366"/>
      <c r="L4" s="1677" t="s">
        <v>449</v>
      </c>
      <c r="M4" s="1677"/>
      <c r="N4" s="1677"/>
      <c r="O4" s="1677"/>
      <c r="P4" s="1366" t="s">
        <v>450</v>
      </c>
      <c r="Q4" s="1366"/>
      <c r="R4" s="1366"/>
      <c r="S4" s="1366"/>
      <c r="T4" s="1366"/>
      <c r="U4" s="1366"/>
      <c r="W4" s="1677" t="s">
        <v>449</v>
      </c>
      <c r="X4" s="1677"/>
      <c r="Y4" s="1677"/>
      <c r="Z4" s="1677"/>
      <c r="AA4" s="1366" t="s">
        <v>450</v>
      </c>
      <c r="AB4" s="1366"/>
      <c r="AC4" s="1366"/>
      <c r="AD4" s="1366"/>
      <c r="AE4" s="1366"/>
      <c r="AF4" s="1366"/>
      <c r="AH4" s="1677" t="s">
        <v>449</v>
      </c>
      <c r="AI4" s="1677"/>
      <c r="AJ4" s="1677"/>
      <c r="AK4" s="1677"/>
      <c r="AL4" s="1366" t="s">
        <v>478</v>
      </c>
      <c r="AM4" s="1366"/>
      <c r="AN4" s="1366"/>
      <c r="AO4" s="1366"/>
      <c r="AP4" s="1366"/>
      <c r="AQ4" s="1366"/>
      <c r="AS4" s="1677" t="s">
        <v>449</v>
      </c>
      <c r="AT4" s="1677"/>
      <c r="AU4" s="1677"/>
      <c r="AV4" s="1677"/>
      <c r="AW4" s="1366" t="s">
        <v>481</v>
      </c>
      <c r="AX4" s="1366"/>
      <c r="AY4" s="1366"/>
      <c r="AZ4" s="1366"/>
      <c r="BA4" s="1366"/>
      <c r="BB4" s="1366"/>
      <c r="BD4" s="1677" t="s">
        <v>449</v>
      </c>
      <c r="BE4" s="1677"/>
      <c r="BF4" s="1677"/>
      <c r="BG4" s="1677"/>
      <c r="BH4" s="1366" t="s">
        <v>482</v>
      </c>
      <c r="BI4" s="1366"/>
      <c r="BJ4" s="1366"/>
      <c r="BK4" s="1366"/>
      <c r="BL4" s="1366"/>
      <c r="BM4" s="1366"/>
      <c r="BO4" s="1677" t="s">
        <v>449</v>
      </c>
      <c r="BP4" s="1677"/>
      <c r="BQ4" s="1677"/>
      <c r="BR4" s="1677"/>
      <c r="BS4" s="1366" t="s">
        <v>484</v>
      </c>
      <c r="BT4" s="1366"/>
      <c r="BU4" s="1366"/>
      <c r="BV4" s="1366"/>
      <c r="BW4" s="1366"/>
      <c r="BX4" s="1366"/>
      <c r="BZ4" s="1677" t="s">
        <v>449</v>
      </c>
      <c r="CA4" s="1677"/>
      <c r="CB4" s="1677"/>
      <c r="CC4" s="1677"/>
      <c r="CD4" s="1366" t="s">
        <v>485</v>
      </c>
      <c r="CE4" s="1366"/>
      <c r="CF4" s="1366"/>
      <c r="CG4" s="1366"/>
      <c r="CH4" s="1366"/>
      <c r="CI4" s="1366"/>
      <c r="CK4" s="1677" t="s">
        <v>449</v>
      </c>
      <c r="CL4" s="1677"/>
      <c r="CM4" s="1677"/>
      <c r="CN4" s="1677"/>
      <c r="CO4" s="1366" t="s">
        <v>486</v>
      </c>
      <c r="CP4" s="1366"/>
      <c r="CQ4" s="1366"/>
      <c r="CR4" s="1366"/>
      <c r="CS4" s="1366"/>
      <c r="CT4" s="1366"/>
      <c r="CV4" s="1677" t="s">
        <v>449</v>
      </c>
      <c r="CW4" s="1677"/>
      <c r="CX4" s="1677"/>
      <c r="CY4" s="1677"/>
      <c r="CZ4" s="1366" t="s">
        <v>487</v>
      </c>
      <c r="DA4" s="1366"/>
      <c r="DB4" s="1366"/>
      <c r="DC4" s="1366"/>
      <c r="DD4" s="1366"/>
      <c r="DE4" s="1366"/>
      <c r="DG4" s="1677" t="s">
        <v>449</v>
      </c>
      <c r="DH4" s="1677"/>
      <c r="DI4" s="1677"/>
      <c r="DJ4" s="1677"/>
      <c r="DK4" s="1366" t="s">
        <v>488</v>
      </c>
      <c r="DL4" s="1366"/>
      <c r="DM4" s="1366"/>
      <c r="DN4" s="1366"/>
      <c r="DO4" s="1366"/>
      <c r="DP4" s="1366"/>
      <c r="DR4" s="1677" t="s">
        <v>449</v>
      </c>
      <c r="DS4" s="1677"/>
      <c r="DT4" s="1677"/>
      <c r="DU4" s="1677"/>
      <c r="DV4" s="1366" t="s">
        <v>487</v>
      </c>
      <c r="DW4" s="1366"/>
      <c r="DX4" s="1366"/>
      <c r="DY4" s="1366"/>
      <c r="DZ4" s="1366"/>
      <c r="EA4" s="1366"/>
      <c r="EC4" s="1677" t="s">
        <v>449</v>
      </c>
      <c r="ED4" s="1677"/>
      <c r="EE4" s="1677"/>
      <c r="EF4" s="1677"/>
      <c r="EG4" s="1366" t="s">
        <v>487</v>
      </c>
      <c r="EH4" s="1366"/>
      <c r="EI4" s="1366"/>
      <c r="EJ4" s="1366"/>
      <c r="EK4" s="1366"/>
      <c r="EL4" s="1366"/>
      <c r="EN4" s="1677" t="s">
        <v>449</v>
      </c>
      <c r="EO4" s="1677"/>
      <c r="EP4" s="1677"/>
      <c r="EQ4" s="1677"/>
      <c r="ER4" s="1366" t="s">
        <v>481</v>
      </c>
      <c r="ES4" s="1366"/>
      <c r="ET4" s="1366"/>
      <c r="EU4" s="1366"/>
      <c r="EV4" s="1366"/>
      <c r="EW4" s="1366"/>
      <c r="EY4" s="1677" t="s">
        <v>449</v>
      </c>
      <c r="EZ4" s="1677"/>
      <c r="FA4" s="1677"/>
      <c r="FB4" s="1677"/>
      <c r="FC4" s="1366" t="s">
        <v>482</v>
      </c>
      <c r="FD4" s="1366"/>
      <c r="FE4" s="1366"/>
      <c r="FF4" s="1366"/>
      <c r="FG4" s="1366"/>
      <c r="FH4" s="1366"/>
    </row>
    <row r="5" spans="1:164" x14ac:dyDescent="0.3">
      <c r="A5" s="1677" t="s">
        <v>451</v>
      </c>
      <c r="B5" s="1677"/>
      <c r="C5" s="1677"/>
      <c r="D5" s="1677"/>
      <c r="E5" s="826">
        <v>114</v>
      </c>
      <c r="F5" s="826" t="s">
        <v>445</v>
      </c>
      <c r="G5" s="826">
        <v>7</v>
      </c>
      <c r="H5" s="826" t="s">
        <v>446</v>
      </c>
      <c r="I5" s="826">
        <v>10</v>
      </c>
      <c r="J5" s="826" t="s">
        <v>452</v>
      </c>
      <c r="L5" s="1677" t="s">
        <v>451</v>
      </c>
      <c r="M5" s="1677"/>
      <c r="N5" s="1677"/>
      <c r="O5" s="1677"/>
      <c r="P5" s="826">
        <v>114</v>
      </c>
      <c r="Q5" s="826" t="s">
        <v>445</v>
      </c>
      <c r="R5" s="826">
        <v>7</v>
      </c>
      <c r="S5" s="826" t="s">
        <v>446</v>
      </c>
      <c r="T5" s="826">
        <v>10</v>
      </c>
      <c r="U5" s="826" t="s">
        <v>452</v>
      </c>
      <c r="W5" s="1677" t="s">
        <v>451</v>
      </c>
      <c r="X5" s="1677"/>
      <c r="Y5" s="1677"/>
      <c r="Z5" s="1677"/>
      <c r="AA5" s="826">
        <f>E5</f>
        <v>114</v>
      </c>
      <c r="AB5" s="826" t="s">
        <v>445</v>
      </c>
      <c r="AC5" s="826">
        <f>G5</f>
        <v>7</v>
      </c>
      <c r="AD5" s="826" t="s">
        <v>446</v>
      </c>
      <c r="AE5" s="826">
        <f>I5</f>
        <v>10</v>
      </c>
      <c r="AF5" s="826" t="s">
        <v>452</v>
      </c>
      <c r="AH5" s="1677" t="s">
        <v>451</v>
      </c>
      <c r="AI5" s="1677"/>
      <c r="AJ5" s="1677"/>
      <c r="AK5" s="1677"/>
      <c r="AL5" s="826">
        <f>E5</f>
        <v>114</v>
      </c>
      <c r="AM5" s="826" t="s">
        <v>445</v>
      </c>
      <c r="AN5" s="826">
        <v>7</v>
      </c>
      <c r="AO5" s="826" t="s">
        <v>446</v>
      </c>
      <c r="AP5" s="826">
        <f>I5</f>
        <v>10</v>
      </c>
      <c r="AQ5" s="826" t="s">
        <v>452</v>
      </c>
      <c r="AS5" s="1677" t="s">
        <v>451</v>
      </c>
      <c r="AT5" s="1677"/>
      <c r="AU5" s="1677"/>
      <c r="AV5" s="1677"/>
      <c r="AW5" s="826">
        <f>AA5</f>
        <v>114</v>
      </c>
      <c r="AX5" s="826" t="s">
        <v>445</v>
      </c>
      <c r="AY5" s="826">
        <v>7</v>
      </c>
      <c r="AZ5" s="826" t="s">
        <v>446</v>
      </c>
      <c r="BA5" s="826">
        <f>AE5</f>
        <v>10</v>
      </c>
      <c r="BB5" s="826" t="s">
        <v>452</v>
      </c>
      <c r="BD5" s="1677" t="s">
        <v>451</v>
      </c>
      <c r="BE5" s="1677"/>
      <c r="BF5" s="1677"/>
      <c r="BG5" s="1677"/>
      <c r="BH5" s="826">
        <f>AL5</f>
        <v>114</v>
      </c>
      <c r="BI5" s="826" t="s">
        <v>445</v>
      </c>
      <c r="BJ5" s="826">
        <v>7</v>
      </c>
      <c r="BK5" s="826" t="s">
        <v>446</v>
      </c>
      <c r="BL5" s="826">
        <f>AP5</f>
        <v>10</v>
      </c>
      <c r="BM5" s="826" t="s">
        <v>452</v>
      </c>
      <c r="BO5" s="1677" t="s">
        <v>451</v>
      </c>
      <c r="BP5" s="1677"/>
      <c r="BQ5" s="1677"/>
      <c r="BR5" s="1677"/>
      <c r="BS5" s="826">
        <f>AW5</f>
        <v>114</v>
      </c>
      <c r="BT5" s="826" t="s">
        <v>445</v>
      </c>
      <c r="BU5" s="826">
        <v>7</v>
      </c>
      <c r="BV5" s="826" t="s">
        <v>446</v>
      </c>
      <c r="BW5" s="826">
        <f>BA5</f>
        <v>10</v>
      </c>
      <c r="BX5" s="826" t="s">
        <v>452</v>
      </c>
      <c r="BZ5" s="1677" t="s">
        <v>451</v>
      </c>
      <c r="CA5" s="1677"/>
      <c r="CB5" s="1677"/>
      <c r="CC5" s="1677"/>
      <c r="CD5" s="826">
        <f>BH5</f>
        <v>114</v>
      </c>
      <c r="CE5" s="826" t="s">
        <v>445</v>
      </c>
      <c r="CF5" s="826">
        <v>7</v>
      </c>
      <c r="CG5" s="826" t="s">
        <v>446</v>
      </c>
      <c r="CH5" s="826">
        <f>BL5</f>
        <v>10</v>
      </c>
      <c r="CI5" s="826" t="s">
        <v>452</v>
      </c>
      <c r="CK5" s="1677" t="s">
        <v>451</v>
      </c>
      <c r="CL5" s="1677"/>
      <c r="CM5" s="1677"/>
      <c r="CN5" s="1677"/>
      <c r="CO5" s="826">
        <f>BS5</f>
        <v>114</v>
      </c>
      <c r="CP5" s="826" t="s">
        <v>445</v>
      </c>
      <c r="CQ5" s="826">
        <v>7</v>
      </c>
      <c r="CR5" s="826" t="s">
        <v>446</v>
      </c>
      <c r="CS5" s="826">
        <f>BW5</f>
        <v>10</v>
      </c>
      <c r="CT5" s="826" t="s">
        <v>452</v>
      </c>
      <c r="CV5" s="1677" t="s">
        <v>451</v>
      </c>
      <c r="CW5" s="1677"/>
      <c r="CX5" s="1677"/>
      <c r="CY5" s="1677"/>
      <c r="CZ5" s="826">
        <f>CD5</f>
        <v>114</v>
      </c>
      <c r="DA5" s="826" t="s">
        <v>445</v>
      </c>
      <c r="DB5" s="826">
        <v>7</v>
      </c>
      <c r="DC5" s="826" t="s">
        <v>446</v>
      </c>
      <c r="DD5" s="826">
        <f>CH5</f>
        <v>10</v>
      </c>
      <c r="DE5" s="826" t="s">
        <v>452</v>
      </c>
      <c r="DG5" s="1677" t="s">
        <v>451</v>
      </c>
      <c r="DH5" s="1677"/>
      <c r="DI5" s="1677"/>
      <c r="DJ5" s="1677"/>
      <c r="DK5" s="826">
        <f>CO5</f>
        <v>114</v>
      </c>
      <c r="DL5" s="826" t="s">
        <v>445</v>
      </c>
      <c r="DM5" s="826">
        <v>7</v>
      </c>
      <c r="DN5" s="826" t="s">
        <v>446</v>
      </c>
      <c r="DO5" s="826">
        <f>CS5</f>
        <v>10</v>
      </c>
      <c r="DP5" s="826" t="s">
        <v>452</v>
      </c>
      <c r="DR5" s="1677" t="s">
        <v>451</v>
      </c>
      <c r="DS5" s="1677"/>
      <c r="DT5" s="1677"/>
      <c r="DU5" s="1677"/>
      <c r="DV5" s="826">
        <f>CZ5</f>
        <v>114</v>
      </c>
      <c r="DW5" s="826" t="s">
        <v>445</v>
      </c>
      <c r="DX5" s="826">
        <v>7</v>
      </c>
      <c r="DY5" s="826" t="s">
        <v>446</v>
      </c>
      <c r="DZ5" s="826">
        <f>DD5</f>
        <v>10</v>
      </c>
      <c r="EA5" s="826" t="s">
        <v>452</v>
      </c>
      <c r="EC5" s="1677" t="s">
        <v>451</v>
      </c>
      <c r="ED5" s="1677"/>
      <c r="EE5" s="1677"/>
      <c r="EF5" s="1677"/>
      <c r="EG5" s="826">
        <f>DK5</f>
        <v>114</v>
      </c>
      <c r="EH5" s="826" t="s">
        <v>445</v>
      </c>
      <c r="EI5" s="826">
        <f>DM5</f>
        <v>7</v>
      </c>
      <c r="EJ5" s="826" t="s">
        <v>446</v>
      </c>
      <c r="EK5" s="826">
        <f>DO5</f>
        <v>10</v>
      </c>
      <c r="EL5" s="826" t="s">
        <v>452</v>
      </c>
      <c r="EN5" s="1677" t="s">
        <v>451</v>
      </c>
      <c r="EO5" s="1677"/>
      <c r="EP5" s="1677"/>
      <c r="EQ5" s="1677"/>
      <c r="ER5" s="826">
        <f>DV5</f>
        <v>114</v>
      </c>
      <c r="ES5" s="826" t="s">
        <v>445</v>
      </c>
      <c r="ET5" s="826">
        <f>DX5</f>
        <v>7</v>
      </c>
      <c r="EU5" s="826" t="s">
        <v>446</v>
      </c>
      <c r="EV5" s="826">
        <f>DZ5</f>
        <v>10</v>
      </c>
      <c r="EW5" s="826" t="s">
        <v>452</v>
      </c>
      <c r="EY5" s="1677" t="s">
        <v>451</v>
      </c>
      <c r="EZ5" s="1677"/>
      <c r="FA5" s="1677"/>
      <c r="FB5" s="1677"/>
      <c r="FC5" s="826">
        <f>EG5</f>
        <v>114</v>
      </c>
      <c r="FD5" s="826" t="s">
        <v>445</v>
      </c>
      <c r="FE5" s="826">
        <f>EI5</f>
        <v>7</v>
      </c>
      <c r="FF5" s="826" t="s">
        <v>446</v>
      </c>
      <c r="FG5" s="826">
        <f>EK5</f>
        <v>10</v>
      </c>
      <c r="FH5" s="826" t="s">
        <v>452</v>
      </c>
    </row>
    <row r="6" spans="1:164" x14ac:dyDescent="0.3">
      <c r="A6" s="827"/>
      <c r="B6" s="827"/>
      <c r="C6" s="827"/>
      <c r="D6" s="827"/>
      <c r="E6" s="827"/>
      <c r="F6" s="827"/>
      <c r="G6" s="827"/>
      <c r="H6" s="827"/>
      <c r="I6" s="827"/>
      <c r="J6" s="827"/>
    </row>
    <row r="7" spans="1:164" x14ac:dyDescent="0.3">
      <c r="A7" s="129" t="s">
        <v>453</v>
      </c>
      <c r="B7" s="827"/>
      <c r="C7" s="827"/>
      <c r="D7" s="828" t="s">
        <v>454</v>
      </c>
      <c r="E7" s="827"/>
      <c r="F7" s="827"/>
      <c r="G7" s="827"/>
      <c r="H7" s="1685" t="s">
        <v>455</v>
      </c>
      <c r="I7" s="1685"/>
      <c r="J7" s="827"/>
      <c r="L7" s="129" t="s">
        <v>453</v>
      </c>
      <c r="O7" s="828" t="s">
        <v>454</v>
      </c>
      <c r="S7" s="1685" t="s">
        <v>455</v>
      </c>
      <c r="T7" s="1685"/>
      <c r="W7" s="129" t="s">
        <v>453</v>
      </c>
      <c r="Z7" s="828" t="s">
        <v>454</v>
      </c>
      <c r="AD7" s="1685" t="s">
        <v>455</v>
      </c>
      <c r="AE7" s="1685"/>
      <c r="AH7" s="129" t="s">
        <v>453</v>
      </c>
      <c r="AK7" s="828" t="s">
        <v>454</v>
      </c>
      <c r="AO7" s="1685" t="s">
        <v>455</v>
      </c>
      <c r="AP7" s="1685"/>
      <c r="AS7" s="129" t="s">
        <v>453</v>
      </c>
      <c r="AV7" s="828" t="s">
        <v>454</v>
      </c>
      <c r="AZ7" s="1685" t="s">
        <v>455</v>
      </c>
      <c r="BA7" s="1685"/>
      <c r="BD7" s="129" t="s">
        <v>453</v>
      </c>
      <c r="BG7" s="828" t="s">
        <v>454</v>
      </c>
      <c r="BK7" s="1685" t="s">
        <v>455</v>
      </c>
      <c r="BL7" s="1685"/>
      <c r="BO7" s="129" t="s">
        <v>453</v>
      </c>
      <c r="BR7" s="828" t="s">
        <v>454</v>
      </c>
      <c r="BV7" s="1685" t="s">
        <v>455</v>
      </c>
      <c r="BW7" s="1685"/>
      <c r="BZ7" s="129" t="s">
        <v>453</v>
      </c>
      <c r="CC7" s="828" t="s">
        <v>454</v>
      </c>
      <c r="CG7" s="1685" t="s">
        <v>455</v>
      </c>
      <c r="CH7" s="1685"/>
      <c r="CK7" s="129" t="s">
        <v>453</v>
      </c>
      <c r="CN7" s="828" t="s">
        <v>454</v>
      </c>
      <c r="CR7" s="1685" t="s">
        <v>455</v>
      </c>
      <c r="CS7" s="1685"/>
      <c r="CV7" s="129" t="s">
        <v>453</v>
      </c>
      <c r="CY7" s="828" t="s">
        <v>454</v>
      </c>
      <c r="DC7" s="1685" t="s">
        <v>455</v>
      </c>
      <c r="DD7" s="1685"/>
      <c r="DG7" s="129" t="s">
        <v>453</v>
      </c>
      <c r="DJ7" s="828" t="s">
        <v>454</v>
      </c>
      <c r="DN7" s="1685" t="s">
        <v>455</v>
      </c>
      <c r="DO7" s="1685"/>
      <c r="DR7" s="129" t="s">
        <v>453</v>
      </c>
      <c r="DU7" s="828" t="s">
        <v>454</v>
      </c>
      <c r="DY7" s="1685" t="s">
        <v>455</v>
      </c>
      <c r="DZ7" s="1685"/>
      <c r="EC7" s="129" t="s">
        <v>453</v>
      </c>
      <c r="EF7" s="828" t="s">
        <v>454</v>
      </c>
      <c r="EJ7" s="1685" t="s">
        <v>455</v>
      </c>
      <c r="EK7" s="1685"/>
      <c r="EN7" s="129" t="s">
        <v>453</v>
      </c>
      <c r="EQ7" s="828" t="s">
        <v>454</v>
      </c>
      <c r="EU7" s="1685" t="s">
        <v>455</v>
      </c>
      <c r="EV7" s="1685"/>
      <c r="EY7" s="129" t="s">
        <v>453</v>
      </c>
      <c r="FB7" s="828" t="s">
        <v>454</v>
      </c>
      <c r="FF7" s="1685" t="s">
        <v>455</v>
      </c>
      <c r="FG7" s="1685"/>
    </row>
    <row r="8" spans="1:164" x14ac:dyDescent="0.3">
      <c r="A8" s="827"/>
      <c r="B8" s="827"/>
      <c r="C8" s="827"/>
      <c r="D8" s="827"/>
      <c r="E8" s="827"/>
      <c r="F8" s="827"/>
      <c r="G8" s="827"/>
      <c r="H8" s="827"/>
      <c r="I8" s="827"/>
      <c r="J8" s="827"/>
    </row>
    <row r="9" spans="1:164" ht="16.5" customHeight="1" x14ac:dyDescent="0.3">
      <c r="A9" s="1701" t="s">
        <v>456</v>
      </c>
      <c r="B9" s="1701"/>
      <c r="C9" s="1365" t="s">
        <v>457</v>
      </c>
      <c r="D9" s="1367"/>
      <c r="E9" s="1698">
        <v>30000</v>
      </c>
      <c r="F9" s="1698"/>
      <c r="G9" s="1698"/>
      <c r="H9" s="1698"/>
      <c r="I9" s="826">
        <v>30</v>
      </c>
      <c r="J9" s="829" t="s">
        <v>269</v>
      </c>
      <c r="L9" s="1681" t="s">
        <v>456</v>
      </c>
      <c r="M9" s="1682"/>
      <c r="N9" s="1365" t="s">
        <v>457</v>
      </c>
      <c r="O9" s="1367"/>
      <c r="P9" s="1668"/>
      <c r="Q9" s="1669"/>
      <c r="R9" s="1669"/>
      <c r="S9" s="1670"/>
      <c r="T9" s="870"/>
      <c r="U9" s="829" t="s">
        <v>269</v>
      </c>
      <c r="W9" s="1681" t="s">
        <v>456</v>
      </c>
      <c r="X9" s="1682"/>
      <c r="Y9" s="1365" t="s">
        <v>457</v>
      </c>
      <c r="Z9" s="1367"/>
      <c r="AA9" s="1668"/>
      <c r="AB9" s="1669"/>
      <c r="AC9" s="1669"/>
      <c r="AD9" s="1670"/>
      <c r="AE9" s="870"/>
      <c r="AF9" s="829" t="s">
        <v>269</v>
      </c>
      <c r="AH9" s="1681" t="s">
        <v>456</v>
      </c>
      <c r="AI9" s="1682"/>
      <c r="AJ9" s="1365" t="s">
        <v>457</v>
      </c>
      <c r="AK9" s="1367"/>
      <c r="AL9" s="1698">
        <f>28590/30*AP9</f>
        <v>28113.5</v>
      </c>
      <c r="AM9" s="1698"/>
      <c r="AN9" s="1698"/>
      <c r="AO9" s="1698"/>
      <c r="AP9" s="826">
        <v>29.5</v>
      </c>
      <c r="AQ9" s="829" t="s">
        <v>565</v>
      </c>
      <c r="AS9" s="1681" t="s">
        <v>456</v>
      </c>
      <c r="AT9" s="1682"/>
      <c r="AU9" s="1365" t="s">
        <v>457</v>
      </c>
      <c r="AV9" s="1367"/>
      <c r="AW9" s="1698">
        <v>28590</v>
      </c>
      <c r="AX9" s="1698"/>
      <c r="AY9" s="1698"/>
      <c r="AZ9" s="1698"/>
      <c r="BA9" s="826">
        <f>I9</f>
        <v>30</v>
      </c>
      <c r="BB9" s="829" t="s">
        <v>565</v>
      </c>
      <c r="BD9" s="1681" t="s">
        <v>456</v>
      </c>
      <c r="BE9" s="1682"/>
      <c r="BF9" s="1365" t="s">
        <v>457</v>
      </c>
      <c r="BG9" s="1367"/>
      <c r="BH9" s="1698">
        <v>28590</v>
      </c>
      <c r="BI9" s="1698"/>
      <c r="BJ9" s="1698"/>
      <c r="BK9" s="1698"/>
      <c r="BL9" s="826">
        <f>I9</f>
        <v>30</v>
      </c>
      <c r="BM9" s="829" t="s">
        <v>565</v>
      </c>
      <c r="BO9" s="1681" t="s">
        <v>456</v>
      </c>
      <c r="BP9" s="1682"/>
      <c r="BQ9" s="1365" t="s">
        <v>457</v>
      </c>
      <c r="BR9" s="1367"/>
      <c r="BS9" s="1698">
        <v>26374</v>
      </c>
      <c r="BT9" s="1698"/>
      <c r="BU9" s="1698"/>
      <c r="BV9" s="1698"/>
      <c r="BW9" s="826">
        <v>27.68</v>
      </c>
      <c r="BX9" s="829" t="s">
        <v>565</v>
      </c>
      <c r="BZ9" s="1681" t="s">
        <v>456</v>
      </c>
      <c r="CA9" s="1682"/>
      <c r="CB9" s="1365" t="s">
        <v>457</v>
      </c>
      <c r="CC9" s="1367"/>
      <c r="CD9" s="1698">
        <v>28590</v>
      </c>
      <c r="CE9" s="1698"/>
      <c r="CF9" s="1698"/>
      <c r="CG9" s="1698"/>
      <c r="CH9" s="826">
        <v>30</v>
      </c>
      <c r="CI9" s="829" t="s">
        <v>565</v>
      </c>
      <c r="CK9" s="1681" t="s">
        <v>456</v>
      </c>
      <c r="CL9" s="1682"/>
      <c r="CM9" s="1365" t="s">
        <v>457</v>
      </c>
      <c r="CN9" s="1367"/>
      <c r="CO9" s="1698">
        <v>28590</v>
      </c>
      <c r="CP9" s="1698"/>
      <c r="CQ9" s="1698"/>
      <c r="CR9" s="1698"/>
      <c r="CS9" s="826">
        <v>30</v>
      </c>
      <c r="CT9" s="829" t="s">
        <v>565</v>
      </c>
      <c r="CV9" s="1681" t="s">
        <v>456</v>
      </c>
      <c r="CW9" s="1682"/>
      <c r="CX9" s="1365" t="s">
        <v>457</v>
      </c>
      <c r="CY9" s="1367"/>
      <c r="CZ9" s="1698">
        <v>28590</v>
      </c>
      <c r="DA9" s="1698"/>
      <c r="DB9" s="1698"/>
      <c r="DC9" s="1698"/>
      <c r="DD9" s="826">
        <v>30</v>
      </c>
      <c r="DE9" s="829" t="s">
        <v>565</v>
      </c>
      <c r="DG9" s="1681" t="s">
        <v>456</v>
      </c>
      <c r="DH9" s="1682"/>
      <c r="DI9" s="1365" t="s">
        <v>457</v>
      </c>
      <c r="DJ9" s="1367"/>
      <c r="DK9" s="1698">
        <v>28590</v>
      </c>
      <c r="DL9" s="1698"/>
      <c r="DM9" s="1698"/>
      <c r="DN9" s="1698"/>
      <c r="DO9" s="826">
        <v>30</v>
      </c>
      <c r="DP9" s="829" t="s">
        <v>565</v>
      </c>
      <c r="DR9" s="1681" t="s">
        <v>456</v>
      </c>
      <c r="DS9" s="1682"/>
      <c r="DT9" s="1365" t="s">
        <v>457</v>
      </c>
      <c r="DU9" s="1367"/>
      <c r="DV9" s="1698">
        <f>'欣鮮-艾克爾'!G55</f>
        <v>28590</v>
      </c>
      <c r="DW9" s="1698"/>
      <c r="DX9" s="1698"/>
      <c r="DY9" s="1698"/>
      <c r="DZ9" s="826">
        <v>30</v>
      </c>
      <c r="EA9" s="829" t="s">
        <v>565</v>
      </c>
      <c r="EC9" s="1681" t="s">
        <v>456</v>
      </c>
      <c r="ED9" s="1682"/>
      <c r="EE9" s="1365" t="s">
        <v>457</v>
      </c>
      <c r="EF9" s="1367"/>
      <c r="EG9" s="1698">
        <f>'欣鮮-艾克爾'!E34</f>
        <v>28590</v>
      </c>
      <c r="EH9" s="1698"/>
      <c r="EI9" s="1698"/>
      <c r="EJ9" s="1698"/>
      <c r="EK9" s="826">
        <v>30</v>
      </c>
      <c r="EL9" s="829"/>
      <c r="EN9" s="1681" t="s">
        <v>456</v>
      </c>
      <c r="EO9" s="1682"/>
      <c r="EP9" s="1365" t="s">
        <v>457</v>
      </c>
      <c r="EQ9" s="1367"/>
      <c r="ER9" s="1698"/>
      <c r="ES9" s="1698"/>
      <c r="ET9" s="1698"/>
      <c r="EU9" s="1698"/>
      <c r="EV9" s="826"/>
      <c r="EW9" s="829"/>
      <c r="EY9" s="1681" t="s">
        <v>456</v>
      </c>
      <c r="EZ9" s="1682"/>
      <c r="FA9" s="1365" t="s">
        <v>457</v>
      </c>
      <c r="FB9" s="1367"/>
      <c r="FC9" s="1698" t="s">
        <v>667</v>
      </c>
      <c r="FD9" s="1698"/>
      <c r="FE9" s="1698"/>
      <c r="FF9" s="1698"/>
      <c r="FG9" s="826"/>
      <c r="FH9" s="829"/>
    </row>
    <row r="10" spans="1:164" x14ac:dyDescent="0.3">
      <c r="A10" s="1701"/>
      <c r="B10" s="1701"/>
      <c r="C10" s="349" t="s">
        <v>458</v>
      </c>
      <c r="D10" s="349"/>
      <c r="E10" s="1698" t="e">
        <f>+I10*168</f>
        <v>#REF!</v>
      </c>
      <c r="F10" s="1698"/>
      <c r="G10" s="1698"/>
      <c r="H10" s="1698"/>
      <c r="I10" s="830" t="e">
        <f>工廠!Q3</f>
        <v>#REF!</v>
      </c>
      <c r="J10" s="829" t="s">
        <v>85</v>
      </c>
      <c r="L10" s="1686"/>
      <c r="M10" s="1687"/>
      <c r="N10" s="349" t="s">
        <v>458</v>
      </c>
      <c r="O10" s="349"/>
      <c r="P10" s="1668">
        <f>168*T10</f>
        <v>0</v>
      </c>
      <c r="Q10" s="1669"/>
      <c r="R10" s="1669"/>
      <c r="S10" s="1670"/>
      <c r="T10" s="830">
        <v>0</v>
      </c>
      <c r="U10" s="829" t="s">
        <v>85</v>
      </c>
      <c r="W10" s="1686"/>
      <c r="X10" s="1687"/>
      <c r="Y10" s="349" t="s">
        <v>458</v>
      </c>
      <c r="Z10" s="349"/>
      <c r="AA10" s="1668"/>
      <c r="AB10" s="1669"/>
      <c r="AC10" s="1669"/>
      <c r="AD10" s="1670"/>
      <c r="AE10" s="830">
        <v>0</v>
      </c>
      <c r="AF10" s="829" t="s">
        <v>85</v>
      </c>
      <c r="AH10" s="1686"/>
      <c r="AI10" s="1687"/>
      <c r="AJ10" s="349" t="s">
        <v>458</v>
      </c>
      <c r="AK10" s="349"/>
      <c r="AL10" s="1698">
        <f>+AP10*160</f>
        <v>0</v>
      </c>
      <c r="AM10" s="1698"/>
      <c r="AN10" s="1698"/>
      <c r="AO10" s="1698"/>
      <c r="AP10" s="830">
        <v>0</v>
      </c>
      <c r="AQ10" s="829" t="s">
        <v>85</v>
      </c>
      <c r="AS10" s="1686"/>
      <c r="AT10" s="1687"/>
      <c r="AU10" s="349" t="s">
        <v>458</v>
      </c>
      <c r="AV10" s="349"/>
      <c r="AW10" s="1698">
        <f>+BA10*160</f>
        <v>1040</v>
      </c>
      <c r="AX10" s="1698"/>
      <c r="AY10" s="1698"/>
      <c r="AZ10" s="1698"/>
      <c r="BA10" s="830">
        <v>6.5</v>
      </c>
      <c r="BB10" s="829" t="s">
        <v>85</v>
      </c>
      <c r="BD10" s="1686"/>
      <c r="BE10" s="1687"/>
      <c r="BF10" s="349" t="s">
        <v>458</v>
      </c>
      <c r="BG10" s="349"/>
      <c r="BH10" s="1698">
        <f>+BL10*160</f>
        <v>3280</v>
      </c>
      <c r="BI10" s="1698"/>
      <c r="BJ10" s="1698"/>
      <c r="BK10" s="1698"/>
      <c r="BL10" s="830">
        <v>20.5</v>
      </c>
      <c r="BM10" s="829" t="s">
        <v>85</v>
      </c>
      <c r="BO10" s="1686"/>
      <c r="BP10" s="1687"/>
      <c r="BQ10" s="349" t="s">
        <v>458</v>
      </c>
      <c r="BR10" s="349"/>
      <c r="BS10" s="1698">
        <f>+BW10*160</f>
        <v>1600</v>
      </c>
      <c r="BT10" s="1698"/>
      <c r="BU10" s="1698"/>
      <c r="BV10" s="1698"/>
      <c r="BW10" s="830">
        <v>10</v>
      </c>
      <c r="BX10" s="829" t="s">
        <v>85</v>
      </c>
      <c r="BZ10" s="1686"/>
      <c r="CA10" s="1687"/>
      <c r="CB10" s="349" t="s">
        <v>458</v>
      </c>
      <c r="CC10" s="349"/>
      <c r="CD10" s="1698">
        <f>+CH10*160</f>
        <v>2800</v>
      </c>
      <c r="CE10" s="1698"/>
      <c r="CF10" s="1698"/>
      <c r="CG10" s="1698"/>
      <c r="CH10" s="830">
        <v>17.5</v>
      </c>
      <c r="CI10" s="829" t="s">
        <v>85</v>
      </c>
      <c r="CK10" s="1686"/>
      <c r="CL10" s="1687"/>
      <c r="CM10" s="349" t="s">
        <v>458</v>
      </c>
      <c r="CN10" s="349"/>
      <c r="CO10" s="1698">
        <f>+CS10*160</f>
        <v>3840</v>
      </c>
      <c r="CP10" s="1698"/>
      <c r="CQ10" s="1698"/>
      <c r="CR10" s="1698"/>
      <c r="CS10" s="830">
        <v>24</v>
      </c>
      <c r="CT10" s="829" t="s">
        <v>85</v>
      </c>
      <c r="CV10" s="1686"/>
      <c r="CW10" s="1687"/>
      <c r="CX10" s="349" t="s">
        <v>458</v>
      </c>
      <c r="CY10" s="349"/>
      <c r="CZ10" s="1698">
        <f>+DD10*160</f>
        <v>0</v>
      </c>
      <c r="DA10" s="1698"/>
      <c r="DB10" s="1698"/>
      <c r="DC10" s="1698"/>
      <c r="DD10" s="830">
        <v>0</v>
      </c>
      <c r="DE10" s="829" t="s">
        <v>85</v>
      </c>
      <c r="DG10" s="1686"/>
      <c r="DH10" s="1687"/>
      <c r="DI10" s="349" t="s">
        <v>458</v>
      </c>
      <c r="DJ10" s="349"/>
      <c r="DK10" s="1698">
        <f>+DO10*160</f>
        <v>4400</v>
      </c>
      <c r="DL10" s="1698"/>
      <c r="DM10" s="1698"/>
      <c r="DN10" s="1698"/>
      <c r="DO10" s="830">
        <v>27.5</v>
      </c>
      <c r="DP10" s="829" t="s">
        <v>85</v>
      </c>
      <c r="DR10" s="1686"/>
      <c r="DS10" s="1687"/>
      <c r="DT10" s="349" t="s">
        <v>458</v>
      </c>
      <c r="DU10" s="349"/>
      <c r="DV10" s="1698">
        <f>+DZ10*160</f>
        <v>2800</v>
      </c>
      <c r="DW10" s="1698"/>
      <c r="DX10" s="1698"/>
      <c r="DY10" s="1698"/>
      <c r="DZ10" s="830">
        <v>17.5</v>
      </c>
      <c r="EA10" s="829" t="s">
        <v>85</v>
      </c>
      <c r="EC10" s="1686"/>
      <c r="ED10" s="1687"/>
      <c r="EE10" s="349" t="s">
        <v>458</v>
      </c>
      <c r="EF10" s="349"/>
      <c r="EG10" s="1698">
        <f>+EK10*160</f>
        <v>4480</v>
      </c>
      <c r="EH10" s="1698"/>
      <c r="EI10" s="1698"/>
      <c r="EJ10" s="1698"/>
      <c r="EK10" s="830">
        <v>28</v>
      </c>
      <c r="EL10" s="829" t="s">
        <v>85</v>
      </c>
      <c r="EN10" s="1686"/>
      <c r="EO10" s="1687"/>
      <c r="EP10" s="349" t="s">
        <v>458</v>
      </c>
      <c r="EQ10" s="349"/>
      <c r="ER10" s="1698">
        <f>+EV10*160</f>
        <v>3920</v>
      </c>
      <c r="ES10" s="1698"/>
      <c r="ET10" s="1698"/>
      <c r="EU10" s="1698"/>
      <c r="EV10" s="830">
        <v>24.5</v>
      </c>
      <c r="EW10" s="829" t="s">
        <v>85</v>
      </c>
      <c r="EY10" s="1686"/>
      <c r="EZ10" s="1687"/>
      <c r="FA10" s="349" t="s">
        <v>458</v>
      </c>
      <c r="FB10" s="349"/>
      <c r="FC10" s="1698" t="e">
        <f>+FG10*153</f>
        <v>#REF!</v>
      </c>
      <c r="FD10" s="1698"/>
      <c r="FE10" s="1698"/>
      <c r="FF10" s="1698"/>
      <c r="FG10" s="830" t="e">
        <v>#REF!</v>
      </c>
      <c r="FH10" s="829" t="s">
        <v>85</v>
      </c>
    </row>
    <row r="11" spans="1:164" x14ac:dyDescent="0.3">
      <c r="A11" s="1701"/>
      <c r="B11" s="1701"/>
      <c r="C11" s="349" t="s">
        <v>459</v>
      </c>
      <c r="D11" s="831"/>
      <c r="E11" s="1698" t="e">
        <f>+I11*209</f>
        <v>#REF!</v>
      </c>
      <c r="F11" s="1698"/>
      <c r="G11" s="1698"/>
      <c r="H11" s="1698"/>
      <c r="I11" s="830" t="e">
        <f>工廠!R3</f>
        <v>#REF!</v>
      </c>
      <c r="J11" s="832" t="s">
        <v>85</v>
      </c>
      <c r="L11" s="1686"/>
      <c r="M11" s="1687"/>
      <c r="N11" s="349" t="s">
        <v>459</v>
      </c>
      <c r="O11" s="831"/>
      <c r="P11" s="1668">
        <f>209*T11</f>
        <v>0</v>
      </c>
      <c r="Q11" s="1669"/>
      <c r="R11" s="1669"/>
      <c r="S11" s="1670"/>
      <c r="T11" s="830">
        <v>0</v>
      </c>
      <c r="U11" s="832" t="s">
        <v>85</v>
      </c>
      <c r="W11" s="1686"/>
      <c r="X11" s="1687"/>
      <c r="Y11" s="349" t="s">
        <v>459</v>
      </c>
      <c r="Z11" s="831"/>
      <c r="AA11" s="1668"/>
      <c r="AB11" s="1669"/>
      <c r="AC11" s="1669"/>
      <c r="AD11" s="1670"/>
      <c r="AE11" s="830">
        <v>0</v>
      </c>
      <c r="AF11" s="832" t="s">
        <v>85</v>
      </c>
      <c r="AH11" s="1686"/>
      <c r="AI11" s="1687"/>
      <c r="AJ11" s="349" t="s">
        <v>459</v>
      </c>
      <c r="AK11" s="831"/>
      <c r="AL11" s="1698">
        <f>+AP11*191</f>
        <v>0</v>
      </c>
      <c r="AM11" s="1698"/>
      <c r="AN11" s="1698"/>
      <c r="AO11" s="1698"/>
      <c r="AP11" s="830">
        <v>0</v>
      </c>
      <c r="AQ11" s="832" t="s">
        <v>85</v>
      </c>
      <c r="AS11" s="1686"/>
      <c r="AT11" s="1687"/>
      <c r="AU11" s="349" t="s">
        <v>668</v>
      </c>
      <c r="AV11" s="831"/>
      <c r="AW11" s="1698">
        <f>+BA11*200</f>
        <v>1200</v>
      </c>
      <c r="AX11" s="1698"/>
      <c r="AY11" s="1698"/>
      <c r="AZ11" s="1698"/>
      <c r="BA11" s="830">
        <v>6</v>
      </c>
      <c r="BB11" s="832" t="s">
        <v>85</v>
      </c>
      <c r="BD11" s="1686"/>
      <c r="BE11" s="1687"/>
      <c r="BF11" s="349" t="s">
        <v>459</v>
      </c>
      <c r="BG11" s="831"/>
      <c r="BH11" s="1698">
        <f>+BL11*199</f>
        <v>199</v>
      </c>
      <c r="BI11" s="1698"/>
      <c r="BJ11" s="1698"/>
      <c r="BK11" s="1698"/>
      <c r="BL11" s="830">
        <v>1</v>
      </c>
      <c r="BM11" s="832" t="s">
        <v>85</v>
      </c>
      <c r="BO11" s="1686"/>
      <c r="BP11" s="1687"/>
      <c r="BQ11" s="349" t="s">
        <v>459</v>
      </c>
      <c r="BR11" s="831"/>
      <c r="BS11" s="1698">
        <f>+BW11*160</f>
        <v>0</v>
      </c>
      <c r="BT11" s="1698"/>
      <c r="BU11" s="1698"/>
      <c r="BV11" s="1698"/>
      <c r="BW11" s="830">
        <v>0</v>
      </c>
      <c r="BX11" s="832" t="s">
        <v>85</v>
      </c>
      <c r="BZ11" s="1686"/>
      <c r="CA11" s="1687"/>
      <c r="CB11" s="349" t="s">
        <v>459</v>
      </c>
      <c r="CC11" s="831"/>
      <c r="CD11" s="1698">
        <f>+CH11*199</f>
        <v>0</v>
      </c>
      <c r="CE11" s="1698"/>
      <c r="CF11" s="1698"/>
      <c r="CG11" s="1698"/>
      <c r="CH11" s="830">
        <v>0</v>
      </c>
      <c r="CI11" s="832" t="s">
        <v>85</v>
      </c>
      <c r="CK11" s="1686"/>
      <c r="CL11" s="1687"/>
      <c r="CM11" s="349" t="s">
        <v>459</v>
      </c>
      <c r="CN11" s="831"/>
      <c r="CO11" s="1698">
        <f>+CS11*199</f>
        <v>199</v>
      </c>
      <c r="CP11" s="1698"/>
      <c r="CQ11" s="1698"/>
      <c r="CR11" s="1698"/>
      <c r="CS11" s="830">
        <v>1</v>
      </c>
      <c r="CT11" s="832" t="s">
        <v>85</v>
      </c>
      <c r="CV11" s="1686"/>
      <c r="CW11" s="1687"/>
      <c r="CX11" s="349" t="s">
        <v>459</v>
      </c>
      <c r="CY11" s="831"/>
      <c r="CZ11" s="1698">
        <f>+DD11*199</f>
        <v>0</v>
      </c>
      <c r="DA11" s="1698"/>
      <c r="DB11" s="1698"/>
      <c r="DC11" s="1698"/>
      <c r="DD11" s="830">
        <v>0</v>
      </c>
      <c r="DE11" s="832" t="s">
        <v>85</v>
      </c>
      <c r="DG11" s="1686"/>
      <c r="DH11" s="1687"/>
      <c r="DI11" s="349" t="s">
        <v>459</v>
      </c>
      <c r="DJ11" s="831"/>
      <c r="DK11" s="1698">
        <f>+DO11*199</f>
        <v>398</v>
      </c>
      <c r="DL11" s="1698"/>
      <c r="DM11" s="1698"/>
      <c r="DN11" s="1698"/>
      <c r="DO11" s="830">
        <v>2</v>
      </c>
      <c r="DP11" s="832" t="s">
        <v>85</v>
      </c>
      <c r="DR11" s="1686"/>
      <c r="DS11" s="1687"/>
      <c r="DT11" s="349" t="s">
        <v>459</v>
      </c>
      <c r="DU11" s="831"/>
      <c r="DV11" s="1698">
        <f>+DZ11*199</f>
        <v>0</v>
      </c>
      <c r="DW11" s="1698"/>
      <c r="DX11" s="1698"/>
      <c r="DY11" s="1698"/>
      <c r="DZ11" s="830"/>
      <c r="EA11" s="832" t="s">
        <v>85</v>
      </c>
      <c r="EC11" s="1686"/>
      <c r="ED11" s="1687"/>
      <c r="EE11" s="349" t="s">
        <v>459</v>
      </c>
      <c r="EF11" s="831"/>
      <c r="EG11" s="1698">
        <f>+EK11*199</f>
        <v>99.5</v>
      </c>
      <c r="EH11" s="1698"/>
      <c r="EI11" s="1698"/>
      <c r="EJ11" s="1698"/>
      <c r="EK11" s="830">
        <v>0.5</v>
      </c>
      <c r="EL11" s="832" t="s">
        <v>85</v>
      </c>
      <c r="EN11" s="1686"/>
      <c r="EO11" s="1687"/>
      <c r="EP11" s="349" t="s">
        <v>459</v>
      </c>
      <c r="EQ11" s="831"/>
      <c r="ER11" s="1698">
        <f>+EV11*199</f>
        <v>99.5</v>
      </c>
      <c r="ES11" s="1698"/>
      <c r="ET11" s="1698"/>
      <c r="EU11" s="1698"/>
      <c r="EV11" s="1336">
        <v>0.5</v>
      </c>
      <c r="EW11" s="832" t="s">
        <v>85</v>
      </c>
      <c r="EY11" s="1686"/>
      <c r="EZ11" s="1687"/>
      <c r="FA11" s="349" t="s">
        <v>459</v>
      </c>
      <c r="FB11" s="831"/>
      <c r="FC11" s="1698">
        <f>+FG11*191</f>
        <v>0</v>
      </c>
      <c r="FD11" s="1698"/>
      <c r="FE11" s="1698"/>
      <c r="FF11" s="1698"/>
      <c r="FG11" s="830"/>
      <c r="FH11" s="832" t="s">
        <v>85</v>
      </c>
    </row>
    <row r="12" spans="1:164" ht="16.5" customHeight="1" x14ac:dyDescent="0.3">
      <c r="A12" s="1701"/>
      <c r="B12" s="1701"/>
      <c r="C12" s="1714" t="s">
        <v>460</v>
      </c>
      <c r="D12" s="1714"/>
      <c r="E12" s="1698">
        <f>+I12*183</f>
        <v>0</v>
      </c>
      <c r="F12" s="1698"/>
      <c r="G12" s="1698"/>
      <c r="H12" s="1698"/>
      <c r="I12" s="1692">
        <v>0</v>
      </c>
      <c r="J12" s="1694" t="s">
        <v>85</v>
      </c>
      <c r="L12" s="1686"/>
      <c r="M12" s="1687"/>
      <c r="N12" s="1688" t="s">
        <v>460</v>
      </c>
      <c r="O12" s="1689"/>
      <c r="P12" s="1653">
        <f>+T12*190</f>
        <v>5795</v>
      </c>
      <c r="Q12" s="1654"/>
      <c r="R12" s="1654"/>
      <c r="S12" s="1655"/>
      <c r="T12" s="1692">
        <v>30.5</v>
      </c>
      <c r="U12" s="1694" t="s">
        <v>85</v>
      </c>
      <c r="W12" s="1686"/>
      <c r="X12" s="1687"/>
      <c r="Y12" s="1688" t="s">
        <v>460</v>
      </c>
      <c r="Z12" s="1689"/>
      <c r="AA12" s="1653">
        <f>+AE12*190</f>
        <v>0</v>
      </c>
      <c r="AB12" s="1654"/>
      <c r="AC12" s="1654"/>
      <c r="AD12" s="1655"/>
      <c r="AE12" s="1692">
        <v>0</v>
      </c>
      <c r="AF12" s="1694" t="s">
        <v>85</v>
      </c>
      <c r="AH12" s="1686"/>
      <c r="AI12" s="1687"/>
      <c r="AJ12" s="1714" t="s">
        <v>460</v>
      </c>
      <c r="AK12" s="1714"/>
      <c r="AL12" s="1698">
        <f>+AP12*183</f>
        <v>0</v>
      </c>
      <c r="AM12" s="1698"/>
      <c r="AN12" s="1698"/>
      <c r="AO12" s="1698"/>
      <c r="AP12" s="1692">
        <v>0</v>
      </c>
      <c r="AQ12" s="1694" t="s">
        <v>85</v>
      </c>
      <c r="AS12" s="1686"/>
      <c r="AT12" s="1687"/>
      <c r="AU12" s="1699" t="s">
        <v>669</v>
      </c>
      <c r="AV12" s="1699"/>
      <c r="AW12" s="1698">
        <f>+BA12*190</f>
        <v>6840</v>
      </c>
      <c r="AX12" s="1698"/>
      <c r="AY12" s="1698"/>
      <c r="AZ12" s="1698"/>
      <c r="BA12" s="1692">
        <v>36</v>
      </c>
      <c r="BB12" s="1694" t="s">
        <v>85</v>
      </c>
      <c r="BD12" s="1686"/>
      <c r="BE12" s="1687"/>
      <c r="BF12" s="1699" t="s">
        <v>460</v>
      </c>
      <c r="BG12" s="1699"/>
      <c r="BH12" s="1698">
        <f>+BL12*190</f>
        <v>0</v>
      </c>
      <c r="BI12" s="1698"/>
      <c r="BJ12" s="1698"/>
      <c r="BK12" s="1698"/>
      <c r="BL12" s="1692">
        <v>0</v>
      </c>
      <c r="BM12" s="1694" t="s">
        <v>85</v>
      </c>
      <c r="BO12" s="1686"/>
      <c r="BP12" s="1687"/>
      <c r="BQ12" s="1699" t="s">
        <v>669</v>
      </c>
      <c r="BR12" s="1699"/>
      <c r="BS12" s="1698">
        <f>+BW12*190</f>
        <v>5130</v>
      </c>
      <c r="BT12" s="1698"/>
      <c r="BU12" s="1698"/>
      <c r="BV12" s="1698"/>
      <c r="BW12" s="1692">
        <v>27</v>
      </c>
      <c r="BX12" s="1694" t="s">
        <v>85</v>
      </c>
      <c r="BZ12" s="1686"/>
      <c r="CA12" s="1687"/>
      <c r="CB12" s="1699" t="s">
        <v>669</v>
      </c>
      <c r="CC12" s="1699"/>
      <c r="CD12" s="1698">
        <f>+CH12*190</f>
        <v>3705</v>
      </c>
      <c r="CE12" s="1698"/>
      <c r="CF12" s="1698"/>
      <c r="CG12" s="1698"/>
      <c r="CH12" s="1692">
        <v>19.5</v>
      </c>
      <c r="CI12" s="1694" t="s">
        <v>85</v>
      </c>
      <c r="CK12" s="1686"/>
      <c r="CL12" s="1687"/>
      <c r="CM12" s="1699" t="s">
        <v>669</v>
      </c>
      <c r="CN12" s="1699"/>
      <c r="CO12" s="1698">
        <f>+CS12*190</f>
        <v>1330</v>
      </c>
      <c r="CP12" s="1698"/>
      <c r="CQ12" s="1698"/>
      <c r="CR12" s="1698"/>
      <c r="CS12" s="1692">
        <v>7</v>
      </c>
      <c r="CT12" s="1694" t="s">
        <v>85</v>
      </c>
      <c r="CV12" s="1686"/>
      <c r="CW12" s="1687"/>
      <c r="CX12" s="1699" t="s">
        <v>460</v>
      </c>
      <c r="CY12" s="1699"/>
      <c r="CZ12" s="1698">
        <f>+DD12*190</f>
        <v>0</v>
      </c>
      <c r="DA12" s="1698"/>
      <c r="DB12" s="1698"/>
      <c r="DC12" s="1698"/>
      <c r="DD12" s="1692">
        <v>0</v>
      </c>
      <c r="DE12" s="1694" t="s">
        <v>85</v>
      </c>
      <c r="DG12" s="1686"/>
      <c r="DH12" s="1687"/>
      <c r="DI12" s="1699" t="s">
        <v>460</v>
      </c>
      <c r="DJ12" s="1699"/>
      <c r="DK12" s="1698">
        <f>+DO12*190</f>
        <v>3135</v>
      </c>
      <c r="DL12" s="1698"/>
      <c r="DM12" s="1698"/>
      <c r="DN12" s="1698"/>
      <c r="DO12" s="1692">
        <v>16.5</v>
      </c>
      <c r="DP12" s="1694" t="s">
        <v>85</v>
      </c>
      <c r="DR12" s="1686"/>
      <c r="DS12" s="1687"/>
      <c r="DT12" s="1699" t="s">
        <v>460</v>
      </c>
      <c r="DU12" s="1699"/>
      <c r="DV12" s="1698">
        <f>+DZ12*190</f>
        <v>5985</v>
      </c>
      <c r="DW12" s="1698"/>
      <c r="DX12" s="1698"/>
      <c r="DY12" s="1698"/>
      <c r="DZ12" s="1692">
        <v>31.5</v>
      </c>
      <c r="EA12" s="1694" t="s">
        <v>85</v>
      </c>
      <c r="EC12" s="1686"/>
      <c r="ED12" s="1687"/>
      <c r="EE12" s="1699" t="s">
        <v>460</v>
      </c>
      <c r="EF12" s="1699"/>
      <c r="EG12" s="1698">
        <f>+EK12*190</f>
        <v>7030</v>
      </c>
      <c r="EH12" s="1698"/>
      <c r="EI12" s="1698"/>
      <c r="EJ12" s="1698"/>
      <c r="EK12" s="1692">
        <v>37</v>
      </c>
      <c r="EL12" s="1694" t="s">
        <v>85</v>
      </c>
      <c r="EN12" s="1686"/>
      <c r="EO12" s="1687"/>
      <c r="EP12" s="1699" t="s">
        <v>460</v>
      </c>
      <c r="EQ12" s="1699"/>
      <c r="ER12" s="1698">
        <f>+EV12*183</f>
        <v>0</v>
      </c>
      <c r="ES12" s="1698"/>
      <c r="ET12" s="1698"/>
      <c r="EU12" s="1698"/>
      <c r="EV12" s="1692"/>
      <c r="EW12" s="1694" t="s">
        <v>85</v>
      </c>
      <c r="EY12" s="1686"/>
      <c r="EZ12" s="1687"/>
      <c r="FA12" s="1699" t="s">
        <v>460</v>
      </c>
      <c r="FB12" s="1699"/>
      <c r="FC12" s="1698">
        <f>+FG12*183</f>
        <v>0</v>
      </c>
      <c r="FD12" s="1698"/>
      <c r="FE12" s="1698"/>
      <c r="FF12" s="1698"/>
      <c r="FG12" s="1692"/>
      <c r="FH12" s="1694" t="s">
        <v>85</v>
      </c>
    </row>
    <row r="13" spans="1:164" x14ac:dyDescent="0.3">
      <c r="A13" s="1701"/>
      <c r="B13" s="1701"/>
      <c r="C13" s="1714"/>
      <c r="D13" s="1714"/>
      <c r="E13" s="1698"/>
      <c r="F13" s="1698"/>
      <c r="G13" s="1698"/>
      <c r="H13" s="1698"/>
      <c r="I13" s="1693"/>
      <c r="J13" s="1695"/>
      <c r="L13" s="1686"/>
      <c r="M13" s="1687"/>
      <c r="N13" s="1690"/>
      <c r="O13" s="1691"/>
      <c r="P13" s="1656"/>
      <c r="Q13" s="1657"/>
      <c r="R13" s="1657"/>
      <c r="S13" s="1658"/>
      <c r="T13" s="1693"/>
      <c r="U13" s="1695"/>
      <c r="W13" s="1686"/>
      <c r="X13" s="1687"/>
      <c r="Y13" s="1690"/>
      <c r="Z13" s="1691"/>
      <c r="AA13" s="1656"/>
      <c r="AB13" s="1657"/>
      <c r="AC13" s="1657"/>
      <c r="AD13" s="1658"/>
      <c r="AE13" s="1693"/>
      <c r="AF13" s="1695"/>
      <c r="AH13" s="1686"/>
      <c r="AI13" s="1687"/>
      <c r="AJ13" s="1714"/>
      <c r="AK13" s="1714"/>
      <c r="AL13" s="1698"/>
      <c r="AM13" s="1698"/>
      <c r="AN13" s="1698"/>
      <c r="AO13" s="1698"/>
      <c r="AP13" s="1693"/>
      <c r="AQ13" s="1695"/>
      <c r="AS13" s="1686"/>
      <c r="AT13" s="1687"/>
      <c r="AU13" s="1699"/>
      <c r="AV13" s="1699"/>
      <c r="AW13" s="1698"/>
      <c r="AX13" s="1698"/>
      <c r="AY13" s="1698"/>
      <c r="AZ13" s="1698"/>
      <c r="BA13" s="1693"/>
      <c r="BB13" s="1695"/>
      <c r="BD13" s="1686"/>
      <c r="BE13" s="1687"/>
      <c r="BF13" s="1699"/>
      <c r="BG13" s="1699"/>
      <c r="BH13" s="1698"/>
      <c r="BI13" s="1698"/>
      <c r="BJ13" s="1698"/>
      <c r="BK13" s="1698"/>
      <c r="BL13" s="1693"/>
      <c r="BM13" s="1695"/>
      <c r="BO13" s="1686"/>
      <c r="BP13" s="1687"/>
      <c r="BQ13" s="1699"/>
      <c r="BR13" s="1699"/>
      <c r="BS13" s="1698"/>
      <c r="BT13" s="1698"/>
      <c r="BU13" s="1698"/>
      <c r="BV13" s="1698"/>
      <c r="BW13" s="1693"/>
      <c r="BX13" s="1695"/>
      <c r="BZ13" s="1686"/>
      <c r="CA13" s="1687"/>
      <c r="CB13" s="1699"/>
      <c r="CC13" s="1699"/>
      <c r="CD13" s="1698"/>
      <c r="CE13" s="1698"/>
      <c r="CF13" s="1698"/>
      <c r="CG13" s="1698"/>
      <c r="CH13" s="1693"/>
      <c r="CI13" s="1695"/>
      <c r="CK13" s="1686"/>
      <c r="CL13" s="1687"/>
      <c r="CM13" s="1699"/>
      <c r="CN13" s="1699"/>
      <c r="CO13" s="1698"/>
      <c r="CP13" s="1698"/>
      <c r="CQ13" s="1698"/>
      <c r="CR13" s="1698"/>
      <c r="CS13" s="1693"/>
      <c r="CT13" s="1695"/>
      <c r="CV13" s="1686"/>
      <c r="CW13" s="1687"/>
      <c r="CX13" s="1699"/>
      <c r="CY13" s="1699"/>
      <c r="CZ13" s="1698"/>
      <c r="DA13" s="1698"/>
      <c r="DB13" s="1698"/>
      <c r="DC13" s="1698"/>
      <c r="DD13" s="1693"/>
      <c r="DE13" s="1695"/>
      <c r="DG13" s="1686"/>
      <c r="DH13" s="1687"/>
      <c r="DI13" s="1699"/>
      <c r="DJ13" s="1699"/>
      <c r="DK13" s="1698"/>
      <c r="DL13" s="1698"/>
      <c r="DM13" s="1698"/>
      <c r="DN13" s="1698"/>
      <c r="DO13" s="1693"/>
      <c r="DP13" s="1695"/>
      <c r="DR13" s="1686"/>
      <c r="DS13" s="1687"/>
      <c r="DT13" s="1699"/>
      <c r="DU13" s="1699"/>
      <c r="DV13" s="1698"/>
      <c r="DW13" s="1698"/>
      <c r="DX13" s="1698"/>
      <c r="DY13" s="1698"/>
      <c r="DZ13" s="1693"/>
      <c r="EA13" s="1695"/>
      <c r="EC13" s="1686"/>
      <c r="ED13" s="1687"/>
      <c r="EE13" s="1699"/>
      <c r="EF13" s="1699"/>
      <c r="EG13" s="1698"/>
      <c r="EH13" s="1698"/>
      <c r="EI13" s="1698"/>
      <c r="EJ13" s="1698"/>
      <c r="EK13" s="1693"/>
      <c r="EL13" s="1695"/>
      <c r="EN13" s="1686"/>
      <c r="EO13" s="1687"/>
      <c r="EP13" s="1699"/>
      <c r="EQ13" s="1699"/>
      <c r="ER13" s="1698"/>
      <c r="ES13" s="1698"/>
      <c r="ET13" s="1698"/>
      <c r="EU13" s="1698"/>
      <c r="EV13" s="1693"/>
      <c r="EW13" s="1695"/>
      <c r="EY13" s="1686"/>
      <c r="EZ13" s="1687"/>
      <c r="FA13" s="1699"/>
      <c r="FB13" s="1699"/>
      <c r="FC13" s="1698"/>
      <c r="FD13" s="1698"/>
      <c r="FE13" s="1698"/>
      <c r="FF13" s="1698"/>
      <c r="FG13" s="1693"/>
      <c r="FH13" s="1695"/>
    </row>
    <row r="14" spans="1:164" ht="30" customHeight="1" x14ac:dyDescent="0.3">
      <c r="A14" s="1701"/>
      <c r="B14" s="1701"/>
      <c r="C14" s="1696" t="s">
        <v>461</v>
      </c>
      <c r="D14" s="1697"/>
      <c r="E14" s="1668">
        <f>6000+3000+1000</f>
        <v>10000</v>
      </c>
      <c r="F14" s="1669"/>
      <c r="G14" s="1669"/>
      <c r="H14" s="1670"/>
      <c r="I14" s="1715"/>
      <c r="J14" s="1716"/>
      <c r="L14" s="1686"/>
      <c r="M14" s="1687"/>
      <c r="N14" s="1696" t="s">
        <v>461</v>
      </c>
      <c r="O14" s="1697"/>
      <c r="P14" s="1668"/>
      <c r="Q14" s="1669"/>
      <c r="R14" s="1669"/>
      <c r="S14" s="1670"/>
      <c r="T14" s="1668"/>
      <c r="U14" s="1670"/>
      <c r="W14" s="1686"/>
      <c r="X14" s="1687"/>
      <c r="Y14" s="1696" t="s">
        <v>461</v>
      </c>
      <c r="Z14" s="1697"/>
      <c r="AA14" s="1668">
        <v>500</v>
      </c>
      <c r="AB14" s="1669"/>
      <c r="AC14" s="1669"/>
      <c r="AD14" s="1670"/>
      <c r="AE14" s="1668"/>
      <c r="AF14" s="1670"/>
      <c r="AH14" s="1686"/>
      <c r="AI14" s="1687"/>
      <c r="AJ14" s="1696" t="s">
        <v>461</v>
      </c>
      <c r="AK14" s="1697"/>
      <c r="AL14" s="1668"/>
      <c r="AM14" s="1669"/>
      <c r="AN14" s="1669"/>
      <c r="AO14" s="1670"/>
      <c r="AP14" s="1706"/>
      <c r="AQ14" s="1707"/>
      <c r="AS14" s="1686"/>
      <c r="AT14" s="1687"/>
      <c r="AU14" s="1696" t="s">
        <v>563</v>
      </c>
      <c r="AV14" s="1697"/>
      <c r="AW14" s="1698" t="e">
        <f>+BA14*192</f>
        <v>#REF!</v>
      </c>
      <c r="AX14" s="1698"/>
      <c r="AY14" s="1698"/>
      <c r="AZ14" s="1698"/>
      <c r="BA14" s="1048" t="e">
        <f>'欣鮮-艾克爾'!F44</f>
        <v>#REF!</v>
      </c>
      <c r="BB14" s="1047" t="s">
        <v>564</v>
      </c>
      <c r="BD14" s="1686"/>
      <c r="BE14" s="1687"/>
      <c r="BF14" s="1696" t="s">
        <v>461</v>
      </c>
      <c r="BG14" s="1697"/>
      <c r="BH14" s="1668"/>
      <c r="BI14" s="1669"/>
      <c r="BJ14" s="1669"/>
      <c r="BK14" s="1670"/>
      <c r="BL14" s="1706"/>
      <c r="BM14" s="1707"/>
      <c r="BO14" s="1686"/>
      <c r="BP14" s="1687"/>
      <c r="BQ14" s="1696" t="s">
        <v>671</v>
      </c>
      <c r="BR14" s="1697"/>
      <c r="BS14" s="1668">
        <f>BW14*200</f>
        <v>1600</v>
      </c>
      <c r="BT14" s="1669"/>
      <c r="BU14" s="1669"/>
      <c r="BV14" s="1670"/>
      <c r="BW14" s="1048">
        <v>8</v>
      </c>
      <c r="BX14" s="1047" t="s">
        <v>564</v>
      </c>
      <c r="BZ14" s="1686"/>
      <c r="CA14" s="1687"/>
      <c r="CB14" s="1696" t="s">
        <v>461</v>
      </c>
      <c r="CC14" s="1697"/>
      <c r="CD14" s="1668"/>
      <c r="CE14" s="1669"/>
      <c r="CF14" s="1669"/>
      <c r="CG14" s="1670"/>
      <c r="CH14" s="1706"/>
      <c r="CI14" s="1707"/>
      <c r="CK14" s="1686"/>
      <c r="CL14" s="1687"/>
      <c r="CM14" s="1696" t="s">
        <v>525</v>
      </c>
      <c r="CN14" s="1697"/>
      <c r="CO14" s="1668">
        <f>CS14*190</f>
        <v>0</v>
      </c>
      <c r="CP14" s="1669"/>
      <c r="CQ14" s="1669"/>
      <c r="CR14" s="1670"/>
      <c r="CS14" s="873"/>
      <c r="CT14" s="832" t="s">
        <v>85</v>
      </c>
      <c r="CV14" s="1686"/>
      <c r="CW14" s="1687"/>
      <c r="CX14" s="1696" t="s">
        <v>523</v>
      </c>
      <c r="CY14" s="1697"/>
      <c r="CZ14" s="1668">
        <f>DD14*192</f>
        <v>0</v>
      </c>
      <c r="DA14" s="1669"/>
      <c r="DB14" s="1669"/>
      <c r="DC14" s="1670"/>
      <c r="DD14" s="913">
        <v>0</v>
      </c>
      <c r="DE14" s="914" t="s">
        <v>85</v>
      </c>
      <c r="DG14" s="1686"/>
      <c r="DH14" s="1687"/>
      <c r="DI14" s="1696" t="s">
        <v>461</v>
      </c>
      <c r="DJ14" s="1697"/>
      <c r="DK14" s="1668">
        <f>亦傑6月薪!I9</f>
        <v>0</v>
      </c>
      <c r="DL14" s="1669"/>
      <c r="DM14" s="1669"/>
      <c r="DN14" s="1670"/>
      <c r="DO14" s="1706"/>
      <c r="DP14" s="1707"/>
      <c r="DR14" s="1686"/>
      <c r="DS14" s="1687"/>
      <c r="DT14" s="1696" t="s">
        <v>523</v>
      </c>
      <c r="DU14" s="1697"/>
      <c r="DV14" s="1668">
        <f>192*DZ14</f>
        <v>1920</v>
      </c>
      <c r="DW14" s="1669"/>
      <c r="DX14" s="1669"/>
      <c r="DY14" s="1670"/>
      <c r="DZ14" s="830">
        <v>10</v>
      </c>
      <c r="EA14" s="829" t="s">
        <v>85</v>
      </c>
      <c r="EC14" s="1686"/>
      <c r="ED14" s="1687"/>
      <c r="EE14" s="1696" t="s">
        <v>461</v>
      </c>
      <c r="EF14" s="1697"/>
      <c r="EG14" s="1668"/>
      <c r="EH14" s="1669"/>
      <c r="EI14" s="1669"/>
      <c r="EJ14" s="1670"/>
      <c r="EK14" s="1706"/>
      <c r="EL14" s="1707"/>
      <c r="EN14" s="1686"/>
      <c r="EO14" s="1687"/>
      <c r="EP14" s="1696" t="s">
        <v>461</v>
      </c>
      <c r="EQ14" s="1697"/>
      <c r="ER14" s="1668"/>
      <c r="ES14" s="1669"/>
      <c r="ET14" s="1669"/>
      <c r="EU14" s="1670"/>
      <c r="EV14" s="1706"/>
      <c r="EW14" s="1707"/>
      <c r="EY14" s="1686"/>
      <c r="EZ14" s="1687"/>
      <c r="FA14" s="1696" t="s">
        <v>461</v>
      </c>
      <c r="FB14" s="1697"/>
      <c r="FC14" s="1668"/>
      <c r="FD14" s="1669"/>
      <c r="FE14" s="1669"/>
      <c r="FF14" s="1670"/>
      <c r="FG14" s="1706"/>
      <c r="FH14" s="1707"/>
    </row>
    <row r="15" spans="1:164" ht="27.75" customHeight="1" x14ac:dyDescent="0.3">
      <c r="A15" s="1701"/>
      <c r="B15" s="1701"/>
      <c r="C15" s="1696" t="s">
        <v>461</v>
      </c>
      <c r="D15" s="1697"/>
      <c r="E15" s="1668"/>
      <c r="F15" s="1669"/>
      <c r="G15" s="1669"/>
      <c r="H15" s="1670"/>
      <c r="I15" s="1706"/>
      <c r="J15" s="1707"/>
      <c r="L15" s="1686"/>
      <c r="M15" s="1687"/>
      <c r="N15" s="1696" t="s">
        <v>461</v>
      </c>
      <c r="O15" s="1697"/>
      <c r="P15" s="1668"/>
      <c r="Q15" s="1669"/>
      <c r="R15" s="1669"/>
      <c r="S15" s="1670"/>
      <c r="T15" s="1668"/>
      <c r="U15" s="1670"/>
      <c r="W15" s="1686"/>
      <c r="X15" s="1687"/>
      <c r="Y15" s="1696" t="s">
        <v>461</v>
      </c>
      <c r="Z15" s="1697"/>
      <c r="AA15" s="1668"/>
      <c r="AB15" s="1669"/>
      <c r="AC15" s="1669"/>
      <c r="AD15" s="1670"/>
      <c r="AE15" s="1668"/>
      <c r="AF15" s="1670"/>
      <c r="AH15" s="1686"/>
      <c r="AI15" s="1687"/>
      <c r="AJ15" s="1696" t="s">
        <v>461</v>
      </c>
      <c r="AK15" s="1697"/>
      <c r="AL15" s="1668"/>
      <c r="AM15" s="1669"/>
      <c r="AN15" s="1669"/>
      <c r="AO15" s="1670"/>
      <c r="AP15" s="1706"/>
      <c r="AQ15" s="1707"/>
      <c r="AS15" s="1686"/>
      <c r="AT15" s="1687"/>
      <c r="AU15" s="1696" t="s">
        <v>461</v>
      </c>
      <c r="AV15" s="1697"/>
      <c r="AW15" s="1668">
        <v>3000</v>
      </c>
      <c r="AX15" s="1669"/>
      <c r="AY15" s="1669"/>
      <c r="AZ15" s="1670"/>
      <c r="BA15" s="1712"/>
      <c r="BB15" s="1713"/>
      <c r="BD15" s="1686"/>
      <c r="BE15" s="1687"/>
      <c r="BF15" s="1696" t="s">
        <v>461</v>
      </c>
      <c r="BG15" s="1697"/>
      <c r="BH15" s="1668"/>
      <c r="BI15" s="1669"/>
      <c r="BJ15" s="1669"/>
      <c r="BK15" s="1670"/>
      <c r="BL15" s="1706"/>
      <c r="BM15" s="1707"/>
      <c r="BO15" s="1686"/>
      <c r="BP15" s="1687"/>
      <c r="BQ15" s="1696" t="s">
        <v>461</v>
      </c>
      <c r="BR15" s="1697"/>
      <c r="BS15" s="1668">
        <v>4529</v>
      </c>
      <c r="BT15" s="1669"/>
      <c r="BU15" s="1669"/>
      <c r="BV15" s="1670"/>
      <c r="BW15" s="1706" t="s">
        <v>522</v>
      </c>
      <c r="BX15" s="1707"/>
      <c r="BZ15" s="1686"/>
      <c r="CA15" s="1687"/>
      <c r="CB15" s="1696" t="s">
        <v>461</v>
      </c>
      <c r="CC15" s="1697"/>
      <c r="CD15" s="1668"/>
      <c r="CE15" s="1669"/>
      <c r="CF15" s="1669"/>
      <c r="CG15" s="1670"/>
      <c r="CH15" s="1706"/>
      <c r="CI15" s="1707"/>
      <c r="CK15" s="1686"/>
      <c r="CL15" s="1687"/>
      <c r="CM15" s="1696" t="s">
        <v>461</v>
      </c>
      <c r="CN15" s="1697"/>
      <c r="CO15" s="1668">
        <v>500</v>
      </c>
      <c r="CP15" s="1669"/>
      <c r="CQ15" s="1669"/>
      <c r="CR15" s="1670"/>
      <c r="CS15" s="1706"/>
      <c r="CT15" s="1707"/>
      <c r="CV15" s="1686"/>
      <c r="CW15" s="1687"/>
      <c r="CX15" s="1696" t="s">
        <v>461</v>
      </c>
      <c r="CY15" s="1697"/>
      <c r="CZ15" s="1668"/>
      <c r="DA15" s="1669"/>
      <c r="DB15" s="1669"/>
      <c r="DC15" s="1670"/>
      <c r="DD15" s="830"/>
      <c r="DE15" s="915"/>
      <c r="DG15" s="1686"/>
      <c r="DH15" s="1687"/>
      <c r="DI15" s="1696" t="s">
        <v>461</v>
      </c>
      <c r="DJ15" s="1697"/>
      <c r="DK15" s="1668"/>
      <c r="DL15" s="1669"/>
      <c r="DM15" s="1669"/>
      <c r="DN15" s="1670"/>
      <c r="DO15" s="1706"/>
      <c r="DP15" s="1707"/>
      <c r="DR15" s="1686"/>
      <c r="DS15" s="1687"/>
      <c r="DT15" s="1696" t="s">
        <v>524</v>
      </c>
      <c r="DU15" s="1697"/>
      <c r="DV15" s="1668">
        <f>830*DZ15</f>
        <v>4150</v>
      </c>
      <c r="DW15" s="1669"/>
      <c r="DX15" s="1669"/>
      <c r="DY15" s="1670"/>
      <c r="DZ15" s="830">
        <v>5</v>
      </c>
      <c r="EA15" s="832" t="s">
        <v>85</v>
      </c>
      <c r="EC15" s="1686"/>
      <c r="ED15" s="1687"/>
      <c r="EE15" s="1696" t="s">
        <v>461</v>
      </c>
      <c r="EF15" s="1697"/>
      <c r="EG15" s="1668"/>
      <c r="EH15" s="1669"/>
      <c r="EI15" s="1669"/>
      <c r="EJ15" s="1670"/>
      <c r="EK15" s="1706"/>
      <c r="EL15" s="1707"/>
      <c r="EN15" s="1686"/>
      <c r="EO15" s="1687"/>
      <c r="EP15" s="1696" t="s">
        <v>461</v>
      </c>
      <c r="EQ15" s="1697"/>
      <c r="ER15" s="1668"/>
      <c r="ES15" s="1669"/>
      <c r="ET15" s="1669"/>
      <c r="EU15" s="1670"/>
      <c r="EV15" s="1706"/>
      <c r="EW15" s="1707"/>
      <c r="EY15" s="1686"/>
      <c r="EZ15" s="1687"/>
      <c r="FA15" s="1696" t="s">
        <v>461</v>
      </c>
      <c r="FB15" s="1697"/>
      <c r="FC15" s="1668"/>
      <c r="FD15" s="1669"/>
      <c r="FE15" s="1669"/>
      <c r="FF15" s="1670"/>
      <c r="FG15" s="1706"/>
      <c r="FH15" s="1707"/>
    </row>
    <row r="16" spans="1:164" ht="22.5" customHeight="1" x14ac:dyDescent="0.3">
      <c r="A16" s="1701"/>
      <c r="B16" s="1701"/>
      <c r="C16" s="349" t="s">
        <v>462</v>
      </c>
      <c r="D16" s="349"/>
      <c r="E16" s="1698" t="e">
        <f>SUM(E9:H15)</f>
        <v>#REF!</v>
      </c>
      <c r="F16" s="1698"/>
      <c r="G16" s="1698"/>
      <c r="H16" s="1698"/>
      <c r="I16" s="1698"/>
      <c r="J16" s="1698"/>
      <c r="L16" s="1683"/>
      <c r="M16" s="1684"/>
      <c r="N16" s="349" t="s">
        <v>462</v>
      </c>
      <c r="O16" s="349"/>
      <c r="P16" s="1668">
        <f>SUM(P9:S15)</f>
        <v>5795</v>
      </c>
      <c r="Q16" s="1669"/>
      <c r="R16" s="1669"/>
      <c r="S16" s="1669"/>
      <c r="T16" s="1669"/>
      <c r="U16" s="1670"/>
      <c r="W16" s="1683"/>
      <c r="X16" s="1684"/>
      <c r="Y16" s="349" t="s">
        <v>462</v>
      </c>
      <c r="Z16" s="349"/>
      <c r="AA16" s="1668">
        <f>SUM(AA9:AD15)</f>
        <v>500</v>
      </c>
      <c r="AB16" s="1669"/>
      <c r="AC16" s="1669"/>
      <c r="AD16" s="1669"/>
      <c r="AE16" s="1669"/>
      <c r="AF16" s="1670"/>
      <c r="AH16" s="1683"/>
      <c r="AI16" s="1684"/>
      <c r="AJ16" s="349" t="s">
        <v>462</v>
      </c>
      <c r="AK16" s="349"/>
      <c r="AL16" s="1698">
        <f>SUM(AL9:AO15)</f>
        <v>28113.5</v>
      </c>
      <c r="AM16" s="1698"/>
      <c r="AN16" s="1698"/>
      <c r="AO16" s="1698"/>
      <c r="AP16" s="1698"/>
      <c r="AQ16" s="1698"/>
      <c r="AS16" s="1683"/>
      <c r="AT16" s="1684"/>
      <c r="AU16" s="349" t="s">
        <v>462</v>
      </c>
      <c r="AV16" s="349"/>
      <c r="AW16" s="1698" t="e">
        <f>SUM(AW9:AZ15)</f>
        <v>#REF!</v>
      </c>
      <c r="AX16" s="1698"/>
      <c r="AY16" s="1698"/>
      <c r="AZ16" s="1698"/>
      <c r="BA16" s="1698"/>
      <c r="BB16" s="1698"/>
      <c r="BD16" s="1683"/>
      <c r="BE16" s="1684"/>
      <c r="BF16" s="349" t="s">
        <v>462</v>
      </c>
      <c r="BG16" s="349"/>
      <c r="BH16" s="1698">
        <f>SUM(BH9:BK15)</f>
        <v>32069</v>
      </c>
      <c r="BI16" s="1698"/>
      <c r="BJ16" s="1698"/>
      <c r="BK16" s="1698"/>
      <c r="BL16" s="1698"/>
      <c r="BM16" s="1698"/>
      <c r="BO16" s="1683"/>
      <c r="BP16" s="1684"/>
      <c r="BQ16" s="349" t="s">
        <v>462</v>
      </c>
      <c r="BR16" s="349"/>
      <c r="BS16" s="1698">
        <f>SUM(BS9:BV15)</f>
        <v>39233</v>
      </c>
      <c r="BT16" s="1698"/>
      <c r="BU16" s="1698"/>
      <c r="BV16" s="1698"/>
      <c r="BW16" s="1698"/>
      <c r="BX16" s="1698"/>
      <c r="BZ16" s="1683"/>
      <c r="CA16" s="1684"/>
      <c r="CB16" s="349" t="s">
        <v>462</v>
      </c>
      <c r="CC16" s="349"/>
      <c r="CD16" s="1698">
        <f>SUM(CD9:CG15)</f>
        <v>35095</v>
      </c>
      <c r="CE16" s="1698"/>
      <c r="CF16" s="1698"/>
      <c r="CG16" s="1698"/>
      <c r="CH16" s="1698"/>
      <c r="CI16" s="1698"/>
      <c r="CK16" s="1683"/>
      <c r="CL16" s="1684"/>
      <c r="CM16" s="349" t="s">
        <v>462</v>
      </c>
      <c r="CN16" s="349"/>
      <c r="CO16" s="1698">
        <f>SUM(CO9:CR15)</f>
        <v>34459</v>
      </c>
      <c r="CP16" s="1698"/>
      <c r="CQ16" s="1698"/>
      <c r="CR16" s="1698"/>
      <c r="CS16" s="1698"/>
      <c r="CT16" s="1698"/>
      <c r="CV16" s="1683"/>
      <c r="CW16" s="1684"/>
      <c r="CX16" s="349" t="s">
        <v>462</v>
      </c>
      <c r="CY16" s="349"/>
      <c r="CZ16" s="1698">
        <f>SUM(CZ9:DC15)</f>
        <v>28590</v>
      </c>
      <c r="DA16" s="1698"/>
      <c r="DB16" s="1698"/>
      <c r="DC16" s="1698"/>
      <c r="DD16" s="1698"/>
      <c r="DE16" s="1698"/>
      <c r="DG16" s="1683"/>
      <c r="DH16" s="1684"/>
      <c r="DI16" s="349" t="s">
        <v>462</v>
      </c>
      <c r="DJ16" s="349"/>
      <c r="DK16" s="1698">
        <f>SUM(DK9:DN15)</f>
        <v>36523</v>
      </c>
      <c r="DL16" s="1698"/>
      <c r="DM16" s="1698"/>
      <c r="DN16" s="1698"/>
      <c r="DO16" s="1698"/>
      <c r="DP16" s="1698"/>
      <c r="DR16" s="1683"/>
      <c r="DS16" s="1684"/>
      <c r="DT16" s="349" t="s">
        <v>462</v>
      </c>
      <c r="DU16" s="349"/>
      <c r="DV16" s="1698">
        <f>SUM(DV9:DY15)</f>
        <v>43445</v>
      </c>
      <c r="DW16" s="1698"/>
      <c r="DX16" s="1698"/>
      <c r="DY16" s="1698"/>
      <c r="DZ16" s="1698"/>
      <c r="EA16" s="1698"/>
      <c r="EC16" s="1683"/>
      <c r="ED16" s="1684"/>
      <c r="EE16" s="349" t="s">
        <v>462</v>
      </c>
      <c r="EF16" s="349"/>
      <c r="EG16" s="1698">
        <f>SUM(EG9:EJ15)</f>
        <v>40199.5</v>
      </c>
      <c r="EH16" s="1698"/>
      <c r="EI16" s="1698"/>
      <c r="EJ16" s="1698"/>
      <c r="EK16" s="1698"/>
      <c r="EL16" s="1698"/>
      <c r="EN16" s="1683"/>
      <c r="EO16" s="1684"/>
      <c r="EP16" s="349" t="s">
        <v>462</v>
      </c>
      <c r="EQ16" s="349"/>
      <c r="ER16" s="1698">
        <f>SUM(ER9:EU15)</f>
        <v>4019.5</v>
      </c>
      <c r="ES16" s="1698"/>
      <c r="ET16" s="1698"/>
      <c r="EU16" s="1698"/>
      <c r="EV16" s="1698"/>
      <c r="EW16" s="1698"/>
      <c r="EY16" s="1683"/>
      <c r="EZ16" s="1684"/>
      <c r="FA16" s="349" t="s">
        <v>462</v>
      </c>
      <c r="FB16" s="349"/>
      <c r="FC16" s="1698" t="e">
        <f>SUM(FC9:FF15)</f>
        <v>#REF!</v>
      </c>
      <c r="FD16" s="1698"/>
      <c r="FE16" s="1698"/>
      <c r="FF16" s="1698"/>
      <c r="FG16" s="1698"/>
      <c r="FH16" s="1698"/>
    </row>
    <row r="17" spans="1:164" ht="16.5" customHeight="1" x14ac:dyDescent="0.3">
      <c r="A17" s="1701" t="s">
        <v>477</v>
      </c>
      <c r="B17" s="1680"/>
      <c r="C17" s="1699" t="s">
        <v>464</v>
      </c>
      <c r="D17" s="1700"/>
      <c r="E17" s="1698">
        <v>563</v>
      </c>
      <c r="F17" s="1698"/>
      <c r="G17" s="1698"/>
      <c r="H17" s="1698"/>
      <c r="I17" s="1698"/>
      <c r="J17" s="1698"/>
      <c r="L17" s="1681" t="s">
        <v>463</v>
      </c>
      <c r="M17" s="1682"/>
      <c r="N17" s="1659" t="s">
        <v>464</v>
      </c>
      <c r="O17" s="1660"/>
      <c r="P17" s="1653"/>
      <c r="Q17" s="1654"/>
      <c r="R17" s="1654"/>
      <c r="S17" s="1655"/>
      <c r="T17" s="1653"/>
      <c r="U17" s="1655"/>
      <c r="W17" s="1681" t="s">
        <v>463</v>
      </c>
      <c r="X17" s="1682"/>
      <c r="Y17" s="1659" t="s">
        <v>464</v>
      </c>
      <c r="Z17" s="1660"/>
      <c r="AA17" s="1653"/>
      <c r="AB17" s="1654"/>
      <c r="AC17" s="1654"/>
      <c r="AD17" s="1655"/>
      <c r="AE17" s="1653"/>
      <c r="AF17" s="1655"/>
      <c r="AH17" s="1681" t="s">
        <v>463</v>
      </c>
      <c r="AI17" s="1682"/>
      <c r="AJ17" s="1699" t="s">
        <v>464</v>
      </c>
      <c r="AK17" s="1700"/>
      <c r="AL17" s="1698">
        <v>443</v>
      </c>
      <c r="AM17" s="1698"/>
      <c r="AN17" s="1698"/>
      <c r="AO17" s="1698"/>
      <c r="AP17" s="1698"/>
      <c r="AQ17" s="1698"/>
      <c r="AS17" s="1681" t="s">
        <v>463</v>
      </c>
      <c r="AT17" s="1682"/>
      <c r="AU17" s="1699" t="s">
        <v>464</v>
      </c>
      <c r="AV17" s="1700"/>
      <c r="AW17" s="1698">
        <v>493</v>
      </c>
      <c r="AX17" s="1698"/>
      <c r="AY17" s="1698"/>
      <c r="AZ17" s="1698"/>
      <c r="BA17" s="1698"/>
      <c r="BB17" s="1698"/>
      <c r="BD17" s="1681" t="s">
        <v>463</v>
      </c>
      <c r="BE17" s="1682"/>
      <c r="BF17" s="1699" t="s">
        <v>464</v>
      </c>
      <c r="BG17" s="1700"/>
      <c r="BH17" s="1698">
        <v>443</v>
      </c>
      <c r="BI17" s="1698"/>
      <c r="BJ17" s="1698"/>
      <c r="BK17" s="1698"/>
      <c r="BL17" s="1698"/>
      <c r="BM17" s="1698"/>
      <c r="BO17" s="1681" t="s">
        <v>463</v>
      </c>
      <c r="BP17" s="1682"/>
      <c r="BQ17" s="1699" t="s">
        <v>464</v>
      </c>
      <c r="BR17" s="1700"/>
      <c r="BS17" s="1698">
        <v>493</v>
      </c>
      <c r="BT17" s="1698"/>
      <c r="BU17" s="1698"/>
      <c r="BV17" s="1698"/>
      <c r="BW17" s="1698"/>
      <c r="BX17" s="1698"/>
      <c r="BZ17" s="1681" t="s">
        <v>463</v>
      </c>
      <c r="CA17" s="1682"/>
      <c r="CB17" s="1699" t="s">
        <v>464</v>
      </c>
      <c r="CC17" s="1700"/>
      <c r="CD17" s="1698">
        <v>443</v>
      </c>
      <c r="CE17" s="1698"/>
      <c r="CF17" s="1698"/>
      <c r="CG17" s="1698"/>
      <c r="CH17" s="1698"/>
      <c r="CI17" s="1698"/>
      <c r="CK17" s="1681" t="s">
        <v>463</v>
      </c>
      <c r="CL17" s="1682"/>
      <c r="CM17" s="1699" t="s">
        <v>464</v>
      </c>
      <c r="CN17" s="1700"/>
      <c r="CO17" s="1698">
        <v>443</v>
      </c>
      <c r="CP17" s="1698"/>
      <c r="CQ17" s="1698"/>
      <c r="CR17" s="1698"/>
      <c r="CS17" s="1698"/>
      <c r="CT17" s="1698"/>
      <c r="CV17" s="1681" t="s">
        <v>463</v>
      </c>
      <c r="CW17" s="1682"/>
      <c r="CX17" s="1699" t="s">
        <v>464</v>
      </c>
      <c r="CY17" s="1700"/>
      <c r="CZ17" s="1698">
        <v>493</v>
      </c>
      <c r="DA17" s="1698"/>
      <c r="DB17" s="1698"/>
      <c r="DC17" s="1698"/>
      <c r="DD17" s="1698"/>
      <c r="DE17" s="1698"/>
      <c r="DG17" s="1681" t="s">
        <v>463</v>
      </c>
      <c r="DH17" s="1682"/>
      <c r="DI17" s="1699" t="s">
        <v>464</v>
      </c>
      <c r="DJ17" s="1700"/>
      <c r="DK17" s="1698">
        <v>443</v>
      </c>
      <c r="DL17" s="1698"/>
      <c r="DM17" s="1698"/>
      <c r="DN17" s="1698"/>
      <c r="DO17" s="1698"/>
      <c r="DP17" s="1698"/>
      <c r="DR17" s="1681" t="s">
        <v>463</v>
      </c>
      <c r="DS17" s="1682"/>
      <c r="DT17" s="1699" t="s">
        <v>464</v>
      </c>
      <c r="DU17" s="1700"/>
      <c r="DV17" s="1698">
        <v>493</v>
      </c>
      <c r="DW17" s="1698"/>
      <c r="DX17" s="1698"/>
      <c r="DY17" s="1698"/>
      <c r="DZ17" s="1698"/>
      <c r="EA17" s="1698"/>
      <c r="EC17" s="1681" t="s">
        <v>463</v>
      </c>
      <c r="ED17" s="1682"/>
      <c r="EE17" s="1699" t="s">
        <v>464</v>
      </c>
      <c r="EF17" s="1700"/>
      <c r="EG17" s="1698">
        <v>731</v>
      </c>
      <c r="EH17" s="1698"/>
      <c r="EI17" s="1698"/>
      <c r="EJ17" s="1698"/>
      <c r="EK17" s="1698"/>
      <c r="EL17" s="1698"/>
      <c r="EN17" s="1681" t="s">
        <v>463</v>
      </c>
      <c r="EO17" s="1682"/>
      <c r="EP17" s="1699" t="s">
        <v>464</v>
      </c>
      <c r="EQ17" s="1700"/>
      <c r="ER17" s="1698"/>
      <c r="ES17" s="1698"/>
      <c r="ET17" s="1698"/>
      <c r="EU17" s="1698"/>
      <c r="EV17" s="1698"/>
      <c r="EW17" s="1698"/>
      <c r="EY17" s="1681" t="s">
        <v>463</v>
      </c>
      <c r="EZ17" s="1682"/>
      <c r="FA17" s="1699" t="s">
        <v>464</v>
      </c>
      <c r="FB17" s="1700"/>
      <c r="FC17" s="1698"/>
      <c r="FD17" s="1698"/>
      <c r="FE17" s="1698"/>
      <c r="FF17" s="1698"/>
      <c r="FG17" s="1698"/>
      <c r="FH17" s="1698"/>
    </row>
    <row r="18" spans="1:164" ht="16.5" customHeight="1" x14ac:dyDescent="0.3">
      <c r="A18" s="1680"/>
      <c r="B18" s="1680"/>
      <c r="C18" s="1700"/>
      <c r="D18" s="1700"/>
      <c r="E18" s="1698"/>
      <c r="F18" s="1698"/>
      <c r="G18" s="1698"/>
      <c r="H18" s="1698"/>
      <c r="I18" s="1698"/>
      <c r="J18" s="1698"/>
      <c r="L18" s="1686"/>
      <c r="M18" s="1687"/>
      <c r="N18" s="1663"/>
      <c r="O18" s="1664"/>
      <c r="P18" s="1656"/>
      <c r="Q18" s="1657"/>
      <c r="R18" s="1657"/>
      <c r="S18" s="1658"/>
      <c r="T18" s="1656"/>
      <c r="U18" s="1658"/>
      <c r="W18" s="1686"/>
      <c r="X18" s="1687"/>
      <c r="Y18" s="1663"/>
      <c r="Z18" s="1664"/>
      <c r="AA18" s="1656"/>
      <c r="AB18" s="1657"/>
      <c r="AC18" s="1657"/>
      <c r="AD18" s="1658"/>
      <c r="AE18" s="1656"/>
      <c r="AF18" s="1658"/>
      <c r="AH18" s="1686"/>
      <c r="AI18" s="1687"/>
      <c r="AJ18" s="1700"/>
      <c r="AK18" s="1700"/>
      <c r="AL18" s="1698"/>
      <c r="AM18" s="1698"/>
      <c r="AN18" s="1698"/>
      <c r="AO18" s="1698"/>
      <c r="AP18" s="1698"/>
      <c r="AQ18" s="1698"/>
      <c r="AS18" s="1686"/>
      <c r="AT18" s="1687"/>
      <c r="AU18" s="1700"/>
      <c r="AV18" s="1700"/>
      <c r="AW18" s="1698"/>
      <c r="AX18" s="1698"/>
      <c r="AY18" s="1698"/>
      <c r="AZ18" s="1698"/>
      <c r="BA18" s="1698"/>
      <c r="BB18" s="1698"/>
      <c r="BD18" s="1686"/>
      <c r="BE18" s="1687"/>
      <c r="BF18" s="1700"/>
      <c r="BG18" s="1700"/>
      <c r="BH18" s="1698"/>
      <c r="BI18" s="1698"/>
      <c r="BJ18" s="1698"/>
      <c r="BK18" s="1698"/>
      <c r="BL18" s="1698"/>
      <c r="BM18" s="1698"/>
      <c r="BO18" s="1686"/>
      <c r="BP18" s="1687"/>
      <c r="BQ18" s="1700"/>
      <c r="BR18" s="1700"/>
      <c r="BS18" s="1698"/>
      <c r="BT18" s="1698"/>
      <c r="BU18" s="1698"/>
      <c r="BV18" s="1698"/>
      <c r="BW18" s="1698"/>
      <c r="BX18" s="1698"/>
      <c r="BZ18" s="1686"/>
      <c r="CA18" s="1687"/>
      <c r="CB18" s="1700"/>
      <c r="CC18" s="1700"/>
      <c r="CD18" s="1698"/>
      <c r="CE18" s="1698"/>
      <c r="CF18" s="1698"/>
      <c r="CG18" s="1698"/>
      <c r="CH18" s="1698"/>
      <c r="CI18" s="1698"/>
      <c r="CK18" s="1686"/>
      <c r="CL18" s="1687"/>
      <c r="CM18" s="1700"/>
      <c r="CN18" s="1700"/>
      <c r="CO18" s="1698"/>
      <c r="CP18" s="1698"/>
      <c r="CQ18" s="1698"/>
      <c r="CR18" s="1698"/>
      <c r="CS18" s="1698"/>
      <c r="CT18" s="1698"/>
      <c r="CV18" s="1686"/>
      <c r="CW18" s="1687"/>
      <c r="CX18" s="1700"/>
      <c r="CY18" s="1700"/>
      <c r="CZ18" s="1698"/>
      <c r="DA18" s="1698"/>
      <c r="DB18" s="1698"/>
      <c r="DC18" s="1698"/>
      <c r="DD18" s="1698"/>
      <c r="DE18" s="1698"/>
      <c r="DG18" s="1686"/>
      <c r="DH18" s="1687"/>
      <c r="DI18" s="1700"/>
      <c r="DJ18" s="1700"/>
      <c r="DK18" s="1698"/>
      <c r="DL18" s="1698"/>
      <c r="DM18" s="1698"/>
      <c r="DN18" s="1698"/>
      <c r="DO18" s="1698"/>
      <c r="DP18" s="1698"/>
      <c r="DR18" s="1686"/>
      <c r="DS18" s="1687"/>
      <c r="DT18" s="1700"/>
      <c r="DU18" s="1700"/>
      <c r="DV18" s="1698"/>
      <c r="DW18" s="1698"/>
      <c r="DX18" s="1698"/>
      <c r="DY18" s="1698"/>
      <c r="DZ18" s="1698"/>
      <c r="EA18" s="1698"/>
      <c r="EC18" s="1686"/>
      <c r="ED18" s="1687"/>
      <c r="EE18" s="1700"/>
      <c r="EF18" s="1700"/>
      <c r="EG18" s="1698"/>
      <c r="EH18" s="1698"/>
      <c r="EI18" s="1698"/>
      <c r="EJ18" s="1698"/>
      <c r="EK18" s="1698"/>
      <c r="EL18" s="1698"/>
      <c r="EN18" s="1686"/>
      <c r="EO18" s="1687"/>
      <c r="EP18" s="1700"/>
      <c r="EQ18" s="1700"/>
      <c r="ER18" s="1698"/>
      <c r="ES18" s="1698"/>
      <c r="ET18" s="1698"/>
      <c r="EU18" s="1698"/>
      <c r="EV18" s="1698"/>
      <c r="EW18" s="1698"/>
      <c r="EY18" s="1686"/>
      <c r="EZ18" s="1687"/>
      <c r="FA18" s="1700"/>
      <c r="FB18" s="1700"/>
      <c r="FC18" s="1698"/>
      <c r="FD18" s="1698"/>
      <c r="FE18" s="1698"/>
      <c r="FF18" s="1698"/>
      <c r="FG18" s="1698"/>
      <c r="FH18" s="1698"/>
    </row>
    <row r="19" spans="1:164" ht="16.5" customHeight="1" x14ac:dyDescent="0.3">
      <c r="A19" s="1680"/>
      <c r="B19" s="1680"/>
      <c r="C19" s="1701" t="s">
        <v>465</v>
      </c>
      <c r="D19" s="1680"/>
      <c r="E19" s="1698">
        <v>835</v>
      </c>
      <c r="F19" s="1698"/>
      <c r="G19" s="1698"/>
      <c r="H19" s="1698"/>
      <c r="I19" s="1698"/>
      <c r="J19" s="1698"/>
      <c r="L19" s="1686"/>
      <c r="M19" s="1687"/>
      <c r="N19" s="1681" t="s">
        <v>465</v>
      </c>
      <c r="O19" s="1682"/>
      <c r="P19" s="1653"/>
      <c r="Q19" s="1654"/>
      <c r="R19" s="1654"/>
      <c r="S19" s="1655"/>
      <c r="T19" s="1653"/>
      <c r="U19" s="1655"/>
      <c r="W19" s="1686"/>
      <c r="X19" s="1687"/>
      <c r="Y19" s="1681" t="s">
        <v>465</v>
      </c>
      <c r="Z19" s="1682"/>
      <c r="AA19" s="1653"/>
      <c r="AB19" s="1654"/>
      <c r="AC19" s="1654"/>
      <c r="AD19" s="1655"/>
      <c r="AE19" s="1653"/>
      <c r="AF19" s="1655"/>
      <c r="AH19" s="1686"/>
      <c r="AI19" s="1687"/>
      <c r="AJ19" s="1701" t="s">
        <v>465</v>
      </c>
      <c r="AK19" s="1680"/>
      <c r="AL19" s="1698">
        <v>658</v>
      </c>
      <c r="AM19" s="1698"/>
      <c r="AN19" s="1698"/>
      <c r="AO19" s="1698"/>
      <c r="AP19" s="1698"/>
      <c r="AQ19" s="1698"/>
      <c r="AS19" s="1686"/>
      <c r="AT19" s="1687"/>
      <c r="AU19" s="1701" t="s">
        <v>465</v>
      </c>
      <c r="AV19" s="1680"/>
      <c r="AW19" s="1698">
        <v>731</v>
      </c>
      <c r="AX19" s="1698"/>
      <c r="AY19" s="1698"/>
      <c r="AZ19" s="1698"/>
      <c r="BA19" s="1698"/>
      <c r="BB19" s="1698"/>
      <c r="BD19" s="1686"/>
      <c r="BE19" s="1687"/>
      <c r="BF19" s="1701" t="s">
        <v>465</v>
      </c>
      <c r="BG19" s="1680"/>
      <c r="BH19" s="1698">
        <v>658</v>
      </c>
      <c r="BI19" s="1698"/>
      <c r="BJ19" s="1698"/>
      <c r="BK19" s="1698"/>
      <c r="BL19" s="1698"/>
      <c r="BM19" s="1698"/>
      <c r="BO19" s="1686"/>
      <c r="BP19" s="1687"/>
      <c r="BQ19" s="1701" t="s">
        <v>465</v>
      </c>
      <c r="BR19" s="1680"/>
      <c r="BS19" s="1698">
        <v>731</v>
      </c>
      <c r="BT19" s="1698"/>
      <c r="BU19" s="1698"/>
      <c r="BV19" s="1698"/>
      <c r="BW19" s="1698"/>
      <c r="BX19" s="1698"/>
      <c r="BZ19" s="1686"/>
      <c r="CA19" s="1687"/>
      <c r="CB19" s="1701" t="s">
        <v>465</v>
      </c>
      <c r="CC19" s="1680"/>
      <c r="CD19" s="1698">
        <v>658</v>
      </c>
      <c r="CE19" s="1698"/>
      <c r="CF19" s="1698"/>
      <c r="CG19" s="1698"/>
      <c r="CH19" s="1698"/>
      <c r="CI19" s="1698"/>
      <c r="CK19" s="1686"/>
      <c r="CL19" s="1687"/>
      <c r="CM19" s="1701" t="s">
        <v>465</v>
      </c>
      <c r="CN19" s="1680"/>
      <c r="CO19" s="1698">
        <v>658</v>
      </c>
      <c r="CP19" s="1698"/>
      <c r="CQ19" s="1698"/>
      <c r="CR19" s="1698"/>
      <c r="CS19" s="1698"/>
      <c r="CT19" s="1698"/>
      <c r="CV19" s="1686"/>
      <c r="CW19" s="1687"/>
      <c r="CX19" s="1701" t="s">
        <v>465</v>
      </c>
      <c r="CY19" s="1680"/>
      <c r="CZ19" s="1698">
        <v>731</v>
      </c>
      <c r="DA19" s="1698"/>
      <c r="DB19" s="1698"/>
      <c r="DC19" s="1698"/>
      <c r="DD19" s="1698"/>
      <c r="DE19" s="1698"/>
      <c r="DG19" s="1686"/>
      <c r="DH19" s="1687"/>
      <c r="DI19" s="1701" t="s">
        <v>465</v>
      </c>
      <c r="DJ19" s="1680"/>
      <c r="DK19" s="1698">
        <v>658</v>
      </c>
      <c r="DL19" s="1698"/>
      <c r="DM19" s="1698"/>
      <c r="DN19" s="1698"/>
      <c r="DO19" s="1698"/>
      <c r="DP19" s="1698"/>
      <c r="DR19" s="1686"/>
      <c r="DS19" s="1687"/>
      <c r="DT19" s="1701" t="s">
        <v>465</v>
      </c>
      <c r="DU19" s="1680"/>
      <c r="DV19" s="1698">
        <v>731</v>
      </c>
      <c r="DW19" s="1698"/>
      <c r="DX19" s="1698"/>
      <c r="DY19" s="1698"/>
      <c r="DZ19" s="1698"/>
      <c r="EA19" s="1698"/>
      <c r="EC19" s="1686"/>
      <c r="ED19" s="1687"/>
      <c r="EE19" s="1701" t="s">
        <v>465</v>
      </c>
      <c r="EF19" s="1680"/>
      <c r="EG19" s="1698">
        <v>493</v>
      </c>
      <c r="EH19" s="1698"/>
      <c r="EI19" s="1698"/>
      <c r="EJ19" s="1698"/>
      <c r="EK19" s="1698"/>
      <c r="EL19" s="1698"/>
      <c r="EN19" s="1686"/>
      <c r="EO19" s="1687"/>
      <c r="EP19" s="1701" t="s">
        <v>465</v>
      </c>
      <c r="EQ19" s="1680"/>
      <c r="ER19" s="1698"/>
      <c r="ES19" s="1698"/>
      <c r="ET19" s="1698"/>
      <c r="EU19" s="1698"/>
      <c r="EV19" s="1698"/>
      <c r="EW19" s="1698"/>
      <c r="EY19" s="1686"/>
      <c r="EZ19" s="1687"/>
      <c r="FA19" s="1701" t="s">
        <v>465</v>
      </c>
      <c r="FB19" s="1680"/>
      <c r="FC19" s="1698"/>
      <c r="FD19" s="1698"/>
      <c r="FE19" s="1698"/>
      <c r="FF19" s="1698"/>
      <c r="FG19" s="1698"/>
      <c r="FH19" s="1698"/>
    </row>
    <row r="20" spans="1:164" ht="16.5" customHeight="1" x14ac:dyDescent="0.3">
      <c r="A20" s="1680"/>
      <c r="B20" s="1680"/>
      <c r="C20" s="1680"/>
      <c r="D20" s="1680"/>
      <c r="E20" s="1698"/>
      <c r="F20" s="1698"/>
      <c r="G20" s="1698"/>
      <c r="H20" s="1698"/>
      <c r="I20" s="1698"/>
      <c r="J20" s="1698"/>
      <c r="L20" s="1686"/>
      <c r="M20" s="1687"/>
      <c r="N20" s="1683"/>
      <c r="O20" s="1684"/>
      <c r="P20" s="1656"/>
      <c r="Q20" s="1657"/>
      <c r="R20" s="1657"/>
      <c r="S20" s="1658"/>
      <c r="T20" s="1656"/>
      <c r="U20" s="1658"/>
      <c r="W20" s="1686"/>
      <c r="X20" s="1687"/>
      <c r="Y20" s="1683"/>
      <c r="Z20" s="1684"/>
      <c r="AA20" s="1656"/>
      <c r="AB20" s="1657"/>
      <c r="AC20" s="1657"/>
      <c r="AD20" s="1658"/>
      <c r="AE20" s="1656"/>
      <c r="AF20" s="1658"/>
      <c r="AH20" s="1686"/>
      <c r="AI20" s="1687"/>
      <c r="AJ20" s="1680"/>
      <c r="AK20" s="1680"/>
      <c r="AL20" s="1698"/>
      <c r="AM20" s="1698"/>
      <c r="AN20" s="1698"/>
      <c r="AO20" s="1698"/>
      <c r="AP20" s="1698"/>
      <c r="AQ20" s="1698"/>
      <c r="AS20" s="1686"/>
      <c r="AT20" s="1687"/>
      <c r="AU20" s="1680"/>
      <c r="AV20" s="1680"/>
      <c r="AW20" s="1698"/>
      <c r="AX20" s="1698"/>
      <c r="AY20" s="1698"/>
      <c r="AZ20" s="1698"/>
      <c r="BA20" s="1698"/>
      <c r="BB20" s="1698"/>
      <c r="BD20" s="1686"/>
      <c r="BE20" s="1687"/>
      <c r="BF20" s="1680"/>
      <c r="BG20" s="1680"/>
      <c r="BH20" s="1698"/>
      <c r="BI20" s="1698"/>
      <c r="BJ20" s="1698"/>
      <c r="BK20" s="1698"/>
      <c r="BL20" s="1698"/>
      <c r="BM20" s="1698"/>
      <c r="BO20" s="1686"/>
      <c r="BP20" s="1687"/>
      <c r="BQ20" s="1680"/>
      <c r="BR20" s="1680"/>
      <c r="BS20" s="1698"/>
      <c r="BT20" s="1698"/>
      <c r="BU20" s="1698"/>
      <c r="BV20" s="1698"/>
      <c r="BW20" s="1698"/>
      <c r="BX20" s="1698"/>
      <c r="BZ20" s="1686"/>
      <c r="CA20" s="1687"/>
      <c r="CB20" s="1680"/>
      <c r="CC20" s="1680"/>
      <c r="CD20" s="1698"/>
      <c r="CE20" s="1698"/>
      <c r="CF20" s="1698"/>
      <c r="CG20" s="1698"/>
      <c r="CH20" s="1698"/>
      <c r="CI20" s="1698"/>
      <c r="CK20" s="1686"/>
      <c r="CL20" s="1687"/>
      <c r="CM20" s="1680"/>
      <c r="CN20" s="1680"/>
      <c r="CO20" s="1698"/>
      <c r="CP20" s="1698"/>
      <c r="CQ20" s="1698"/>
      <c r="CR20" s="1698"/>
      <c r="CS20" s="1698"/>
      <c r="CT20" s="1698"/>
      <c r="CV20" s="1686"/>
      <c r="CW20" s="1687"/>
      <c r="CX20" s="1680"/>
      <c r="CY20" s="1680"/>
      <c r="CZ20" s="1698"/>
      <c r="DA20" s="1698"/>
      <c r="DB20" s="1698"/>
      <c r="DC20" s="1698"/>
      <c r="DD20" s="1698"/>
      <c r="DE20" s="1698"/>
      <c r="DG20" s="1686"/>
      <c r="DH20" s="1687"/>
      <c r="DI20" s="1680"/>
      <c r="DJ20" s="1680"/>
      <c r="DK20" s="1698"/>
      <c r="DL20" s="1698"/>
      <c r="DM20" s="1698"/>
      <c r="DN20" s="1698"/>
      <c r="DO20" s="1698"/>
      <c r="DP20" s="1698"/>
      <c r="DR20" s="1686"/>
      <c r="DS20" s="1687"/>
      <c r="DT20" s="1680"/>
      <c r="DU20" s="1680"/>
      <c r="DV20" s="1698"/>
      <c r="DW20" s="1698"/>
      <c r="DX20" s="1698"/>
      <c r="DY20" s="1698"/>
      <c r="DZ20" s="1698"/>
      <c r="EA20" s="1698"/>
      <c r="EC20" s="1686"/>
      <c r="ED20" s="1687"/>
      <c r="EE20" s="1680"/>
      <c r="EF20" s="1680"/>
      <c r="EG20" s="1698"/>
      <c r="EH20" s="1698"/>
      <c r="EI20" s="1698"/>
      <c r="EJ20" s="1698"/>
      <c r="EK20" s="1698"/>
      <c r="EL20" s="1698"/>
      <c r="EN20" s="1686"/>
      <c r="EO20" s="1687"/>
      <c r="EP20" s="1680"/>
      <c r="EQ20" s="1680"/>
      <c r="ER20" s="1698"/>
      <c r="ES20" s="1698"/>
      <c r="ET20" s="1698"/>
      <c r="EU20" s="1698"/>
      <c r="EV20" s="1698"/>
      <c r="EW20" s="1698"/>
      <c r="EY20" s="1686"/>
      <c r="EZ20" s="1687"/>
      <c r="FA20" s="1680"/>
      <c r="FB20" s="1680"/>
      <c r="FC20" s="1698"/>
      <c r="FD20" s="1698"/>
      <c r="FE20" s="1698"/>
      <c r="FF20" s="1698"/>
      <c r="FG20" s="1698"/>
      <c r="FH20" s="1698"/>
    </row>
    <row r="21" spans="1:164" ht="22.5" customHeight="1" x14ac:dyDescent="0.3">
      <c r="A21" s="1680"/>
      <c r="B21" s="1680"/>
      <c r="C21" s="1702" t="s">
        <v>475</v>
      </c>
      <c r="D21" s="1703"/>
      <c r="E21" s="1698"/>
      <c r="F21" s="1698"/>
      <c r="G21" s="1698"/>
      <c r="H21" s="1698"/>
      <c r="I21" s="1698"/>
      <c r="J21" s="1698"/>
      <c r="L21" s="1686"/>
      <c r="M21" s="1687"/>
      <c r="N21" s="1702" t="s">
        <v>475</v>
      </c>
      <c r="O21" s="1703"/>
      <c r="P21" s="1668"/>
      <c r="Q21" s="1669"/>
      <c r="R21" s="1669"/>
      <c r="S21" s="1670"/>
      <c r="T21" s="1668"/>
      <c r="U21" s="1670"/>
      <c r="W21" s="1686"/>
      <c r="X21" s="1687"/>
      <c r="Y21" s="1702" t="s">
        <v>475</v>
      </c>
      <c r="Z21" s="1703"/>
      <c r="AA21" s="1668"/>
      <c r="AB21" s="1669"/>
      <c r="AC21" s="1669"/>
      <c r="AD21" s="1670"/>
      <c r="AE21" s="1668"/>
      <c r="AF21" s="1670"/>
      <c r="AH21" s="1686"/>
      <c r="AI21" s="1687"/>
      <c r="AJ21" s="1702" t="s">
        <v>475</v>
      </c>
      <c r="AK21" s="1703"/>
      <c r="AL21" s="1698"/>
      <c r="AM21" s="1698"/>
      <c r="AN21" s="1698"/>
      <c r="AO21" s="1698"/>
      <c r="AP21" s="1711"/>
      <c r="AQ21" s="1711"/>
      <c r="AS21" s="1686"/>
      <c r="AT21" s="1687"/>
      <c r="AU21" s="1702" t="s">
        <v>475</v>
      </c>
      <c r="AV21" s="1703"/>
      <c r="AW21" s="1698"/>
      <c r="AX21" s="1698"/>
      <c r="AY21" s="1698"/>
      <c r="AZ21" s="1698"/>
      <c r="BA21" s="1698"/>
      <c r="BB21" s="1698"/>
      <c r="BD21" s="1686"/>
      <c r="BE21" s="1687"/>
      <c r="BF21" s="1702" t="s">
        <v>475</v>
      </c>
      <c r="BG21" s="1703"/>
      <c r="BH21" s="1698"/>
      <c r="BI21" s="1698"/>
      <c r="BJ21" s="1698"/>
      <c r="BK21" s="1698"/>
      <c r="BL21" s="1698"/>
      <c r="BM21" s="1698"/>
      <c r="BO21" s="1686"/>
      <c r="BP21" s="1687"/>
      <c r="BQ21" s="1702" t="s">
        <v>475</v>
      </c>
      <c r="BR21" s="1703"/>
      <c r="BS21" s="1698"/>
      <c r="BT21" s="1698"/>
      <c r="BU21" s="1698"/>
      <c r="BV21" s="1698"/>
      <c r="BW21" s="1698"/>
      <c r="BX21" s="1698"/>
      <c r="BZ21" s="1686"/>
      <c r="CA21" s="1687"/>
      <c r="CB21" s="1702" t="s">
        <v>475</v>
      </c>
      <c r="CC21" s="1703"/>
      <c r="CD21" s="1698"/>
      <c r="CE21" s="1698"/>
      <c r="CF21" s="1698"/>
      <c r="CG21" s="1698"/>
      <c r="CH21" s="1698"/>
      <c r="CI21" s="1698"/>
      <c r="CK21" s="1686"/>
      <c r="CL21" s="1687"/>
      <c r="CM21" s="1702" t="s">
        <v>475</v>
      </c>
      <c r="CN21" s="1703"/>
      <c r="CO21" s="1698"/>
      <c r="CP21" s="1698"/>
      <c r="CQ21" s="1698"/>
      <c r="CR21" s="1698"/>
      <c r="CS21" s="1698"/>
      <c r="CT21" s="1698"/>
      <c r="CV21" s="1686"/>
      <c r="CW21" s="1687"/>
      <c r="CX21" s="1702" t="s">
        <v>475</v>
      </c>
      <c r="CY21" s="1703"/>
      <c r="CZ21" s="1698"/>
      <c r="DA21" s="1698"/>
      <c r="DB21" s="1698"/>
      <c r="DC21" s="1698"/>
      <c r="DD21" s="1698"/>
      <c r="DE21" s="1698"/>
      <c r="DG21" s="1686"/>
      <c r="DH21" s="1687"/>
      <c r="DI21" s="1702" t="s">
        <v>475</v>
      </c>
      <c r="DJ21" s="1703"/>
      <c r="DK21" s="1698"/>
      <c r="DL21" s="1698"/>
      <c r="DM21" s="1698"/>
      <c r="DN21" s="1698"/>
      <c r="DO21" s="1698"/>
      <c r="DP21" s="1698"/>
      <c r="DR21" s="1686"/>
      <c r="DS21" s="1687"/>
      <c r="DT21" s="1702" t="s">
        <v>475</v>
      </c>
      <c r="DU21" s="1703"/>
      <c r="DV21" s="1698"/>
      <c r="DW21" s="1698"/>
      <c r="DX21" s="1698"/>
      <c r="DY21" s="1698"/>
      <c r="DZ21" s="1698"/>
      <c r="EA21" s="1698"/>
      <c r="EC21" s="1686"/>
      <c r="ED21" s="1687"/>
      <c r="EE21" s="1702" t="s">
        <v>475</v>
      </c>
      <c r="EF21" s="1703"/>
      <c r="EG21" s="1698"/>
      <c r="EH21" s="1698"/>
      <c r="EI21" s="1698"/>
      <c r="EJ21" s="1698"/>
      <c r="EK21" s="1698"/>
      <c r="EL21" s="1698"/>
      <c r="EN21" s="1686"/>
      <c r="EO21" s="1687"/>
      <c r="EP21" s="1702" t="s">
        <v>475</v>
      </c>
      <c r="EQ21" s="1703"/>
      <c r="ER21" s="1698"/>
      <c r="ES21" s="1698"/>
      <c r="ET21" s="1698"/>
      <c r="EU21" s="1698"/>
      <c r="EV21" s="1698"/>
      <c r="EW21" s="1698"/>
      <c r="EY21" s="1686"/>
      <c r="EZ21" s="1687"/>
      <c r="FA21" s="1702" t="s">
        <v>475</v>
      </c>
      <c r="FB21" s="1703"/>
      <c r="FC21" s="1698"/>
      <c r="FD21" s="1698"/>
      <c r="FE21" s="1698"/>
      <c r="FF21" s="1698"/>
      <c r="FG21" s="1698"/>
      <c r="FH21" s="1698"/>
    </row>
    <row r="22" spans="1:164" ht="19.5" customHeight="1" x14ac:dyDescent="0.3">
      <c r="A22" s="1680"/>
      <c r="B22" s="1680"/>
      <c r="C22" s="1680" t="s">
        <v>466</v>
      </c>
      <c r="D22" s="1680"/>
      <c r="E22" s="1698"/>
      <c r="F22" s="1698"/>
      <c r="G22" s="1698"/>
      <c r="H22" s="1698"/>
      <c r="I22" s="1698"/>
      <c r="J22" s="1698"/>
      <c r="L22" s="1686"/>
      <c r="M22" s="1687"/>
      <c r="N22" s="1365" t="s">
        <v>466</v>
      </c>
      <c r="O22" s="1367"/>
      <c r="P22" s="1668"/>
      <c r="Q22" s="1669"/>
      <c r="R22" s="1669"/>
      <c r="S22" s="1670"/>
      <c r="T22" s="1668"/>
      <c r="U22" s="1670"/>
      <c r="W22" s="1686"/>
      <c r="X22" s="1687"/>
      <c r="Y22" s="1365" t="s">
        <v>466</v>
      </c>
      <c r="Z22" s="1367"/>
      <c r="AA22" s="1668"/>
      <c r="AB22" s="1669"/>
      <c r="AC22" s="1669"/>
      <c r="AD22" s="1670"/>
      <c r="AE22" s="1668"/>
      <c r="AF22" s="1670"/>
      <c r="AH22" s="1686"/>
      <c r="AI22" s="1687"/>
      <c r="AJ22" s="1680" t="s">
        <v>466</v>
      </c>
      <c r="AK22" s="1680"/>
      <c r="AL22" s="1698"/>
      <c r="AM22" s="1698"/>
      <c r="AN22" s="1698"/>
      <c r="AO22" s="1698"/>
      <c r="AP22" s="1711"/>
      <c r="AQ22" s="1711"/>
      <c r="AS22" s="1686"/>
      <c r="AT22" s="1687"/>
      <c r="AU22" s="1680" t="s">
        <v>466</v>
      </c>
      <c r="AV22" s="1680"/>
      <c r="AW22" s="1668">
        <v>2500</v>
      </c>
      <c r="AX22" s="1669"/>
      <c r="AY22" s="1669"/>
      <c r="AZ22" s="1670"/>
      <c r="BA22" s="1668"/>
      <c r="BB22" s="1670"/>
      <c r="BD22" s="1686"/>
      <c r="BE22" s="1687"/>
      <c r="BF22" s="1680" t="s">
        <v>466</v>
      </c>
      <c r="BG22" s="1680"/>
      <c r="BH22" s="1668">
        <v>2500</v>
      </c>
      <c r="BI22" s="1669"/>
      <c r="BJ22" s="1669"/>
      <c r="BK22" s="1670"/>
      <c r="BL22" s="1668"/>
      <c r="BM22" s="1670"/>
      <c r="BO22" s="1686"/>
      <c r="BP22" s="1687"/>
      <c r="BQ22" s="1680" t="s">
        <v>466</v>
      </c>
      <c r="BR22" s="1680"/>
      <c r="BS22" s="1668">
        <v>2500</v>
      </c>
      <c r="BT22" s="1669"/>
      <c r="BU22" s="1669"/>
      <c r="BV22" s="1670"/>
      <c r="BW22" s="1668"/>
      <c r="BX22" s="1670"/>
      <c r="BZ22" s="1686"/>
      <c r="CA22" s="1687"/>
      <c r="CB22" s="1680" t="s">
        <v>466</v>
      </c>
      <c r="CC22" s="1680"/>
      <c r="CD22" s="1668">
        <v>2500</v>
      </c>
      <c r="CE22" s="1669"/>
      <c r="CF22" s="1669"/>
      <c r="CG22" s="1670"/>
      <c r="CH22" s="1668"/>
      <c r="CI22" s="1670"/>
      <c r="CK22" s="1686"/>
      <c r="CL22" s="1687"/>
      <c r="CM22" s="1680" t="s">
        <v>466</v>
      </c>
      <c r="CN22" s="1680"/>
      <c r="CO22" s="1668">
        <v>2500</v>
      </c>
      <c r="CP22" s="1669"/>
      <c r="CQ22" s="1669"/>
      <c r="CR22" s="1670"/>
      <c r="CS22" s="1668"/>
      <c r="CT22" s="1670"/>
      <c r="CV22" s="1686"/>
      <c r="CW22" s="1687"/>
      <c r="CX22" s="1680" t="s">
        <v>466</v>
      </c>
      <c r="CY22" s="1680"/>
      <c r="CZ22" s="1668">
        <v>2500</v>
      </c>
      <c r="DA22" s="1669"/>
      <c r="DB22" s="1669"/>
      <c r="DC22" s="1670"/>
      <c r="DD22" s="1668"/>
      <c r="DE22" s="1670"/>
      <c r="DG22" s="1686"/>
      <c r="DH22" s="1687"/>
      <c r="DI22" s="1680" t="s">
        <v>466</v>
      </c>
      <c r="DJ22" s="1680"/>
      <c r="DK22" s="1668">
        <v>2500</v>
      </c>
      <c r="DL22" s="1669"/>
      <c r="DM22" s="1669"/>
      <c r="DN22" s="1670"/>
      <c r="DO22" s="1668"/>
      <c r="DP22" s="1670"/>
      <c r="DR22" s="1686"/>
      <c r="DS22" s="1687"/>
      <c r="DT22" s="1680" t="s">
        <v>466</v>
      </c>
      <c r="DU22" s="1680"/>
      <c r="DV22" s="1668">
        <v>2500</v>
      </c>
      <c r="DW22" s="1669"/>
      <c r="DX22" s="1669"/>
      <c r="DY22" s="1670"/>
      <c r="DZ22" s="1668"/>
      <c r="EA22" s="1670"/>
      <c r="EC22" s="1686"/>
      <c r="ED22" s="1687"/>
      <c r="EE22" s="1680" t="s">
        <v>466</v>
      </c>
      <c r="EF22" s="1680"/>
      <c r="EG22" s="1668">
        <v>2500</v>
      </c>
      <c r="EH22" s="1669"/>
      <c r="EI22" s="1669"/>
      <c r="EJ22" s="1670"/>
      <c r="EK22" s="1668"/>
      <c r="EL22" s="1670"/>
      <c r="EN22" s="1686"/>
      <c r="EO22" s="1687"/>
      <c r="EP22" s="1680" t="s">
        <v>466</v>
      </c>
      <c r="EQ22" s="1680"/>
      <c r="ER22" s="1668"/>
      <c r="ES22" s="1669"/>
      <c r="ET22" s="1669"/>
      <c r="EU22" s="1670"/>
      <c r="EV22" s="1668"/>
      <c r="EW22" s="1670"/>
      <c r="EY22" s="1686"/>
      <c r="EZ22" s="1687"/>
      <c r="FA22" s="1680" t="s">
        <v>466</v>
      </c>
      <c r="FB22" s="1680"/>
      <c r="FC22" s="1668"/>
      <c r="FD22" s="1669"/>
      <c r="FE22" s="1669"/>
      <c r="FF22" s="1670"/>
      <c r="FG22" s="1668"/>
      <c r="FH22" s="1670"/>
    </row>
    <row r="23" spans="1:164" ht="16.5" customHeight="1" x14ac:dyDescent="0.3">
      <c r="A23" s="1680"/>
      <c r="B23" s="1680"/>
      <c r="C23" s="1365" t="s">
        <v>467</v>
      </c>
      <c r="D23" s="1367"/>
      <c r="E23" s="1668"/>
      <c r="F23" s="1669"/>
      <c r="G23" s="1669"/>
      <c r="H23" s="1670"/>
      <c r="I23" s="1668"/>
      <c r="J23" s="1670"/>
      <c r="L23" s="1686"/>
      <c r="M23" s="1687"/>
      <c r="N23" s="1365" t="s">
        <v>480</v>
      </c>
      <c r="O23" s="1367"/>
      <c r="P23" s="1668"/>
      <c r="Q23" s="1669"/>
      <c r="R23" s="1669"/>
      <c r="S23" s="1670"/>
      <c r="T23" s="1668"/>
      <c r="U23" s="1670"/>
      <c r="W23" s="1686"/>
      <c r="X23" s="1687"/>
      <c r="Y23" s="1365" t="s">
        <v>480</v>
      </c>
      <c r="Z23" s="1367"/>
      <c r="AA23" s="1668"/>
      <c r="AB23" s="1669"/>
      <c r="AC23" s="1669"/>
      <c r="AD23" s="1670"/>
      <c r="AE23" s="1668"/>
      <c r="AF23" s="1670"/>
      <c r="AH23" s="1686"/>
      <c r="AI23" s="1687"/>
      <c r="AJ23" s="1365" t="s">
        <v>480</v>
      </c>
      <c r="AK23" s="1367"/>
      <c r="AL23" s="1698"/>
      <c r="AM23" s="1698"/>
      <c r="AN23" s="1698"/>
      <c r="AO23" s="1698"/>
      <c r="AP23" s="1711"/>
      <c r="AQ23" s="1711"/>
      <c r="AS23" s="1686"/>
      <c r="AT23" s="1687"/>
      <c r="AU23" s="1365" t="s">
        <v>480</v>
      </c>
      <c r="AV23" s="1367"/>
      <c r="AW23" s="1698"/>
      <c r="AX23" s="1698"/>
      <c r="AY23" s="1698"/>
      <c r="AZ23" s="1698"/>
      <c r="BA23" s="1698"/>
      <c r="BB23" s="1698"/>
      <c r="BD23" s="1686"/>
      <c r="BE23" s="1687"/>
      <c r="BF23" s="1365" t="s">
        <v>480</v>
      </c>
      <c r="BG23" s="1367"/>
      <c r="BH23" s="1698"/>
      <c r="BI23" s="1698"/>
      <c r="BJ23" s="1698"/>
      <c r="BK23" s="1698"/>
      <c r="BL23" s="1698"/>
      <c r="BM23" s="1698"/>
      <c r="BO23" s="1686"/>
      <c r="BP23" s="1687"/>
      <c r="BQ23" s="1365" t="s">
        <v>480</v>
      </c>
      <c r="BR23" s="1367"/>
      <c r="BS23" s="1698"/>
      <c r="BT23" s="1698"/>
      <c r="BU23" s="1698"/>
      <c r="BV23" s="1698"/>
      <c r="BW23" s="1698"/>
      <c r="BX23" s="1698"/>
      <c r="BZ23" s="1686"/>
      <c r="CA23" s="1687"/>
      <c r="CB23" s="1365" t="s">
        <v>480</v>
      </c>
      <c r="CC23" s="1367"/>
      <c r="CD23" s="1698"/>
      <c r="CE23" s="1698"/>
      <c r="CF23" s="1698"/>
      <c r="CG23" s="1698"/>
      <c r="CH23" s="1698"/>
      <c r="CI23" s="1698"/>
      <c r="CK23" s="1686"/>
      <c r="CL23" s="1687"/>
      <c r="CM23" s="1365" t="s">
        <v>480</v>
      </c>
      <c r="CN23" s="1367"/>
      <c r="CO23" s="1698"/>
      <c r="CP23" s="1698"/>
      <c r="CQ23" s="1698"/>
      <c r="CR23" s="1698"/>
      <c r="CS23" s="1698"/>
      <c r="CT23" s="1698"/>
      <c r="CV23" s="1686"/>
      <c r="CW23" s="1687"/>
      <c r="CX23" s="1365" t="s">
        <v>480</v>
      </c>
      <c r="CY23" s="1367"/>
      <c r="CZ23" s="1698"/>
      <c r="DA23" s="1698"/>
      <c r="DB23" s="1698"/>
      <c r="DC23" s="1698"/>
      <c r="DD23" s="1698"/>
      <c r="DE23" s="1698"/>
      <c r="DG23" s="1686"/>
      <c r="DH23" s="1687"/>
      <c r="DI23" s="1365" t="s">
        <v>480</v>
      </c>
      <c r="DJ23" s="1367"/>
      <c r="DK23" s="1698"/>
      <c r="DL23" s="1698"/>
      <c r="DM23" s="1698"/>
      <c r="DN23" s="1698"/>
      <c r="DO23" s="1698"/>
      <c r="DP23" s="1698"/>
      <c r="DR23" s="1686"/>
      <c r="DS23" s="1687"/>
      <c r="DT23" s="1365" t="s">
        <v>480</v>
      </c>
      <c r="DU23" s="1367"/>
      <c r="DV23" s="1698"/>
      <c r="DW23" s="1698"/>
      <c r="DX23" s="1698"/>
      <c r="DY23" s="1698"/>
      <c r="DZ23" s="1698"/>
      <c r="EA23" s="1698"/>
      <c r="EC23" s="1686"/>
      <c r="ED23" s="1687"/>
      <c r="EE23" s="1365" t="s">
        <v>480</v>
      </c>
      <c r="EF23" s="1367"/>
      <c r="EG23" s="1698"/>
      <c r="EH23" s="1698"/>
      <c r="EI23" s="1698"/>
      <c r="EJ23" s="1698"/>
      <c r="EK23" s="1698"/>
      <c r="EL23" s="1698"/>
      <c r="EN23" s="1686"/>
      <c r="EO23" s="1687"/>
      <c r="EP23" s="1365" t="s">
        <v>480</v>
      </c>
      <c r="EQ23" s="1367"/>
      <c r="ER23" s="1698"/>
      <c r="ES23" s="1698"/>
      <c r="ET23" s="1698"/>
      <c r="EU23" s="1698"/>
      <c r="EV23" s="1698"/>
      <c r="EW23" s="1698"/>
      <c r="EY23" s="1686"/>
      <c r="EZ23" s="1687"/>
      <c r="FA23" s="1365" t="s">
        <v>480</v>
      </c>
      <c r="FB23" s="1367"/>
      <c r="FC23" s="1698"/>
      <c r="FD23" s="1698"/>
      <c r="FE23" s="1698"/>
      <c r="FF23" s="1698"/>
      <c r="FG23" s="1698"/>
      <c r="FH23" s="1698"/>
    </row>
    <row r="24" spans="1:164" ht="16.5" customHeight="1" x14ac:dyDescent="0.3">
      <c r="A24" s="1680"/>
      <c r="B24" s="1680"/>
      <c r="C24" s="1701" t="s">
        <v>476</v>
      </c>
      <c r="D24" s="1680"/>
      <c r="E24" s="1698">
        <v>160</v>
      </c>
      <c r="F24" s="1698"/>
      <c r="G24" s="1698"/>
      <c r="H24" s="1698"/>
      <c r="I24" s="1698"/>
      <c r="J24" s="1698"/>
      <c r="L24" s="1686"/>
      <c r="M24" s="1687"/>
      <c r="N24" s="1681" t="s">
        <v>476</v>
      </c>
      <c r="O24" s="1682"/>
      <c r="P24" s="1653"/>
      <c r="Q24" s="1654"/>
      <c r="R24" s="1654"/>
      <c r="S24" s="1655"/>
      <c r="T24" s="1653"/>
      <c r="U24" s="1655"/>
      <c r="W24" s="1686"/>
      <c r="X24" s="1687"/>
      <c r="Y24" s="1681" t="s">
        <v>476</v>
      </c>
      <c r="Z24" s="1682"/>
      <c r="AA24" s="1653"/>
      <c r="AB24" s="1654"/>
      <c r="AC24" s="1654"/>
      <c r="AD24" s="1655"/>
      <c r="AE24" s="1653"/>
      <c r="AF24" s="1655"/>
      <c r="AH24" s="1686"/>
      <c r="AI24" s="1687"/>
      <c r="AJ24" s="1681" t="s">
        <v>476</v>
      </c>
      <c r="AK24" s="1682"/>
      <c r="AL24" s="1698">
        <v>160</v>
      </c>
      <c r="AM24" s="1698"/>
      <c r="AN24" s="1698"/>
      <c r="AO24" s="1698"/>
      <c r="AP24" s="1698"/>
      <c r="AQ24" s="1698"/>
      <c r="AS24" s="1686"/>
      <c r="AT24" s="1687"/>
      <c r="AU24" s="1681" t="s">
        <v>476</v>
      </c>
      <c r="AV24" s="1682"/>
      <c r="AW24" s="1698">
        <v>160</v>
      </c>
      <c r="AX24" s="1698"/>
      <c r="AY24" s="1698"/>
      <c r="AZ24" s="1698"/>
      <c r="BA24" s="1698"/>
      <c r="BB24" s="1698"/>
      <c r="BD24" s="1686"/>
      <c r="BE24" s="1687"/>
      <c r="BF24" s="1681" t="s">
        <v>476</v>
      </c>
      <c r="BG24" s="1682"/>
      <c r="BH24" s="1698">
        <v>160</v>
      </c>
      <c r="BI24" s="1698"/>
      <c r="BJ24" s="1698"/>
      <c r="BK24" s="1698"/>
      <c r="BL24" s="1698"/>
      <c r="BM24" s="1698"/>
      <c r="BO24" s="1686"/>
      <c r="BP24" s="1687"/>
      <c r="BQ24" s="1681" t="s">
        <v>476</v>
      </c>
      <c r="BR24" s="1682"/>
      <c r="BS24" s="1698">
        <v>160</v>
      </c>
      <c r="BT24" s="1698"/>
      <c r="BU24" s="1698"/>
      <c r="BV24" s="1698"/>
      <c r="BW24" s="1698"/>
      <c r="BX24" s="1698"/>
      <c r="BZ24" s="1686"/>
      <c r="CA24" s="1687"/>
      <c r="CB24" s="1681" t="s">
        <v>476</v>
      </c>
      <c r="CC24" s="1682"/>
      <c r="CD24" s="1698">
        <v>160</v>
      </c>
      <c r="CE24" s="1698"/>
      <c r="CF24" s="1698"/>
      <c r="CG24" s="1698"/>
      <c r="CH24" s="1698"/>
      <c r="CI24" s="1698"/>
      <c r="CK24" s="1686"/>
      <c r="CL24" s="1687"/>
      <c r="CM24" s="1681" t="s">
        <v>476</v>
      </c>
      <c r="CN24" s="1682"/>
      <c r="CO24" s="1698">
        <v>160</v>
      </c>
      <c r="CP24" s="1698"/>
      <c r="CQ24" s="1698"/>
      <c r="CR24" s="1698"/>
      <c r="CS24" s="1698"/>
      <c r="CT24" s="1698"/>
      <c r="CV24" s="1686"/>
      <c r="CW24" s="1687"/>
      <c r="CX24" s="1681" t="s">
        <v>476</v>
      </c>
      <c r="CY24" s="1682"/>
      <c r="CZ24" s="1698">
        <v>160</v>
      </c>
      <c r="DA24" s="1698"/>
      <c r="DB24" s="1698"/>
      <c r="DC24" s="1698"/>
      <c r="DD24" s="1698"/>
      <c r="DE24" s="1698"/>
      <c r="DG24" s="1686"/>
      <c r="DH24" s="1687"/>
      <c r="DI24" s="1681" t="s">
        <v>476</v>
      </c>
      <c r="DJ24" s="1682"/>
      <c r="DK24" s="1698">
        <v>160</v>
      </c>
      <c r="DL24" s="1698"/>
      <c r="DM24" s="1698"/>
      <c r="DN24" s="1698"/>
      <c r="DO24" s="1698"/>
      <c r="DP24" s="1698"/>
      <c r="DR24" s="1686"/>
      <c r="DS24" s="1687"/>
      <c r="DT24" s="1681" t="s">
        <v>476</v>
      </c>
      <c r="DU24" s="1682"/>
      <c r="DV24" s="1698">
        <v>160</v>
      </c>
      <c r="DW24" s="1698"/>
      <c r="DX24" s="1698"/>
      <c r="DY24" s="1698"/>
      <c r="DZ24" s="1698"/>
      <c r="EA24" s="1698"/>
      <c r="EC24" s="1686"/>
      <c r="ED24" s="1687"/>
      <c r="EE24" s="1681" t="s">
        <v>476</v>
      </c>
      <c r="EF24" s="1682"/>
      <c r="EG24" s="1698">
        <v>160</v>
      </c>
      <c r="EH24" s="1698"/>
      <c r="EI24" s="1698"/>
      <c r="EJ24" s="1698"/>
      <c r="EK24" s="1698"/>
      <c r="EL24" s="1698"/>
      <c r="EN24" s="1686"/>
      <c r="EO24" s="1687"/>
      <c r="EP24" s="1681" t="s">
        <v>476</v>
      </c>
      <c r="EQ24" s="1682"/>
      <c r="ER24" s="1698"/>
      <c r="ES24" s="1698"/>
      <c r="ET24" s="1698"/>
      <c r="EU24" s="1698"/>
      <c r="EV24" s="1698"/>
      <c r="EW24" s="1698"/>
      <c r="EY24" s="1686"/>
      <c r="EZ24" s="1687"/>
      <c r="FA24" s="1681" t="s">
        <v>476</v>
      </c>
      <c r="FB24" s="1682"/>
      <c r="FC24" s="1698"/>
      <c r="FD24" s="1698"/>
      <c r="FE24" s="1698"/>
      <c r="FF24" s="1698"/>
      <c r="FG24" s="1698"/>
      <c r="FH24" s="1698"/>
    </row>
    <row r="25" spans="1:164" ht="16.5" customHeight="1" x14ac:dyDescent="0.3">
      <c r="A25" s="1680"/>
      <c r="B25" s="1680"/>
      <c r="C25" s="1680"/>
      <c r="D25" s="1680"/>
      <c r="E25" s="1698"/>
      <c r="F25" s="1698"/>
      <c r="G25" s="1698"/>
      <c r="H25" s="1698"/>
      <c r="I25" s="1698"/>
      <c r="J25" s="1698"/>
      <c r="L25" s="1686"/>
      <c r="M25" s="1687"/>
      <c r="N25" s="1683"/>
      <c r="O25" s="1684"/>
      <c r="P25" s="1656"/>
      <c r="Q25" s="1657"/>
      <c r="R25" s="1657"/>
      <c r="S25" s="1658"/>
      <c r="T25" s="1656"/>
      <c r="U25" s="1658"/>
      <c r="W25" s="1686"/>
      <c r="X25" s="1687"/>
      <c r="Y25" s="1683"/>
      <c r="Z25" s="1684"/>
      <c r="AA25" s="1656"/>
      <c r="AB25" s="1657"/>
      <c r="AC25" s="1657"/>
      <c r="AD25" s="1658"/>
      <c r="AE25" s="1656"/>
      <c r="AF25" s="1658"/>
      <c r="AH25" s="1686"/>
      <c r="AI25" s="1687"/>
      <c r="AJ25" s="1683"/>
      <c r="AK25" s="1684"/>
      <c r="AL25" s="1698"/>
      <c r="AM25" s="1698"/>
      <c r="AN25" s="1698"/>
      <c r="AO25" s="1698"/>
      <c r="AP25" s="1698"/>
      <c r="AQ25" s="1698"/>
      <c r="AS25" s="1686"/>
      <c r="AT25" s="1687"/>
      <c r="AU25" s="1683"/>
      <c r="AV25" s="1684"/>
      <c r="AW25" s="1698"/>
      <c r="AX25" s="1698"/>
      <c r="AY25" s="1698"/>
      <c r="AZ25" s="1698"/>
      <c r="BA25" s="1698"/>
      <c r="BB25" s="1698"/>
      <c r="BD25" s="1686"/>
      <c r="BE25" s="1687"/>
      <c r="BF25" s="1683"/>
      <c r="BG25" s="1684"/>
      <c r="BH25" s="1698"/>
      <c r="BI25" s="1698"/>
      <c r="BJ25" s="1698"/>
      <c r="BK25" s="1698"/>
      <c r="BL25" s="1698"/>
      <c r="BM25" s="1698"/>
      <c r="BO25" s="1686"/>
      <c r="BP25" s="1687"/>
      <c r="BQ25" s="1683"/>
      <c r="BR25" s="1684"/>
      <c r="BS25" s="1698"/>
      <c r="BT25" s="1698"/>
      <c r="BU25" s="1698"/>
      <c r="BV25" s="1698"/>
      <c r="BW25" s="1698"/>
      <c r="BX25" s="1698"/>
      <c r="BZ25" s="1686"/>
      <c r="CA25" s="1687"/>
      <c r="CB25" s="1683"/>
      <c r="CC25" s="1684"/>
      <c r="CD25" s="1698"/>
      <c r="CE25" s="1698"/>
      <c r="CF25" s="1698"/>
      <c r="CG25" s="1698"/>
      <c r="CH25" s="1698"/>
      <c r="CI25" s="1698"/>
      <c r="CK25" s="1686"/>
      <c r="CL25" s="1687"/>
      <c r="CM25" s="1683"/>
      <c r="CN25" s="1684"/>
      <c r="CO25" s="1698"/>
      <c r="CP25" s="1698"/>
      <c r="CQ25" s="1698"/>
      <c r="CR25" s="1698"/>
      <c r="CS25" s="1698"/>
      <c r="CT25" s="1698"/>
      <c r="CV25" s="1686"/>
      <c r="CW25" s="1687"/>
      <c r="CX25" s="1683"/>
      <c r="CY25" s="1684"/>
      <c r="CZ25" s="1698"/>
      <c r="DA25" s="1698"/>
      <c r="DB25" s="1698"/>
      <c r="DC25" s="1698"/>
      <c r="DD25" s="1698"/>
      <c r="DE25" s="1698"/>
      <c r="DG25" s="1686"/>
      <c r="DH25" s="1687"/>
      <c r="DI25" s="1683"/>
      <c r="DJ25" s="1684"/>
      <c r="DK25" s="1698"/>
      <c r="DL25" s="1698"/>
      <c r="DM25" s="1698"/>
      <c r="DN25" s="1698"/>
      <c r="DO25" s="1698"/>
      <c r="DP25" s="1698"/>
      <c r="DR25" s="1686"/>
      <c r="DS25" s="1687"/>
      <c r="DT25" s="1683"/>
      <c r="DU25" s="1684"/>
      <c r="DV25" s="1698"/>
      <c r="DW25" s="1698"/>
      <c r="DX25" s="1698"/>
      <c r="DY25" s="1698"/>
      <c r="DZ25" s="1698"/>
      <c r="EA25" s="1698"/>
      <c r="EC25" s="1686"/>
      <c r="ED25" s="1687"/>
      <c r="EE25" s="1683"/>
      <c r="EF25" s="1684"/>
      <c r="EG25" s="1698"/>
      <c r="EH25" s="1698"/>
      <c r="EI25" s="1698"/>
      <c r="EJ25" s="1698"/>
      <c r="EK25" s="1698"/>
      <c r="EL25" s="1698"/>
      <c r="EN25" s="1686"/>
      <c r="EO25" s="1687"/>
      <c r="EP25" s="1683"/>
      <c r="EQ25" s="1684"/>
      <c r="ER25" s="1698"/>
      <c r="ES25" s="1698"/>
      <c r="ET25" s="1698"/>
      <c r="EU25" s="1698"/>
      <c r="EV25" s="1698"/>
      <c r="EW25" s="1698"/>
      <c r="EY25" s="1686"/>
      <c r="EZ25" s="1687"/>
      <c r="FA25" s="1683"/>
      <c r="FB25" s="1684"/>
      <c r="FC25" s="1698"/>
      <c r="FD25" s="1698"/>
      <c r="FE25" s="1698"/>
      <c r="FF25" s="1698"/>
      <c r="FG25" s="1698"/>
      <c r="FH25" s="1698"/>
    </row>
    <row r="26" spans="1:164" ht="16.5" customHeight="1" x14ac:dyDescent="0.3">
      <c r="A26" s="1680"/>
      <c r="B26" s="1680"/>
      <c r="C26" s="1699" t="s">
        <v>468</v>
      </c>
      <c r="D26" s="1699"/>
      <c r="E26" s="1698"/>
      <c r="F26" s="1698"/>
      <c r="G26" s="1698"/>
      <c r="H26" s="1698"/>
      <c r="I26" s="1698"/>
      <c r="J26" s="1698"/>
      <c r="L26" s="1686"/>
      <c r="M26" s="1687"/>
      <c r="N26" s="1659" t="s">
        <v>468</v>
      </c>
      <c r="O26" s="1660"/>
      <c r="P26" s="1653"/>
      <c r="Q26" s="1654"/>
      <c r="R26" s="1654"/>
      <c r="S26" s="1655"/>
      <c r="T26" s="1653"/>
      <c r="U26" s="1655"/>
      <c r="W26" s="1686"/>
      <c r="X26" s="1687"/>
      <c r="Y26" s="1659" t="s">
        <v>468</v>
      </c>
      <c r="Z26" s="1660"/>
      <c r="AA26" s="1653"/>
      <c r="AB26" s="1654"/>
      <c r="AC26" s="1654"/>
      <c r="AD26" s="1655"/>
      <c r="AE26" s="1653"/>
      <c r="AF26" s="1655"/>
      <c r="AH26" s="1686"/>
      <c r="AI26" s="1687"/>
      <c r="AJ26" s="1699" t="s">
        <v>468</v>
      </c>
      <c r="AK26" s="1699"/>
      <c r="AL26" s="1698"/>
      <c r="AM26" s="1698"/>
      <c r="AN26" s="1698"/>
      <c r="AO26" s="1698"/>
      <c r="AP26" s="1698"/>
      <c r="AQ26" s="1698"/>
      <c r="AS26" s="1686"/>
      <c r="AT26" s="1687"/>
      <c r="AU26" s="1699" t="s">
        <v>468</v>
      </c>
      <c r="AV26" s="1699"/>
      <c r="AW26" s="1698"/>
      <c r="AX26" s="1698"/>
      <c r="AY26" s="1698"/>
      <c r="AZ26" s="1698"/>
      <c r="BA26" s="1698"/>
      <c r="BB26" s="1698"/>
      <c r="BD26" s="1686"/>
      <c r="BE26" s="1687"/>
      <c r="BF26" s="1699" t="s">
        <v>468</v>
      </c>
      <c r="BG26" s="1699"/>
      <c r="BH26" s="1698"/>
      <c r="BI26" s="1698"/>
      <c r="BJ26" s="1698"/>
      <c r="BK26" s="1698"/>
      <c r="BL26" s="1698"/>
      <c r="BM26" s="1698"/>
      <c r="BO26" s="1686"/>
      <c r="BP26" s="1687"/>
      <c r="BQ26" s="1699" t="s">
        <v>468</v>
      </c>
      <c r="BR26" s="1699"/>
      <c r="BS26" s="1698"/>
      <c r="BT26" s="1698"/>
      <c r="BU26" s="1698"/>
      <c r="BV26" s="1698"/>
      <c r="BW26" s="1698"/>
      <c r="BX26" s="1698"/>
      <c r="BZ26" s="1686"/>
      <c r="CA26" s="1687"/>
      <c r="CB26" s="1699" t="s">
        <v>468</v>
      </c>
      <c r="CC26" s="1699"/>
      <c r="CD26" s="1698"/>
      <c r="CE26" s="1698"/>
      <c r="CF26" s="1698"/>
      <c r="CG26" s="1698"/>
      <c r="CH26" s="1698"/>
      <c r="CI26" s="1698"/>
      <c r="CK26" s="1686"/>
      <c r="CL26" s="1687"/>
      <c r="CM26" s="1699" t="s">
        <v>468</v>
      </c>
      <c r="CN26" s="1699"/>
      <c r="CO26" s="1710"/>
      <c r="CP26" s="1710"/>
      <c r="CQ26" s="1710"/>
      <c r="CR26" s="1710"/>
      <c r="CS26" s="1698"/>
      <c r="CT26" s="1698"/>
      <c r="CV26" s="1686"/>
      <c r="CW26" s="1687"/>
      <c r="CX26" s="1699" t="s">
        <v>468</v>
      </c>
      <c r="CY26" s="1699"/>
      <c r="CZ26" s="1698"/>
      <c r="DA26" s="1698"/>
      <c r="DB26" s="1698"/>
      <c r="DC26" s="1698"/>
      <c r="DD26" s="1698"/>
      <c r="DE26" s="1698"/>
      <c r="DG26" s="1686"/>
      <c r="DH26" s="1687"/>
      <c r="DI26" s="1699" t="s">
        <v>468</v>
      </c>
      <c r="DJ26" s="1699"/>
      <c r="DK26" s="1698"/>
      <c r="DL26" s="1698"/>
      <c r="DM26" s="1698"/>
      <c r="DN26" s="1698"/>
      <c r="DO26" s="1698"/>
      <c r="DP26" s="1698"/>
      <c r="DR26" s="1686"/>
      <c r="DS26" s="1687"/>
      <c r="DT26" s="1699" t="s">
        <v>468</v>
      </c>
      <c r="DU26" s="1699"/>
      <c r="DV26" s="1698"/>
      <c r="DW26" s="1698"/>
      <c r="DX26" s="1698"/>
      <c r="DY26" s="1698"/>
      <c r="DZ26" s="1698"/>
      <c r="EA26" s="1698"/>
      <c r="EC26" s="1686"/>
      <c r="ED26" s="1687"/>
      <c r="EE26" s="1699" t="s">
        <v>468</v>
      </c>
      <c r="EF26" s="1699"/>
      <c r="EG26" s="1698"/>
      <c r="EH26" s="1698"/>
      <c r="EI26" s="1698"/>
      <c r="EJ26" s="1698"/>
      <c r="EK26" s="1698"/>
      <c r="EL26" s="1698"/>
      <c r="EN26" s="1686"/>
      <c r="EO26" s="1687"/>
      <c r="EP26" s="1699" t="s">
        <v>468</v>
      </c>
      <c r="EQ26" s="1699"/>
      <c r="ER26" s="1698"/>
      <c r="ES26" s="1698"/>
      <c r="ET26" s="1698"/>
      <c r="EU26" s="1698"/>
      <c r="EV26" s="1698"/>
      <c r="EW26" s="1698"/>
      <c r="EY26" s="1686"/>
      <c r="EZ26" s="1687"/>
      <c r="FA26" s="1699" t="s">
        <v>468</v>
      </c>
      <c r="FB26" s="1699"/>
      <c r="FC26" s="1698"/>
      <c r="FD26" s="1698"/>
      <c r="FE26" s="1698"/>
      <c r="FF26" s="1698"/>
      <c r="FG26" s="1698"/>
      <c r="FH26" s="1698"/>
    </row>
    <row r="27" spans="1:164" x14ac:dyDescent="0.3">
      <c r="A27" s="1680"/>
      <c r="B27" s="1680"/>
      <c r="C27" s="1699"/>
      <c r="D27" s="1699"/>
      <c r="E27" s="1698"/>
      <c r="F27" s="1698"/>
      <c r="G27" s="1698"/>
      <c r="H27" s="1698"/>
      <c r="I27" s="1698"/>
      <c r="J27" s="1698"/>
      <c r="L27" s="1686"/>
      <c r="M27" s="1687"/>
      <c r="N27" s="1661"/>
      <c r="O27" s="1662"/>
      <c r="P27" s="1665"/>
      <c r="Q27" s="1666"/>
      <c r="R27" s="1666"/>
      <c r="S27" s="1667"/>
      <c r="T27" s="1665"/>
      <c r="U27" s="1667"/>
      <c r="W27" s="1686"/>
      <c r="X27" s="1687"/>
      <c r="Y27" s="1661"/>
      <c r="Z27" s="1662"/>
      <c r="AA27" s="1665"/>
      <c r="AB27" s="1666"/>
      <c r="AC27" s="1666"/>
      <c r="AD27" s="1667"/>
      <c r="AE27" s="1665"/>
      <c r="AF27" s="1667"/>
      <c r="AH27" s="1686"/>
      <c r="AI27" s="1687"/>
      <c r="AJ27" s="1699"/>
      <c r="AK27" s="1699"/>
      <c r="AL27" s="1698"/>
      <c r="AM27" s="1698"/>
      <c r="AN27" s="1698"/>
      <c r="AO27" s="1698"/>
      <c r="AP27" s="1698"/>
      <c r="AQ27" s="1698"/>
      <c r="AS27" s="1686"/>
      <c r="AT27" s="1687"/>
      <c r="AU27" s="1699"/>
      <c r="AV27" s="1699"/>
      <c r="AW27" s="1698"/>
      <c r="AX27" s="1698"/>
      <c r="AY27" s="1698"/>
      <c r="AZ27" s="1698"/>
      <c r="BA27" s="1698"/>
      <c r="BB27" s="1698"/>
      <c r="BD27" s="1686"/>
      <c r="BE27" s="1687"/>
      <c r="BF27" s="1699"/>
      <c r="BG27" s="1699"/>
      <c r="BH27" s="1698"/>
      <c r="BI27" s="1698"/>
      <c r="BJ27" s="1698"/>
      <c r="BK27" s="1698"/>
      <c r="BL27" s="1698"/>
      <c r="BM27" s="1698"/>
      <c r="BO27" s="1686"/>
      <c r="BP27" s="1687"/>
      <c r="BQ27" s="1699"/>
      <c r="BR27" s="1699"/>
      <c r="BS27" s="1698"/>
      <c r="BT27" s="1698"/>
      <c r="BU27" s="1698"/>
      <c r="BV27" s="1698"/>
      <c r="BW27" s="1698"/>
      <c r="BX27" s="1698"/>
      <c r="BZ27" s="1686"/>
      <c r="CA27" s="1687"/>
      <c r="CB27" s="1699"/>
      <c r="CC27" s="1699"/>
      <c r="CD27" s="1698"/>
      <c r="CE27" s="1698"/>
      <c r="CF27" s="1698"/>
      <c r="CG27" s="1698"/>
      <c r="CH27" s="1698"/>
      <c r="CI27" s="1698"/>
      <c r="CK27" s="1686"/>
      <c r="CL27" s="1687"/>
      <c r="CM27" s="1699"/>
      <c r="CN27" s="1699"/>
      <c r="CO27" s="1710"/>
      <c r="CP27" s="1710"/>
      <c r="CQ27" s="1710"/>
      <c r="CR27" s="1710"/>
      <c r="CS27" s="1698"/>
      <c r="CT27" s="1698"/>
      <c r="CV27" s="1686"/>
      <c r="CW27" s="1687"/>
      <c r="CX27" s="1699"/>
      <c r="CY27" s="1699"/>
      <c r="CZ27" s="1698"/>
      <c r="DA27" s="1698"/>
      <c r="DB27" s="1698"/>
      <c r="DC27" s="1698"/>
      <c r="DD27" s="1698"/>
      <c r="DE27" s="1698"/>
      <c r="DG27" s="1686"/>
      <c r="DH27" s="1687"/>
      <c r="DI27" s="1699"/>
      <c r="DJ27" s="1699"/>
      <c r="DK27" s="1698"/>
      <c r="DL27" s="1698"/>
      <c r="DM27" s="1698"/>
      <c r="DN27" s="1698"/>
      <c r="DO27" s="1698"/>
      <c r="DP27" s="1698"/>
      <c r="DR27" s="1686"/>
      <c r="DS27" s="1687"/>
      <c r="DT27" s="1699"/>
      <c r="DU27" s="1699"/>
      <c r="DV27" s="1698"/>
      <c r="DW27" s="1698"/>
      <c r="DX27" s="1698"/>
      <c r="DY27" s="1698"/>
      <c r="DZ27" s="1698"/>
      <c r="EA27" s="1698"/>
      <c r="EC27" s="1686"/>
      <c r="ED27" s="1687"/>
      <c r="EE27" s="1699"/>
      <c r="EF27" s="1699"/>
      <c r="EG27" s="1698"/>
      <c r="EH27" s="1698"/>
      <c r="EI27" s="1698"/>
      <c r="EJ27" s="1698"/>
      <c r="EK27" s="1698"/>
      <c r="EL27" s="1698"/>
      <c r="EN27" s="1686"/>
      <c r="EO27" s="1687"/>
      <c r="EP27" s="1699"/>
      <c r="EQ27" s="1699"/>
      <c r="ER27" s="1698"/>
      <c r="ES27" s="1698"/>
      <c r="ET27" s="1698"/>
      <c r="EU27" s="1698"/>
      <c r="EV27" s="1698"/>
      <c r="EW27" s="1698"/>
      <c r="EY27" s="1686"/>
      <c r="EZ27" s="1687"/>
      <c r="FA27" s="1699"/>
      <c r="FB27" s="1699"/>
      <c r="FC27" s="1698"/>
      <c r="FD27" s="1698"/>
      <c r="FE27" s="1698"/>
      <c r="FF27" s="1698"/>
      <c r="FG27" s="1698"/>
      <c r="FH27" s="1698"/>
    </row>
    <row r="28" spans="1:164" x14ac:dyDescent="0.3">
      <c r="A28" s="1680"/>
      <c r="B28" s="1680"/>
      <c r="C28" s="1699"/>
      <c r="D28" s="1699"/>
      <c r="E28" s="1698"/>
      <c r="F28" s="1698"/>
      <c r="G28" s="1698"/>
      <c r="H28" s="1698"/>
      <c r="I28" s="1698"/>
      <c r="J28" s="1698"/>
      <c r="L28" s="1686"/>
      <c r="M28" s="1687"/>
      <c r="N28" s="1661"/>
      <c r="O28" s="1662"/>
      <c r="P28" s="1665"/>
      <c r="Q28" s="1666"/>
      <c r="R28" s="1666"/>
      <c r="S28" s="1667"/>
      <c r="T28" s="1665"/>
      <c r="U28" s="1667"/>
      <c r="W28" s="1686"/>
      <c r="X28" s="1687"/>
      <c r="Y28" s="1661"/>
      <c r="Z28" s="1662"/>
      <c r="AA28" s="1665"/>
      <c r="AB28" s="1666"/>
      <c r="AC28" s="1666"/>
      <c r="AD28" s="1667"/>
      <c r="AE28" s="1665"/>
      <c r="AF28" s="1667"/>
      <c r="AH28" s="1686"/>
      <c r="AI28" s="1687"/>
      <c r="AJ28" s="1699"/>
      <c r="AK28" s="1699"/>
      <c r="AL28" s="1698"/>
      <c r="AM28" s="1698"/>
      <c r="AN28" s="1698"/>
      <c r="AO28" s="1698"/>
      <c r="AP28" s="1698"/>
      <c r="AQ28" s="1698"/>
      <c r="AS28" s="1686"/>
      <c r="AT28" s="1687"/>
      <c r="AU28" s="1699"/>
      <c r="AV28" s="1699"/>
      <c r="AW28" s="1698"/>
      <c r="AX28" s="1698"/>
      <c r="AY28" s="1698"/>
      <c r="AZ28" s="1698"/>
      <c r="BA28" s="1698"/>
      <c r="BB28" s="1698"/>
      <c r="BD28" s="1686"/>
      <c r="BE28" s="1687"/>
      <c r="BF28" s="1699"/>
      <c r="BG28" s="1699"/>
      <c r="BH28" s="1698"/>
      <c r="BI28" s="1698"/>
      <c r="BJ28" s="1698"/>
      <c r="BK28" s="1698"/>
      <c r="BL28" s="1698"/>
      <c r="BM28" s="1698"/>
      <c r="BO28" s="1686"/>
      <c r="BP28" s="1687"/>
      <c r="BQ28" s="1699"/>
      <c r="BR28" s="1699"/>
      <c r="BS28" s="1698"/>
      <c r="BT28" s="1698"/>
      <c r="BU28" s="1698"/>
      <c r="BV28" s="1698"/>
      <c r="BW28" s="1698"/>
      <c r="BX28" s="1698"/>
      <c r="BZ28" s="1686"/>
      <c r="CA28" s="1687"/>
      <c r="CB28" s="1699"/>
      <c r="CC28" s="1699"/>
      <c r="CD28" s="1698"/>
      <c r="CE28" s="1698"/>
      <c r="CF28" s="1698"/>
      <c r="CG28" s="1698"/>
      <c r="CH28" s="1698"/>
      <c r="CI28" s="1698"/>
      <c r="CK28" s="1686"/>
      <c r="CL28" s="1687"/>
      <c r="CM28" s="1699"/>
      <c r="CN28" s="1699"/>
      <c r="CO28" s="1710"/>
      <c r="CP28" s="1710"/>
      <c r="CQ28" s="1710"/>
      <c r="CR28" s="1710"/>
      <c r="CS28" s="1698"/>
      <c r="CT28" s="1698"/>
      <c r="CV28" s="1686"/>
      <c r="CW28" s="1687"/>
      <c r="CX28" s="1699"/>
      <c r="CY28" s="1699"/>
      <c r="CZ28" s="1698"/>
      <c r="DA28" s="1698"/>
      <c r="DB28" s="1698"/>
      <c r="DC28" s="1698"/>
      <c r="DD28" s="1698"/>
      <c r="DE28" s="1698"/>
      <c r="DG28" s="1686"/>
      <c r="DH28" s="1687"/>
      <c r="DI28" s="1699"/>
      <c r="DJ28" s="1699"/>
      <c r="DK28" s="1698"/>
      <c r="DL28" s="1698"/>
      <c r="DM28" s="1698"/>
      <c r="DN28" s="1698"/>
      <c r="DO28" s="1698"/>
      <c r="DP28" s="1698"/>
      <c r="DR28" s="1686"/>
      <c r="DS28" s="1687"/>
      <c r="DT28" s="1699"/>
      <c r="DU28" s="1699"/>
      <c r="DV28" s="1698"/>
      <c r="DW28" s="1698"/>
      <c r="DX28" s="1698"/>
      <c r="DY28" s="1698"/>
      <c r="DZ28" s="1698"/>
      <c r="EA28" s="1698"/>
      <c r="EC28" s="1686"/>
      <c r="ED28" s="1687"/>
      <c r="EE28" s="1699"/>
      <c r="EF28" s="1699"/>
      <c r="EG28" s="1698"/>
      <c r="EH28" s="1698"/>
      <c r="EI28" s="1698"/>
      <c r="EJ28" s="1698"/>
      <c r="EK28" s="1698"/>
      <c r="EL28" s="1698"/>
      <c r="EN28" s="1686"/>
      <c r="EO28" s="1687"/>
      <c r="EP28" s="1699"/>
      <c r="EQ28" s="1699"/>
      <c r="ER28" s="1698"/>
      <c r="ES28" s="1698"/>
      <c r="ET28" s="1698"/>
      <c r="EU28" s="1698"/>
      <c r="EV28" s="1698"/>
      <c r="EW28" s="1698"/>
      <c r="EY28" s="1686"/>
      <c r="EZ28" s="1687"/>
      <c r="FA28" s="1699"/>
      <c r="FB28" s="1699"/>
      <c r="FC28" s="1698"/>
      <c r="FD28" s="1698"/>
      <c r="FE28" s="1698"/>
      <c r="FF28" s="1698"/>
      <c r="FG28" s="1698"/>
      <c r="FH28" s="1698"/>
    </row>
    <row r="29" spans="1:164" x14ac:dyDescent="0.3">
      <c r="A29" s="1680"/>
      <c r="B29" s="1680"/>
      <c r="C29" s="1699"/>
      <c r="D29" s="1699"/>
      <c r="E29" s="1698"/>
      <c r="F29" s="1698"/>
      <c r="G29" s="1698"/>
      <c r="H29" s="1698"/>
      <c r="I29" s="1698"/>
      <c r="J29" s="1698"/>
      <c r="L29" s="1686"/>
      <c r="M29" s="1687"/>
      <c r="N29" s="1661"/>
      <c r="O29" s="1662"/>
      <c r="P29" s="1665"/>
      <c r="Q29" s="1666"/>
      <c r="R29" s="1666"/>
      <c r="S29" s="1667"/>
      <c r="T29" s="1665"/>
      <c r="U29" s="1667"/>
      <c r="W29" s="1686"/>
      <c r="X29" s="1687"/>
      <c r="Y29" s="1661"/>
      <c r="Z29" s="1662"/>
      <c r="AA29" s="1665"/>
      <c r="AB29" s="1666"/>
      <c r="AC29" s="1666"/>
      <c r="AD29" s="1667"/>
      <c r="AE29" s="1665"/>
      <c r="AF29" s="1667"/>
      <c r="AH29" s="1686"/>
      <c r="AI29" s="1687"/>
      <c r="AJ29" s="1699"/>
      <c r="AK29" s="1699"/>
      <c r="AL29" s="1698"/>
      <c r="AM29" s="1698"/>
      <c r="AN29" s="1698"/>
      <c r="AO29" s="1698"/>
      <c r="AP29" s="1698"/>
      <c r="AQ29" s="1698"/>
      <c r="AS29" s="1686"/>
      <c r="AT29" s="1687"/>
      <c r="AU29" s="1699"/>
      <c r="AV29" s="1699"/>
      <c r="AW29" s="1698"/>
      <c r="AX29" s="1698"/>
      <c r="AY29" s="1698"/>
      <c r="AZ29" s="1698"/>
      <c r="BA29" s="1698"/>
      <c r="BB29" s="1698"/>
      <c r="BD29" s="1686"/>
      <c r="BE29" s="1687"/>
      <c r="BF29" s="1699"/>
      <c r="BG29" s="1699"/>
      <c r="BH29" s="1698"/>
      <c r="BI29" s="1698"/>
      <c r="BJ29" s="1698"/>
      <c r="BK29" s="1698"/>
      <c r="BL29" s="1698"/>
      <c r="BM29" s="1698"/>
      <c r="BO29" s="1686"/>
      <c r="BP29" s="1687"/>
      <c r="BQ29" s="1699"/>
      <c r="BR29" s="1699"/>
      <c r="BS29" s="1698"/>
      <c r="BT29" s="1698"/>
      <c r="BU29" s="1698"/>
      <c r="BV29" s="1698"/>
      <c r="BW29" s="1698"/>
      <c r="BX29" s="1698"/>
      <c r="BZ29" s="1686"/>
      <c r="CA29" s="1687"/>
      <c r="CB29" s="1699"/>
      <c r="CC29" s="1699"/>
      <c r="CD29" s="1698"/>
      <c r="CE29" s="1698"/>
      <c r="CF29" s="1698"/>
      <c r="CG29" s="1698"/>
      <c r="CH29" s="1698"/>
      <c r="CI29" s="1698"/>
      <c r="CK29" s="1686"/>
      <c r="CL29" s="1687"/>
      <c r="CM29" s="1699"/>
      <c r="CN29" s="1699"/>
      <c r="CO29" s="1710"/>
      <c r="CP29" s="1710"/>
      <c r="CQ29" s="1710"/>
      <c r="CR29" s="1710"/>
      <c r="CS29" s="1698"/>
      <c r="CT29" s="1698"/>
      <c r="CV29" s="1686"/>
      <c r="CW29" s="1687"/>
      <c r="CX29" s="1699"/>
      <c r="CY29" s="1699"/>
      <c r="CZ29" s="1698"/>
      <c r="DA29" s="1698"/>
      <c r="DB29" s="1698"/>
      <c r="DC29" s="1698"/>
      <c r="DD29" s="1698"/>
      <c r="DE29" s="1698"/>
      <c r="DG29" s="1686"/>
      <c r="DH29" s="1687"/>
      <c r="DI29" s="1699"/>
      <c r="DJ29" s="1699"/>
      <c r="DK29" s="1698"/>
      <c r="DL29" s="1698"/>
      <c r="DM29" s="1698"/>
      <c r="DN29" s="1698"/>
      <c r="DO29" s="1698"/>
      <c r="DP29" s="1698"/>
      <c r="DR29" s="1686"/>
      <c r="DS29" s="1687"/>
      <c r="DT29" s="1699"/>
      <c r="DU29" s="1699"/>
      <c r="DV29" s="1698"/>
      <c r="DW29" s="1698"/>
      <c r="DX29" s="1698"/>
      <c r="DY29" s="1698"/>
      <c r="DZ29" s="1698"/>
      <c r="EA29" s="1698"/>
      <c r="EC29" s="1686"/>
      <c r="ED29" s="1687"/>
      <c r="EE29" s="1699"/>
      <c r="EF29" s="1699"/>
      <c r="EG29" s="1698"/>
      <c r="EH29" s="1698"/>
      <c r="EI29" s="1698"/>
      <c r="EJ29" s="1698"/>
      <c r="EK29" s="1698"/>
      <c r="EL29" s="1698"/>
      <c r="EN29" s="1686"/>
      <c r="EO29" s="1687"/>
      <c r="EP29" s="1699"/>
      <c r="EQ29" s="1699"/>
      <c r="ER29" s="1698"/>
      <c r="ES29" s="1698"/>
      <c r="ET29" s="1698"/>
      <c r="EU29" s="1698"/>
      <c r="EV29" s="1698"/>
      <c r="EW29" s="1698"/>
      <c r="EY29" s="1686"/>
      <c r="EZ29" s="1687"/>
      <c r="FA29" s="1699"/>
      <c r="FB29" s="1699"/>
      <c r="FC29" s="1698"/>
      <c r="FD29" s="1698"/>
      <c r="FE29" s="1698"/>
      <c r="FF29" s="1698"/>
      <c r="FG29" s="1698"/>
      <c r="FH29" s="1698"/>
    </row>
    <row r="30" spans="1:164" x14ac:dyDescent="0.3">
      <c r="A30" s="1680"/>
      <c r="B30" s="1680"/>
      <c r="C30" s="1699"/>
      <c r="D30" s="1699"/>
      <c r="E30" s="1698"/>
      <c r="F30" s="1698"/>
      <c r="G30" s="1698"/>
      <c r="H30" s="1698"/>
      <c r="I30" s="1698"/>
      <c r="J30" s="1698"/>
      <c r="L30" s="1686"/>
      <c r="M30" s="1687"/>
      <c r="N30" s="1661"/>
      <c r="O30" s="1662"/>
      <c r="P30" s="1665"/>
      <c r="Q30" s="1666"/>
      <c r="R30" s="1666"/>
      <c r="S30" s="1667"/>
      <c r="T30" s="1665"/>
      <c r="U30" s="1667"/>
      <c r="W30" s="1686"/>
      <c r="X30" s="1687"/>
      <c r="Y30" s="1661"/>
      <c r="Z30" s="1662"/>
      <c r="AA30" s="1665"/>
      <c r="AB30" s="1666"/>
      <c r="AC30" s="1666"/>
      <c r="AD30" s="1667"/>
      <c r="AE30" s="1665"/>
      <c r="AF30" s="1667"/>
      <c r="AH30" s="1686"/>
      <c r="AI30" s="1687"/>
      <c r="AJ30" s="1699"/>
      <c r="AK30" s="1699"/>
      <c r="AL30" s="1698"/>
      <c r="AM30" s="1698"/>
      <c r="AN30" s="1698"/>
      <c r="AO30" s="1698"/>
      <c r="AP30" s="1698"/>
      <c r="AQ30" s="1698"/>
      <c r="AS30" s="1686"/>
      <c r="AT30" s="1687"/>
      <c r="AU30" s="1699"/>
      <c r="AV30" s="1699"/>
      <c r="AW30" s="1698"/>
      <c r="AX30" s="1698"/>
      <c r="AY30" s="1698"/>
      <c r="AZ30" s="1698"/>
      <c r="BA30" s="1698"/>
      <c r="BB30" s="1698"/>
      <c r="BD30" s="1686"/>
      <c r="BE30" s="1687"/>
      <c r="BF30" s="1699"/>
      <c r="BG30" s="1699"/>
      <c r="BH30" s="1698"/>
      <c r="BI30" s="1698"/>
      <c r="BJ30" s="1698"/>
      <c r="BK30" s="1698"/>
      <c r="BL30" s="1698"/>
      <c r="BM30" s="1698"/>
      <c r="BO30" s="1686"/>
      <c r="BP30" s="1687"/>
      <c r="BQ30" s="1699"/>
      <c r="BR30" s="1699"/>
      <c r="BS30" s="1698"/>
      <c r="BT30" s="1698"/>
      <c r="BU30" s="1698"/>
      <c r="BV30" s="1698"/>
      <c r="BW30" s="1698"/>
      <c r="BX30" s="1698"/>
      <c r="BZ30" s="1686"/>
      <c r="CA30" s="1687"/>
      <c r="CB30" s="1699"/>
      <c r="CC30" s="1699"/>
      <c r="CD30" s="1698"/>
      <c r="CE30" s="1698"/>
      <c r="CF30" s="1698"/>
      <c r="CG30" s="1698"/>
      <c r="CH30" s="1698"/>
      <c r="CI30" s="1698"/>
      <c r="CK30" s="1686"/>
      <c r="CL30" s="1687"/>
      <c r="CM30" s="1699"/>
      <c r="CN30" s="1699"/>
      <c r="CO30" s="1710"/>
      <c r="CP30" s="1710"/>
      <c r="CQ30" s="1710"/>
      <c r="CR30" s="1710"/>
      <c r="CS30" s="1698"/>
      <c r="CT30" s="1698"/>
      <c r="CV30" s="1686"/>
      <c r="CW30" s="1687"/>
      <c r="CX30" s="1699"/>
      <c r="CY30" s="1699"/>
      <c r="CZ30" s="1698"/>
      <c r="DA30" s="1698"/>
      <c r="DB30" s="1698"/>
      <c r="DC30" s="1698"/>
      <c r="DD30" s="1698"/>
      <c r="DE30" s="1698"/>
      <c r="DG30" s="1686"/>
      <c r="DH30" s="1687"/>
      <c r="DI30" s="1699"/>
      <c r="DJ30" s="1699"/>
      <c r="DK30" s="1698"/>
      <c r="DL30" s="1698"/>
      <c r="DM30" s="1698"/>
      <c r="DN30" s="1698"/>
      <c r="DO30" s="1698"/>
      <c r="DP30" s="1698"/>
      <c r="DR30" s="1686"/>
      <c r="DS30" s="1687"/>
      <c r="DT30" s="1699"/>
      <c r="DU30" s="1699"/>
      <c r="DV30" s="1698"/>
      <c r="DW30" s="1698"/>
      <c r="DX30" s="1698"/>
      <c r="DY30" s="1698"/>
      <c r="DZ30" s="1698"/>
      <c r="EA30" s="1698"/>
      <c r="EC30" s="1686"/>
      <c r="ED30" s="1687"/>
      <c r="EE30" s="1699"/>
      <c r="EF30" s="1699"/>
      <c r="EG30" s="1698"/>
      <c r="EH30" s="1698"/>
      <c r="EI30" s="1698"/>
      <c r="EJ30" s="1698"/>
      <c r="EK30" s="1698"/>
      <c r="EL30" s="1698"/>
      <c r="EN30" s="1686"/>
      <c r="EO30" s="1687"/>
      <c r="EP30" s="1699"/>
      <c r="EQ30" s="1699"/>
      <c r="ER30" s="1698"/>
      <c r="ES30" s="1698"/>
      <c r="ET30" s="1698"/>
      <c r="EU30" s="1698"/>
      <c r="EV30" s="1698"/>
      <c r="EW30" s="1698"/>
      <c r="EY30" s="1686"/>
      <c r="EZ30" s="1687"/>
      <c r="FA30" s="1699"/>
      <c r="FB30" s="1699"/>
      <c r="FC30" s="1698"/>
      <c r="FD30" s="1698"/>
      <c r="FE30" s="1698"/>
      <c r="FF30" s="1698"/>
      <c r="FG30" s="1698"/>
      <c r="FH30" s="1698"/>
    </row>
    <row r="31" spans="1:164" x14ac:dyDescent="0.3">
      <c r="A31" s="1680"/>
      <c r="B31" s="1680"/>
      <c r="C31" s="1699"/>
      <c r="D31" s="1699"/>
      <c r="E31" s="1698"/>
      <c r="F31" s="1698"/>
      <c r="G31" s="1698"/>
      <c r="H31" s="1698"/>
      <c r="I31" s="1698"/>
      <c r="J31" s="1698"/>
      <c r="L31" s="1686"/>
      <c r="M31" s="1687"/>
      <c r="N31" s="1661"/>
      <c r="O31" s="1662"/>
      <c r="P31" s="1665"/>
      <c r="Q31" s="1666"/>
      <c r="R31" s="1666"/>
      <c r="S31" s="1667"/>
      <c r="T31" s="1665"/>
      <c r="U31" s="1667"/>
      <c r="W31" s="1686"/>
      <c r="X31" s="1687"/>
      <c r="Y31" s="1661"/>
      <c r="Z31" s="1662"/>
      <c r="AA31" s="1665"/>
      <c r="AB31" s="1666"/>
      <c r="AC31" s="1666"/>
      <c r="AD31" s="1667"/>
      <c r="AE31" s="1665"/>
      <c r="AF31" s="1667"/>
      <c r="AH31" s="1686"/>
      <c r="AI31" s="1687"/>
      <c r="AJ31" s="1699"/>
      <c r="AK31" s="1699"/>
      <c r="AL31" s="1698"/>
      <c r="AM31" s="1698"/>
      <c r="AN31" s="1698"/>
      <c r="AO31" s="1698"/>
      <c r="AP31" s="1698"/>
      <c r="AQ31" s="1698"/>
      <c r="AS31" s="1686"/>
      <c r="AT31" s="1687"/>
      <c r="AU31" s="1699"/>
      <c r="AV31" s="1699"/>
      <c r="AW31" s="1698"/>
      <c r="AX31" s="1698"/>
      <c r="AY31" s="1698"/>
      <c r="AZ31" s="1698"/>
      <c r="BA31" s="1698"/>
      <c r="BB31" s="1698"/>
      <c r="BD31" s="1686"/>
      <c r="BE31" s="1687"/>
      <c r="BF31" s="1699"/>
      <c r="BG31" s="1699"/>
      <c r="BH31" s="1698"/>
      <c r="BI31" s="1698"/>
      <c r="BJ31" s="1698"/>
      <c r="BK31" s="1698"/>
      <c r="BL31" s="1698"/>
      <c r="BM31" s="1698"/>
      <c r="BO31" s="1686"/>
      <c r="BP31" s="1687"/>
      <c r="BQ31" s="1699"/>
      <c r="BR31" s="1699"/>
      <c r="BS31" s="1698"/>
      <c r="BT31" s="1698"/>
      <c r="BU31" s="1698"/>
      <c r="BV31" s="1698"/>
      <c r="BW31" s="1698"/>
      <c r="BX31" s="1698"/>
      <c r="BZ31" s="1686"/>
      <c r="CA31" s="1687"/>
      <c r="CB31" s="1699"/>
      <c r="CC31" s="1699"/>
      <c r="CD31" s="1698"/>
      <c r="CE31" s="1698"/>
      <c r="CF31" s="1698"/>
      <c r="CG31" s="1698"/>
      <c r="CH31" s="1698"/>
      <c r="CI31" s="1698"/>
      <c r="CK31" s="1686"/>
      <c r="CL31" s="1687"/>
      <c r="CM31" s="1699"/>
      <c r="CN31" s="1699"/>
      <c r="CO31" s="1710"/>
      <c r="CP31" s="1710"/>
      <c r="CQ31" s="1710"/>
      <c r="CR31" s="1710"/>
      <c r="CS31" s="1698"/>
      <c r="CT31" s="1698"/>
      <c r="CV31" s="1686"/>
      <c r="CW31" s="1687"/>
      <c r="CX31" s="1699"/>
      <c r="CY31" s="1699"/>
      <c r="CZ31" s="1698"/>
      <c r="DA31" s="1698"/>
      <c r="DB31" s="1698"/>
      <c r="DC31" s="1698"/>
      <c r="DD31" s="1698"/>
      <c r="DE31" s="1698"/>
      <c r="DG31" s="1686"/>
      <c r="DH31" s="1687"/>
      <c r="DI31" s="1699"/>
      <c r="DJ31" s="1699"/>
      <c r="DK31" s="1698"/>
      <c r="DL31" s="1698"/>
      <c r="DM31" s="1698"/>
      <c r="DN31" s="1698"/>
      <c r="DO31" s="1698"/>
      <c r="DP31" s="1698"/>
      <c r="DR31" s="1686"/>
      <c r="DS31" s="1687"/>
      <c r="DT31" s="1699"/>
      <c r="DU31" s="1699"/>
      <c r="DV31" s="1698"/>
      <c r="DW31" s="1698"/>
      <c r="DX31" s="1698"/>
      <c r="DY31" s="1698"/>
      <c r="DZ31" s="1698"/>
      <c r="EA31" s="1698"/>
      <c r="EC31" s="1686"/>
      <c r="ED31" s="1687"/>
      <c r="EE31" s="1699"/>
      <c r="EF31" s="1699"/>
      <c r="EG31" s="1698"/>
      <c r="EH31" s="1698"/>
      <c r="EI31" s="1698"/>
      <c r="EJ31" s="1698"/>
      <c r="EK31" s="1698"/>
      <c r="EL31" s="1698"/>
      <c r="EN31" s="1686"/>
      <c r="EO31" s="1687"/>
      <c r="EP31" s="1699"/>
      <c r="EQ31" s="1699"/>
      <c r="ER31" s="1698"/>
      <c r="ES31" s="1698"/>
      <c r="ET31" s="1698"/>
      <c r="EU31" s="1698"/>
      <c r="EV31" s="1698"/>
      <c r="EW31" s="1698"/>
      <c r="EY31" s="1686"/>
      <c r="EZ31" s="1687"/>
      <c r="FA31" s="1699"/>
      <c r="FB31" s="1699"/>
      <c r="FC31" s="1698"/>
      <c r="FD31" s="1698"/>
      <c r="FE31" s="1698"/>
      <c r="FF31" s="1698"/>
      <c r="FG31" s="1698"/>
      <c r="FH31" s="1698"/>
    </row>
    <row r="32" spans="1:164" x14ac:dyDescent="0.3">
      <c r="A32" s="1680"/>
      <c r="B32" s="1680"/>
      <c r="C32" s="1699"/>
      <c r="D32" s="1699"/>
      <c r="E32" s="1698"/>
      <c r="F32" s="1698"/>
      <c r="G32" s="1698"/>
      <c r="H32" s="1698"/>
      <c r="I32" s="1698"/>
      <c r="J32" s="1698"/>
      <c r="L32" s="1686"/>
      <c r="M32" s="1687"/>
      <c r="N32" s="1663"/>
      <c r="O32" s="1664"/>
      <c r="P32" s="1656"/>
      <c r="Q32" s="1657"/>
      <c r="R32" s="1657"/>
      <c r="S32" s="1658"/>
      <c r="T32" s="1656"/>
      <c r="U32" s="1658"/>
      <c r="W32" s="1686"/>
      <c r="X32" s="1687"/>
      <c r="Y32" s="1663"/>
      <c r="Z32" s="1664"/>
      <c r="AA32" s="1656"/>
      <c r="AB32" s="1657"/>
      <c r="AC32" s="1657"/>
      <c r="AD32" s="1658"/>
      <c r="AE32" s="1656"/>
      <c r="AF32" s="1658"/>
      <c r="AH32" s="1686"/>
      <c r="AI32" s="1687"/>
      <c r="AJ32" s="1699"/>
      <c r="AK32" s="1699"/>
      <c r="AL32" s="1698"/>
      <c r="AM32" s="1698"/>
      <c r="AN32" s="1698"/>
      <c r="AO32" s="1698"/>
      <c r="AP32" s="1698"/>
      <c r="AQ32" s="1698"/>
      <c r="AS32" s="1686"/>
      <c r="AT32" s="1687"/>
      <c r="AU32" s="1699"/>
      <c r="AV32" s="1699"/>
      <c r="AW32" s="1698"/>
      <c r="AX32" s="1698"/>
      <c r="AY32" s="1698"/>
      <c r="AZ32" s="1698"/>
      <c r="BA32" s="1698"/>
      <c r="BB32" s="1698"/>
      <c r="BD32" s="1686"/>
      <c r="BE32" s="1687"/>
      <c r="BF32" s="1699"/>
      <c r="BG32" s="1699"/>
      <c r="BH32" s="1698"/>
      <c r="BI32" s="1698"/>
      <c r="BJ32" s="1698"/>
      <c r="BK32" s="1698"/>
      <c r="BL32" s="1698"/>
      <c r="BM32" s="1698"/>
      <c r="BO32" s="1686"/>
      <c r="BP32" s="1687"/>
      <c r="BQ32" s="1699"/>
      <c r="BR32" s="1699"/>
      <c r="BS32" s="1698"/>
      <c r="BT32" s="1698"/>
      <c r="BU32" s="1698"/>
      <c r="BV32" s="1698"/>
      <c r="BW32" s="1698"/>
      <c r="BX32" s="1698"/>
      <c r="BZ32" s="1686"/>
      <c r="CA32" s="1687"/>
      <c r="CB32" s="1699"/>
      <c r="CC32" s="1699"/>
      <c r="CD32" s="1698"/>
      <c r="CE32" s="1698"/>
      <c r="CF32" s="1698"/>
      <c r="CG32" s="1698"/>
      <c r="CH32" s="1698"/>
      <c r="CI32" s="1698"/>
      <c r="CK32" s="1686"/>
      <c r="CL32" s="1687"/>
      <c r="CM32" s="1699"/>
      <c r="CN32" s="1699"/>
      <c r="CO32" s="1710"/>
      <c r="CP32" s="1710"/>
      <c r="CQ32" s="1710"/>
      <c r="CR32" s="1710"/>
      <c r="CS32" s="1698"/>
      <c r="CT32" s="1698"/>
      <c r="CV32" s="1686"/>
      <c r="CW32" s="1687"/>
      <c r="CX32" s="1699"/>
      <c r="CY32" s="1699"/>
      <c r="CZ32" s="1698"/>
      <c r="DA32" s="1698"/>
      <c r="DB32" s="1698"/>
      <c r="DC32" s="1698"/>
      <c r="DD32" s="1698"/>
      <c r="DE32" s="1698"/>
      <c r="DG32" s="1686"/>
      <c r="DH32" s="1687"/>
      <c r="DI32" s="1699"/>
      <c r="DJ32" s="1699"/>
      <c r="DK32" s="1698"/>
      <c r="DL32" s="1698"/>
      <c r="DM32" s="1698"/>
      <c r="DN32" s="1698"/>
      <c r="DO32" s="1698"/>
      <c r="DP32" s="1698"/>
      <c r="DR32" s="1686"/>
      <c r="DS32" s="1687"/>
      <c r="DT32" s="1699"/>
      <c r="DU32" s="1699"/>
      <c r="DV32" s="1698"/>
      <c r="DW32" s="1698"/>
      <c r="DX32" s="1698"/>
      <c r="DY32" s="1698"/>
      <c r="DZ32" s="1698"/>
      <c r="EA32" s="1698"/>
      <c r="EC32" s="1686"/>
      <c r="ED32" s="1687"/>
      <c r="EE32" s="1699"/>
      <c r="EF32" s="1699"/>
      <c r="EG32" s="1698"/>
      <c r="EH32" s="1698"/>
      <c r="EI32" s="1698"/>
      <c r="EJ32" s="1698"/>
      <c r="EK32" s="1698"/>
      <c r="EL32" s="1698"/>
      <c r="EN32" s="1686"/>
      <c r="EO32" s="1687"/>
      <c r="EP32" s="1699"/>
      <c r="EQ32" s="1699"/>
      <c r="ER32" s="1698"/>
      <c r="ES32" s="1698"/>
      <c r="ET32" s="1698"/>
      <c r="EU32" s="1698"/>
      <c r="EV32" s="1698"/>
      <c r="EW32" s="1698"/>
      <c r="EY32" s="1686"/>
      <c r="EZ32" s="1687"/>
      <c r="FA32" s="1699"/>
      <c r="FB32" s="1699"/>
      <c r="FC32" s="1698"/>
      <c r="FD32" s="1698"/>
      <c r="FE32" s="1698"/>
      <c r="FF32" s="1698"/>
      <c r="FG32" s="1698"/>
      <c r="FH32" s="1698"/>
    </row>
    <row r="33" spans="1:164" ht="23.25" customHeight="1" x14ac:dyDescent="0.3">
      <c r="A33" s="1680"/>
      <c r="B33" s="1680"/>
      <c r="C33" s="1680" t="s">
        <v>469</v>
      </c>
      <c r="D33" s="1680"/>
      <c r="E33" s="1698">
        <f>SUM(E17:H32)</f>
        <v>1558</v>
      </c>
      <c r="F33" s="1698"/>
      <c r="G33" s="1698"/>
      <c r="H33" s="1698"/>
      <c r="I33" s="1698"/>
      <c r="J33" s="1698"/>
      <c r="L33" s="1683"/>
      <c r="M33" s="1684"/>
      <c r="N33" s="1365" t="s">
        <v>469</v>
      </c>
      <c r="O33" s="1367"/>
      <c r="P33" s="1668">
        <f>SUM(P17:S32)</f>
        <v>0</v>
      </c>
      <c r="Q33" s="1669"/>
      <c r="R33" s="1669"/>
      <c r="S33" s="1669"/>
      <c r="T33" s="1669"/>
      <c r="U33" s="1670"/>
      <c r="W33" s="1683"/>
      <c r="X33" s="1684"/>
      <c r="Y33" s="1365" t="s">
        <v>469</v>
      </c>
      <c r="Z33" s="1367"/>
      <c r="AA33" s="1668">
        <f>SUM(AA17:AD32)</f>
        <v>0</v>
      </c>
      <c r="AB33" s="1669"/>
      <c r="AC33" s="1669"/>
      <c r="AD33" s="1669"/>
      <c r="AE33" s="1669"/>
      <c r="AF33" s="1670"/>
      <c r="AH33" s="1683"/>
      <c r="AI33" s="1684"/>
      <c r="AJ33" s="1680" t="s">
        <v>469</v>
      </c>
      <c r="AK33" s="1680"/>
      <c r="AL33" s="1698">
        <f>SUM(AL17:AO32)</f>
        <v>1261</v>
      </c>
      <c r="AM33" s="1698"/>
      <c r="AN33" s="1698"/>
      <c r="AO33" s="1698"/>
      <c r="AP33" s="1698"/>
      <c r="AQ33" s="1698"/>
      <c r="AS33" s="1683"/>
      <c r="AT33" s="1684"/>
      <c r="AU33" s="1680" t="s">
        <v>469</v>
      </c>
      <c r="AV33" s="1680"/>
      <c r="AW33" s="1698">
        <f>SUM(AW17:AZ32)</f>
        <v>3884</v>
      </c>
      <c r="AX33" s="1698"/>
      <c r="AY33" s="1698"/>
      <c r="AZ33" s="1698"/>
      <c r="BA33" s="1698"/>
      <c r="BB33" s="1698"/>
      <c r="BD33" s="1683"/>
      <c r="BE33" s="1684"/>
      <c r="BF33" s="1680" t="s">
        <v>469</v>
      </c>
      <c r="BG33" s="1680"/>
      <c r="BH33" s="1698">
        <f>SUM(BH17:BK32)</f>
        <v>3761</v>
      </c>
      <c r="BI33" s="1698"/>
      <c r="BJ33" s="1698"/>
      <c r="BK33" s="1698"/>
      <c r="BL33" s="1698"/>
      <c r="BM33" s="1698"/>
      <c r="BO33" s="1683"/>
      <c r="BP33" s="1684"/>
      <c r="BQ33" s="1680" t="s">
        <v>469</v>
      </c>
      <c r="BR33" s="1680"/>
      <c r="BS33" s="1698">
        <f>SUM(BS17:BV32)</f>
        <v>3884</v>
      </c>
      <c r="BT33" s="1698"/>
      <c r="BU33" s="1698"/>
      <c r="BV33" s="1698"/>
      <c r="BW33" s="1698"/>
      <c r="BX33" s="1698"/>
      <c r="BZ33" s="1683"/>
      <c r="CA33" s="1684"/>
      <c r="CB33" s="1680" t="s">
        <v>469</v>
      </c>
      <c r="CC33" s="1680"/>
      <c r="CD33" s="1698">
        <f>SUM(CD17:CG32)</f>
        <v>3761</v>
      </c>
      <c r="CE33" s="1698"/>
      <c r="CF33" s="1698"/>
      <c r="CG33" s="1698"/>
      <c r="CH33" s="1698"/>
      <c r="CI33" s="1698"/>
      <c r="CK33" s="1683"/>
      <c r="CL33" s="1684"/>
      <c r="CM33" s="1680" t="s">
        <v>469</v>
      </c>
      <c r="CN33" s="1680"/>
      <c r="CO33" s="1698">
        <f>SUM(CO17:CR32)</f>
        <v>3761</v>
      </c>
      <c r="CP33" s="1698"/>
      <c r="CQ33" s="1698"/>
      <c r="CR33" s="1698"/>
      <c r="CS33" s="1698"/>
      <c r="CT33" s="1698"/>
      <c r="CV33" s="1683"/>
      <c r="CW33" s="1684"/>
      <c r="CX33" s="1680" t="s">
        <v>469</v>
      </c>
      <c r="CY33" s="1680"/>
      <c r="CZ33" s="1698">
        <f>SUM(CZ17:DC32)</f>
        <v>3884</v>
      </c>
      <c r="DA33" s="1698"/>
      <c r="DB33" s="1698"/>
      <c r="DC33" s="1698"/>
      <c r="DD33" s="1698"/>
      <c r="DE33" s="1698"/>
      <c r="DG33" s="1683"/>
      <c r="DH33" s="1684"/>
      <c r="DI33" s="1680" t="s">
        <v>469</v>
      </c>
      <c r="DJ33" s="1680"/>
      <c r="DK33" s="1698">
        <f>SUM(DK17:DN32)</f>
        <v>3761</v>
      </c>
      <c r="DL33" s="1698"/>
      <c r="DM33" s="1698"/>
      <c r="DN33" s="1698"/>
      <c r="DO33" s="1698"/>
      <c r="DP33" s="1698"/>
      <c r="DR33" s="1683"/>
      <c r="DS33" s="1684"/>
      <c r="DT33" s="1680" t="s">
        <v>469</v>
      </c>
      <c r="DU33" s="1680"/>
      <c r="DV33" s="1698">
        <f>SUM(DV17:DY32)</f>
        <v>3884</v>
      </c>
      <c r="DW33" s="1698"/>
      <c r="DX33" s="1698"/>
      <c r="DY33" s="1698"/>
      <c r="DZ33" s="1698"/>
      <c r="EA33" s="1698"/>
      <c r="EC33" s="1683"/>
      <c r="ED33" s="1684"/>
      <c r="EE33" s="1680" t="s">
        <v>469</v>
      </c>
      <c r="EF33" s="1680"/>
      <c r="EG33" s="1698">
        <f>SUM(EG17:EJ32)</f>
        <v>3884</v>
      </c>
      <c r="EH33" s="1698"/>
      <c r="EI33" s="1698"/>
      <c r="EJ33" s="1698"/>
      <c r="EK33" s="1698"/>
      <c r="EL33" s="1698"/>
      <c r="EN33" s="1683"/>
      <c r="EO33" s="1684"/>
      <c r="EP33" s="1680" t="s">
        <v>469</v>
      </c>
      <c r="EQ33" s="1680"/>
      <c r="ER33" s="1698">
        <f>SUM(ER17:EU32)</f>
        <v>0</v>
      </c>
      <c r="ES33" s="1698"/>
      <c r="ET33" s="1698"/>
      <c r="EU33" s="1698"/>
      <c r="EV33" s="1698"/>
      <c r="EW33" s="1698"/>
      <c r="EY33" s="1683"/>
      <c r="EZ33" s="1684"/>
      <c r="FA33" s="1680" t="s">
        <v>469</v>
      </c>
      <c r="FB33" s="1680"/>
      <c r="FC33" s="1698">
        <f>SUM(FC17:FF32)</f>
        <v>0</v>
      </c>
      <c r="FD33" s="1698"/>
      <c r="FE33" s="1698"/>
      <c r="FF33" s="1698"/>
      <c r="FG33" s="1698"/>
      <c r="FH33" s="1698"/>
    </row>
    <row r="34" spans="1:164" x14ac:dyDescent="0.3">
      <c r="A34" s="1680" t="s">
        <v>470</v>
      </c>
      <c r="B34" s="1680"/>
      <c r="C34" s="1680"/>
      <c r="D34" s="1680"/>
      <c r="E34" s="1653" t="e">
        <f>E16-E33</f>
        <v>#REF!</v>
      </c>
      <c r="F34" s="1654"/>
      <c r="G34" s="1654"/>
      <c r="H34" s="1654"/>
      <c r="I34" s="1654"/>
      <c r="J34" s="1655"/>
      <c r="L34" s="1671" t="s">
        <v>470</v>
      </c>
      <c r="M34" s="1672"/>
      <c r="N34" s="1672"/>
      <c r="O34" s="1673"/>
      <c r="P34" s="1653">
        <f>P16-P33</f>
        <v>5795</v>
      </c>
      <c r="Q34" s="1654"/>
      <c r="R34" s="1654"/>
      <c r="S34" s="1654"/>
      <c r="T34" s="1654"/>
      <c r="U34" s="1655"/>
      <c r="W34" s="1671" t="s">
        <v>470</v>
      </c>
      <c r="X34" s="1672"/>
      <c r="Y34" s="1672"/>
      <c r="Z34" s="1673"/>
      <c r="AA34" s="1653">
        <f>AA16-AA33</f>
        <v>500</v>
      </c>
      <c r="AB34" s="1654"/>
      <c r="AC34" s="1654"/>
      <c r="AD34" s="1654"/>
      <c r="AE34" s="1654"/>
      <c r="AF34" s="1655"/>
      <c r="AH34" s="1680" t="s">
        <v>470</v>
      </c>
      <c r="AI34" s="1680"/>
      <c r="AJ34" s="1680"/>
      <c r="AK34" s="1680"/>
      <c r="AL34" s="1698">
        <f>AL16-AL33</f>
        <v>26852.5</v>
      </c>
      <c r="AM34" s="1698"/>
      <c r="AN34" s="1698"/>
      <c r="AO34" s="1698"/>
      <c r="AP34" s="1698"/>
      <c r="AQ34" s="1698"/>
      <c r="AS34" s="1680" t="s">
        <v>470</v>
      </c>
      <c r="AT34" s="1680"/>
      <c r="AU34" s="1680"/>
      <c r="AV34" s="1680"/>
      <c r="AW34" s="1698" t="e">
        <f>AW16-AW33</f>
        <v>#REF!</v>
      </c>
      <c r="AX34" s="1698"/>
      <c r="AY34" s="1698"/>
      <c r="AZ34" s="1698"/>
      <c r="BA34" s="1698"/>
      <c r="BB34" s="1698"/>
      <c r="BD34" s="1680" t="s">
        <v>470</v>
      </c>
      <c r="BE34" s="1680"/>
      <c r="BF34" s="1680"/>
      <c r="BG34" s="1680"/>
      <c r="BH34" s="1698">
        <f>BH16-BH33</f>
        <v>28308</v>
      </c>
      <c r="BI34" s="1698"/>
      <c r="BJ34" s="1698"/>
      <c r="BK34" s="1698"/>
      <c r="BL34" s="1698"/>
      <c r="BM34" s="1698"/>
      <c r="BO34" s="1680" t="s">
        <v>470</v>
      </c>
      <c r="BP34" s="1680"/>
      <c r="BQ34" s="1680"/>
      <c r="BR34" s="1680"/>
      <c r="BS34" s="1698">
        <f>BS16-BS33</f>
        <v>35349</v>
      </c>
      <c r="BT34" s="1698"/>
      <c r="BU34" s="1698"/>
      <c r="BV34" s="1698"/>
      <c r="BW34" s="1698"/>
      <c r="BX34" s="1698"/>
      <c r="BZ34" s="1680" t="s">
        <v>470</v>
      </c>
      <c r="CA34" s="1680"/>
      <c r="CB34" s="1680"/>
      <c r="CC34" s="1680"/>
      <c r="CD34" s="1698">
        <f>CD16-CD33</f>
        <v>31334</v>
      </c>
      <c r="CE34" s="1698"/>
      <c r="CF34" s="1698"/>
      <c r="CG34" s="1698"/>
      <c r="CH34" s="1698"/>
      <c r="CI34" s="1698"/>
      <c r="CK34" s="1680" t="s">
        <v>470</v>
      </c>
      <c r="CL34" s="1680"/>
      <c r="CM34" s="1680"/>
      <c r="CN34" s="1680"/>
      <c r="CO34" s="1698">
        <f>CO16-CO33</f>
        <v>30698</v>
      </c>
      <c r="CP34" s="1698"/>
      <c r="CQ34" s="1698"/>
      <c r="CR34" s="1698"/>
      <c r="CS34" s="1698"/>
      <c r="CT34" s="1698"/>
      <c r="CV34" s="1680" t="s">
        <v>470</v>
      </c>
      <c r="CW34" s="1680"/>
      <c r="CX34" s="1680"/>
      <c r="CY34" s="1680"/>
      <c r="CZ34" s="1698">
        <f>CZ16-CZ33</f>
        <v>24706</v>
      </c>
      <c r="DA34" s="1698"/>
      <c r="DB34" s="1698"/>
      <c r="DC34" s="1698"/>
      <c r="DD34" s="1698"/>
      <c r="DE34" s="1698"/>
      <c r="DG34" s="1680" t="s">
        <v>470</v>
      </c>
      <c r="DH34" s="1680"/>
      <c r="DI34" s="1680"/>
      <c r="DJ34" s="1680"/>
      <c r="DK34" s="1698">
        <f>DK16-DK33</f>
        <v>32762</v>
      </c>
      <c r="DL34" s="1698"/>
      <c r="DM34" s="1698"/>
      <c r="DN34" s="1698"/>
      <c r="DO34" s="1698"/>
      <c r="DP34" s="1698"/>
      <c r="DR34" s="1680" t="s">
        <v>470</v>
      </c>
      <c r="DS34" s="1680"/>
      <c r="DT34" s="1680"/>
      <c r="DU34" s="1680"/>
      <c r="DV34" s="1698">
        <f>DV16-DV33</f>
        <v>39561</v>
      </c>
      <c r="DW34" s="1698"/>
      <c r="DX34" s="1698"/>
      <c r="DY34" s="1698"/>
      <c r="DZ34" s="1698"/>
      <c r="EA34" s="1698"/>
      <c r="EC34" s="1680" t="s">
        <v>470</v>
      </c>
      <c r="ED34" s="1680"/>
      <c r="EE34" s="1680"/>
      <c r="EF34" s="1680"/>
      <c r="EG34" s="1698">
        <f>EG16-EG33</f>
        <v>36315.5</v>
      </c>
      <c r="EH34" s="1698"/>
      <c r="EI34" s="1698"/>
      <c r="EJ34" s="1698"/>
      <c r="EK34" s="1698"/>
      <c r="EL34" s="1698"/>
      <c r="EN34" s="1680" t="s">
        <v>470</v>
      </c>
      <c r="EO34" s="1680"/>
      <c r="EP34" s="1680"/>
      <c r="EQ34" s="1680"/>
      <c r="ER34" s="1698">
        <f>ER16-ER33</f>
        <v>4019.5</v>
      </c>
      <c r="ES34" s="1698"/>
      <c r="ET34" s="1698"/>
      <c r="EU34" s="1698"/>
      <c r="EV34" s="1698"/>
      <c r="EW34" s="1698"/>
      <c r="EY34" s="1680" t="s">
        <v>470</v>
      </c>
      <c r="EZ34" s="1680"/>
      <c r="FA34" s="1680"/>
      <c r="FB34" s="1680"/>
      <c r="FC34" s="1698" t="e">
        <f>FC16-FC33</f>
        <v>#REF!</v>
      </c>
      <c r="FD34" s="1698"/>
      <c r="FE34" s="1698"/>
      <c r="FF34" s="1698"/>
      <c r="FG34" s="1698"/>
      <c r="FH34" s="1698"/>
    </row>
    <row r="35" spans="1:164" ht="16.5" customHeight="1" x14ac:dyDescent="0.3">
      <c r="A35" s="1680"/>
      <c r="B35" s="1680"/>
      <c r="C35" s="1680"/>
      <c r="D35" s="1680"/>
      <c r="E35" s="1656"/>
      <c r="F35" s="1657"/>
      <c r="G35" s="1657"/>
      <c r="H35" s="1657"/>
      <c r="I35" s="1657"/>
      <c r="J35" s="1658"/>
      <c r="L35" s="1674"/>
      <c r="M35" s="1652"/>
      <c r="N35" s="1652"/>
      <c r="O35" s="1675"/>
      <c r="P35" s="1656"/>
      <c r="Q35" s="1657"/>
      <c r="R35" s="1657"/>
      <c r="S35" s="1657"/>
      <c r="T35" s="1657"/>
      <c r="U35" s="1658"/>
      <c r="W35" s="1674"/>
      <c r="X35" s="1652"/>
      <c r="Y35" s="1652"/>
      <c r="Z35" s="1675"/>
      <c r="AA35" s="1656"/>
      <c r="AB35" s="1657"/>
      <c r="AC35" s="1657"/>
      <c r="AD35" s="1657"/>
      <c r="AE35" s="1657"/>
      <c r="AF35" s="1658"/>
      <c r="AH35" s="1680"/>
      <c r="AI35" s="1680"/>
      <c r="AJ35" s="1680"/>
      <c r="AK35" s="1680"/>
      <c r="AL35" s="1698"/>
      <c r="AM35" s="1698"/>
      <c r="AN35" s="1698"/>
      <c r="AO35" s="1698"/>
      <c r="AP35" s="1698"/>
      <c r="AQ35" s="1698"/>
      <c r="AS35" s="1680"/>
      <c r="AT35" s="1680"/>
      <c r="AU35" s="1680"/>
      <c r="AV35" s="1680"/>
      <c r="AW35" s="1698"/>
      <c r="AX35" s="1698"/>
      <c r="AY35" s="1698"/>
      <c r="AZ35" s="1698"/>
      <c r="BA35" s="1698"/>
      <c r="BB35" s="1698"/>
      <c r="BD35" s="1680"/>
      <c r="BE35" s="1680"/>
      <c r="BF35" s="1680"/>
      <c r="BG35" s="1680"/>
      <c r="BH35" s="1698"/>
      <c r="BI35" s="1698"/>
      <c r="BJ35" s="1698"/>
      <c r="BK35" s="1698"/>
      <c r="BL35" s="1698"/>
      <c r="BM35" s="1698"/>
      <c r="BO35" s="1680"/>
      <c r="BP35" s="1680"/>
      <c r="BQ35" s="1680"/>
      <c r="BR35" s="1680"/>
      <c r="BS35" s="1698"/>
      <c r="BT35" s="1698"/>
      <c r="BU35" s="1698"/>
      <c r="BV35" s="1698"/>
      <c r="BW35" s="1698"/>
      <c r="BX35" s="1698"/>
      <c r="BZ35" s="1680"/>
      <c r="CA35" s="1680"/>
      <c r="CB35" s="1680"/>
      <c r="CC35" s="1680"/>
      <c r="CD35" s="1698"/>
      <c r="CE35" s="1698"/>
      <c r="CF35" s="1698"/>
      <c r="CG35" s="1698"/>
      <c r="CH35" s="1698"/>
      <c r="CI35" s="1698"/>
      <c r="CK35" s="1680"/>
      <c r="CL35" s="1680"/>
      <c r="CM35" s="1680"/>
      <c r="CN35" s="1680"/>
      <c r="CO35" s="1698"/>
      <c r="CP35" s="1698"/>
      <c r="CQ35" s="1698"/>
      <c r="CR35" s="1698"/>
      <c r="CS35" s="1698"/>
      <c r="CT35" s="1698"/>
      <c r="CV35" s="1680"/>
      <c r="CW35" s="1680"/>
      <c r="CX35" s="1680"/>
      <c r="CY35" s="1680"/>
      <c r="CZ35" s="1698"/>
      <c r="DA35" s="1698"/>
      <c r="DB35" s="1698"/>
      <c r="DC35" s="1698"/>
      <c r="DD35" s="1698"/>
      <c r="DE35" s="1698"/>
      <c r="DG35" s="1680"/>
      <c r="DH35" s="1680"/>
      <c r="DI35" s="1680"/>
      <c r="DJ35" s="1680"/>
      <c r="DK35" s="1698"/>
      <c r="DL35" s="1698"/>
      <c r="DM35" s="1698"/>
      <c r="DN35" s="1698"/>
      <c r="DO35" s="1698"/>
      <c r="DP35" s="1698"/>
      <c r="DR35" s="1680"/>
      <c r="DS35" s="1680"/>
      <c r="DT35" s="1680"/>
      <c r="DU35" s="1680"/>
      <c r="DV35" s="1698"/>
      <c r="DW35" s="1698"/>
      <c r="DX35" s="1698"/>
      <c r="DY35" s="1698"/>
      <c r="DZ35" s="1698"/>
      <c r="EA35" s="1698"/>
      <c r="EC35" s="1680"/>
      <c r="ED35" s="1680"/>
      <c r="EE35" s="1680"/>
      <c r="EF35" s="1680"/>
      <c r="EG35" s="1698"/>
      <c r="EH35" s="1698"/>
      <c r="EI35" s="1698"/>
      <c r="EJ35" s="1698"/>
      <c r="EK35" s="1698"/>
      <c r="EL35" s="1698"/>
      <c r="EN35" s="1680"/>
      <c r="EO35" s="1680"/>
      <c r="EP35" s="1680"/>
      <c r="EQ35" s="1680"/>
      <c r="ER35" s="1698"/>
      <c r="ES35" s="1698"/>
      <c r="ET35" s="1698"/>
      <c r="EU35" s="1698"/>
      <c r="EV35" s="1698"/>
      <c r="EW35" s="1698"/>
      <c r="EY35" s="1680"/>
      <c r="EZ35" s="1680"/>
      <c r="FA35" s="1680"/>
      <c r="FB35" s="1680"/>
      <c r="FC35" s="1698"/>
      <c r="FD35" s="1698"/>
      <c r="FE35" s="1698"/>
      <c r="FF35" s="1698"/>
      <c r="FG35" s="1698"/>
      <c r="FH35" s="1698"/>
    </row>
    <row r="36" spans="1:164" ht="16.5" customHeight="1" x14ac:dyDescent="0.3">
      <c r="A36" s="1680" t="s">
        <v>471</v>
      </c>
      <c r="B36" s="1680"/>
      <c r="C36" s="1680"/>
      <c r="D36" s="1680"/>
      <c r="E36" s="1681" t="s">
        <v>472</v>
      </c>
      <c r="F36" s="1717"/>
      <c r="G36" s="1717"/>
      <c r="H36" s="1717"/>
      <c r="I36" s="1717"/>
      <c r="J36" s="1682"/>
      <c r="L36" s="1671" t="s">
        <v>471</v>
      </c>
      <c r="M36" s="1672"/>
      <c r="N36" s="1672"/>
      <c r="O36" s="1673"/>
      <c r="P36" s="1679" t="s">
        <v>491</v>
      </c>
      <c r="Q36" s="1680"/>
      <c r="R36" s="1680"/>
      <c r="S36" s="1680"/>
      <c r="T36" s="1680"/>
      <c r="U36" s="1680"/>
      <c r="W36" s="1671" t="s">
        <v>471</v>
      </c>
      <c r="X36" s="1672"/>
      <c r="Y36" s="1672"/>
      <c r="Z36" s="1673"/>
      <c r="AA36" s="1679" t="s">
        <v>491</v>
      </c>
      <c r="AB36" s="1680"/>
      <c r="AC36" s="1680"/>
      <c r="AD36" s="1680"/>
      <c r="AE36" s="1680"/>
      <c r="AF36" s="1680"/>
      <c r="AH36" s="1680" t="s">
        <v>471</v>
      </c>
      <c r="AI36" s="1680"/>
      <c r="AJ36" s="1680"/>
      <c r="AK36" s="1680"/>
      <c r="AL36" s="1679" t="s">
        <v>479</v>
      </c>
      <c r="AM36" s="1680"/>
      <c r="AN36" s="1680"/>
      <c r="AO36" s="1680"/>
      <c r="AP36" s="1680"/>
      <c r="AQ36" s="1680"/>
      <c r="AS36" s="1680" t="s">
        <v>471</v>
      </c>
      <c r="AT36" s="1680"/>
      <c r="AU36" s="1680"/>
      <c r="AV36" s="1680"/>
      <c r="AW36" s="1679" t="s">
        <v>491</v>
      </c>
      <c r="AX36" s="1680"/>
      <c r="AY36" s="1680"/>
      <c r="AZ36" s="1680"/>
      <c r="BA36" s="1680"/>
      <c r="BB36" s="1680"/>
      <c r="BD36" s="1680" t="s">
        <v>471</v>
      </c>
      <c r="BE36" s="1680"/>
      <c r="BF36" s="1680"/>
      <c r="BG36" s="1680"/>
      <c r="BH36" s="1679" t="s">
        <v>491</v>
      </c>
      <c r="BI36" s="1680"/>
      <c r="BJ36" s="1680"/>
      <c r="BK36" s="1680"/>
      <c r="BL36" s="1680"/>
      <c r="BM36" s="1680"/>
      <c r="BO36" s="1680" t="s">
        <v>471</v>
      </c>
      <c r="BP36" s="1680"/>
      <c r="BQ36" s="1680"/>
      <c r="BR36" s="1680"/>
      <c r="BS36" s="1679" t="s">
        <v>491</v>
      </c>
      <c r="BT36" s="1680"/>
      <c r="BU36" s="1680"/>
      <c r="BV36" s="1680"/>
      <c r="BW36" s="1680"/>
      <c r="BX36" s="1680"/>
      <c r="BZ36" s="1680" t="s">
        <v>471</v>
      </c>
      <c r="CA36" s="1680"/>
      <c r="CB36" s="1680"/>
      <c r="CC36" s="1680"/>
      <c r="CD36" s="1679" t="s">
        <v>491</v>
      </c>
      <c r="CE36" s="1680"/>
      <c r="CF36" s="1680"/>
      <c r="CG36" s="1680"/>
      <c r="CH36" s="1680"/>
      <c r="CI36" s="1680"/>
      <c r="CK36" s="1680" t="s">
        <v>471</v>
      </c>
      <c r="CL36" s="1680"/>
      <c r="CM36" s="1680"/>
      <c r="CN36" s="1680"/>
      <c r="CO36" s="1679" t="s">
        <v>491</v>
      </c>
      <c r="CP36" s="1680"/>
      <c r="CQ36" s="1680"/>
      <c r="CR36" s="1680"/>
      <c r="CS36" s="1680"/>
      <c r="CT36" s="1680"/>
      <c r="CV36" s="1680" t="s">
        <v>471</v>
      </c>
      <c r="CW36" s="1680"/>
      <c r="CX36" s="1680"/>
      <c r="CY36" s="1680"/>
      <c r="CZ36" s="1679" t="s">
        <v>491</v>
      </c>
      <c r="DA36" s="1680"/>
      <c r="DB36" s="1680"/>
      <c r="DC36" s="1680"/>
      <c r="DD36" s="1680"/>
      <c r="DE36" s="1680"/>
      <c r="DG36" s="1680" t="s">
        <v>471</v>
      </c>
      <c r="DH36" s="1680"/>
      <c r="DI36" s="1680"/>
      <c r="DJ36" s="1680"/>
      <c r="DK36" s="1679" t="s">
        <v>491</v>
      </c>
      <c r="DL36" s="1680"/>
      <c r="DM36" s="1680"/>
      <c r="DN36" s="1680"/>
      <c r="DO36" s="1680"/>
      <c r="DP36" s="1680"/>
      <c r="DR36" s="1680" t="s">
        <v>471</v>
      </c>
      <c r="DS36" s="1680"/>
      <c r="DT36" s="1680"/>
      <c r="DU36" s="1680"/>
      <c r="DV36" s="1679" t="s">
        <v>491</v>
      </c>
      <c r="DW36" s="1680"/>
      <c r="DX36" s="1680"/>
      <c r="DY36" s="1680"/>
      <c r="DZ36" s="1680"/>
      <c r="EA36" s="1680"/>
      <c r="EC36" s="1680" t="s">
        <v>471</v>
      </c>
      <c r="ED36" s="1680"/>
      <c r="EE36" s="1680"/>
      <c r="EF36" s="1680"/>
      <c r="EG36" s="1679" t="s">
        <v>479</v>
      </c>
      <c r="EH36" s="1680"/>
      <c r="EI36" s="1680"/>
      <c r="EJ36" s="1680"/>
      <c r="EK36" s="1680"/>
      <c r="EL36" s="1680"/>
      <c r="EN36" s="1680" t="s">
        <v>471</v>
      </c>
      <c r="EO36" s="1680"/>
      <c r="EP36" s="1680"/>
      <c r="EQ36" s="1680"/>
      <c r="ER36" s="1679" t="s">
        <v>479</v>
      </c>
      <c r="ES36" s="1680"/>
      <c r="ET36" s="1680"/>
      <c r="EU36" s="1680"/>
      <c r="EV36" s="1680"/>
      <c r="EW36" s="1680"/>
      <c r="EY36" s="1680" t="s">
        <v>471</v>
      </c>
      <c r="EZ36" s="1680"/>
      <c r="FA36" s="1680"/>
      <c r="FB36" s="1680"/>
      <c r="FC36" s="1679" t="s">
        <v>479</v>
      </c>
      <c r="FD36" s="1680"/>
      <c r="FE36" s="1680"/>
      <c r="FF36" s="1680"/>
      <c r="FG36" s="1680"/>
      <c r="FH36" s="1680"/>
    </row>
    <row r="37" spans="1:164" x14ac:dyDescent="0.3">
      <c r="A37" s="1680"/>
      <c r="B37" s="1680"/>
      <c r="C37" s="1680"/>
      <c r="D37" s="1680"/>
      <c r="E37" s="1686"/>
      <c r="F37" s="1718"/>
      <c r="G37" s="1718"/>
      <c r="H37" s="1718"/>
      <c r="I37" s="1718"/>
      <c r="J37" s="1687"/>
      <c r="L37" s="1676"/>
      <c r="M37" s="1677"/>
      <c r="N37" s="1677"/>
      <c r="O37" s="1678"/>
      <c r="P37" s="1680"/>
      <c r="Q37" s="1680"/>
      <c r="R37" s="1680"/>
      <c r="S37" s="1680"/>
      <c r="T37" s="1680"/>
      <c r="U37" s="1680"/>
      <c r="W37" s="1676"/>
      <c r="X37" s="1677"/>
      <c r="Y37" s="1677"/>
      <c r="Z37" s="1678"/>
      <c r="AA37" s="1680"/>
      <c r="AB37" s="1680"/>
      <c r="AC37" s="1680"/>
      <c r="AD37" s="1680"/>
      <c r="AE37" s="1680"/>
      <c r="AF37" s="1680"/>
      <c r="AH37" s="1680"/>
      <c r="AI37" s="1680"/>
      <c r="AJ37" s="1680"/>
      <c r="AK37" s="1680"/>
      <c r="AL37" s="1680"/>
      <c r="AM37" s="1680"/>
      <c r="AN37" s="1680"/>
      <c r="AO37" s="1680"/>
      <c r="AP37" s="1680"/>
      <c r="AQ37" s="1680"/>
      <c r="AS37" s="1680"/>
      <c r="AT37" s="1680"/>
      <c r="AU37" s="1680"/>
      <c r="AV37" s="1680"/>
      <c r="AW37" s="1680"/>
      <c r="AX37" s="1680"/>
      <c r="AY37" s="1680"/>
      <c r="AZ37" s="1680"/>
      <c r="BA37" s="1680"/>
      <c r="BB37" s="1680"/>
      <c r="BD37" s="1680"/>
      <c r="BE37" s="1680"/>
      <c r="BF37" s="1680"/>
      <c r="BG37" s="1680"/>
      <c r="BH37" s="1680"/>
      <c r="BI37" s="1680"/>
      <c r="BJ37" s="1680"/>
      <c r="BK37" s="1680"/>
      <c r="BL37" s="1680"/>
      <c r="BM37" s="1680"/>
      <c r="BO37" s="1680"/>
      <c r="BP37" s="1680"/>
      <c r="BQ37" s="1680"/>
      <c r="BR37" s="1680"/>
      <c r="BS37" s="1680"/>
      <c r="BT37" s="1680"/>
      <c r="BU37" s="1680"/>
      <c r="BV37" s="1680"/>
      <c r="BW37" s="1680"/>
      <c r="BX37" s="1680"/>
      <c r="BZ37" s="1680"/>
      <c r="CA37" s="1680"/>
      <c r="CB37" s="1680"/>
      <c r="CC37" s="1680"/>
      <c r="CD37" s="1680"/>
      <c r="CE37" s="1680"/>
      <c r="CF37" s="1680"/>
      <c r="CG37" s="1680"/>
      <c r="CH37" s="1680"/>
      <c r="CI37" s="1680"/>
      <c r="CK37" s="1680"/>
      <c r="CL37" s="1680"/>
      <c r="CM37" s="1680"/>
      <c r="CN37" s="1680"/>
      <c r="CO37" s="1680"/>
      <c r="CP37" s="1680"/>
      <c r="CQ37" s="1680"/>
      <c r="CR37" s="1680"/>
      <c r="CS37" s="1680"/>
      <c r="CT37" s="1680"/>
      <c r="CV37" s="1680"/>
      <c r="CW37" s="1680"/>
      <c r="CX37" s="1680"/>
      <c r="CY37" s="1680"/>
      <c r="CZ37" s="1680"/>
      <c r="DA37" s="1680"/>
      <c r="DB37" s="1680"/>
      <c r="DC37" s="1680"/>
      <c r="DD37" s="1680"/>
      <c r="DE37" s="1680"/>
      <c r="DG37" s="1680"/>
      <c r="DH37" s="1680"/>
      <c r="DI37" s="1680"/>
      <c r="DJ37" s="1680"/>
      <c r="DK37" s="1680"/>
      <c r="DL37" s="1680"/>
      <c r="DM37" s="1680"/>
      <c r="DN37" s="1680"/>
      <c r="DO37" s="1680"/>
      <c r="DP37" s="1680"/>
      <c r="DR37" s="1680"/>
      <c r="DS37" s="1680"/>
      <c r="DT37" s="1680"/>
      <c r="DU37" s="1680"/>
      <c r="DV37" s="1680"/>
      <c r="DW37" s="1680"/>
      <c r="DX37" s="1680"/>
      <c r="DY37" s="1680"/>
      <c r="DZ37" s="1680"/>
      <c r="EA37" s="1680"/>
      <c r="EC37" s="1680"/>
      <c r="ED37" s="1680"/>
      <c r="EE37" s="1680"/>
      <c r="EF37" s="1680"/>
      <c r="EG37" s="1680"/>
      <c r="EH37" s="1680"/>
      <c r="EI37" s="1680"/>
      <c r="EJ37" s="1680"/>
      <c r="EK37" s="1680"/>
      <c r="EL37" s="1680"/>
      <c r="EN37" s="1680"/>
      <c r="EO37" s="1680"/>
      <c r="EP37" s="1680"/>
      <c r="EQ37" s="1680"/>
      <c r="ER37" s="1680"/>
      <c r="ES37" s="1680"/>
      <c r="ET37" s="1680"/>
      <c r="EU37" s="1680"/>
      <c r="EV37" s="1680"/>
      <c r="EW37" s="1680"/>
      <c r="EY37" s="1680"/>
      <c r="EZ37" s="1680"/>
      <c r="FA37" s="1680"/>
      <c r="FB37" s="1680"/>
      <c r="FC37" s="1680"/>
      <c r="FD37" s="1680"/>
      <c r="FE37" s="1680"/>
      <c r="FF37" s="1680"/>
      <c r="FG37" s="1680"/>
      <c r="FH37" s="1680"/>
    </row>
    <row r="38" spans="1:164" x14ac:dyDescent="0.3">
      <c r="A38" s="1680"/>
      <c r="B38" s="1680"/>
      <c r="C38" s="1680"/>
      <c r="D38" s="1680"/>
      <c r="E38" s="1686"/>
      <c r="F38" s="1718"/>
      <c r="G38" s="1718"/>
      <c r="H38" s="1718"/>
      <c r="I38" s="1718"/>
      <c r="J38" s="1687"/>
      <c r="L38" s="1676"/>
      <c r="M38" s="1677"/>
      <c r="N38" s="1677"/>
      <c r="O38" s="1678"/>
      <c r="P38" s="1680"/>
      <c r="Q38" s="1680"/>
      <c r="R38" s="1680"/>
      <c r="S38" s="1680"/>
      <c r="T38" s="1680"/>
      <c r="U38" s="1680"/>
      <c r="W38" s="1676"/>
      <c r="X38" s="1677"/>
      <c r="Y38" s="1677"/>
      <c r="Z38" s="1678"/>
      <c r="AA38" s="1680"/>
      <c r="AB38" s="1680"/>
      <c r="AC38" s="1680"/>
      <c r="AD38" s="1680"/>
      <c r="AE38" s="1680"/>
      <c r="AF38" s="1680"/>
      <c r="AH38" s="1680"/>
      <c r="AI38" s="1680"/>
      <c r="AJ38" s="1680"/>
      <c r="AK38" s="1680"/>
      <c r="AL38" s="1680"/>
      <c r="AM38" s="1680"/>
      <c r="AN38" s="1680"/>
      <c r="AO38" s="1680"/>
      <c r="AP38" s="1680"/>
      <c r="AQ38" s="1680"/>
      <c r="AS38" s="1680"/>
      <c r="AT38" s="1680"/>
      <c r="AU38" s="1680"/>
      <c r="AV38" s="1680"/>
      <c r="AW38" s="1680"/>
      <c r="AX38" s="1680"/>
      <c r="AY38" s="1680"/>
      <c r="AZ38" s="1680"/>
      <c r="BA38" s="1680"/>
      <c r="BB38" s="1680"/>
      <c r="BD38" s="1680"/>
      <c r="BE38" s="1680"/>
      <c r="BF38" s="1680"/>
      <c r="BG38" s="1680"/>
      <c r="BH38" s="1680"/>
      <c r="BI38" s="1680"/>
      <c r="BJ38" s="1680"/>
      <c r="BK38" s="1680"/>
      <c r="BL38" s="1680"/>
      <c r="BM38" s="1680"/>
      <c r="BO38" s="1680"/>
      <c r="BP38" s="1680"/>
      <c r="BQ38" s="1680"/>
      <c r="BR38" s="1680"/>
      <c r="BS38" s="1680"/>
      <c r="BT38" s="1680"/>
      <c r="BU38" s="1680"/>
      <c r="BV38" s="1680"/>
      <c r="BW38" s="1680"/>
      <c r="BX38" s="1680"/>
      <c r="BZ38" s="1680"/>
      <c r="CA38" s="1680"/>
      <c r="CB38" s="1680"/>
      <c r="CC38" s="1680"/>
      <c r="CD38" s="1680"/>
      <c r="CE38" s="1680"/>
      <c r="CF38" s="1680"/>
      <c r="CG38" s="1680"/>
      <c r="CH38" s="1680"/>
      <c r="CI38" s="1680"/>
      <c r="CK38" s="1680"/>
      <c r="CL38" s="1680"/>
      <c r="CM38" s="1680"/>
      <c r="CN38" s="1680"/>
      <c r="CO38" s="1680"/>
      <c r="CP38" s="1680"/>
      <c r="CQ38" s="1680"/>
      <c r="CR38" s="1680"/>
      <c r="CS38" s="1680"/>
      <c r="CT38" s="1680"/>
      <c r="CV38" s="1680"/>
      <c r="CW38" s="1680"/>
      <c r="CX38" s="1680"/>
      <c r="CY38" s="1680"/>
      <c r="CZ38" s="1680"/>
      <c r="DA38" s="1680"/>
      <c r="DB38" s="1680"/>
      <c r="DC38" s="1680"/>
      <c r="DD38" s="1680"/>
      <c r="DE38" s="1680"/>
      <c r="DG38" s="1680"/>
      <c r="DH38" s="1680"/>
      <c r="DI38" s="1680"/>
      <c r="DJ38" s="1680"/>
      <c r="DK38" s="1680"/>
      <c r="DL38" s="1680"/>
      <c r="DM38" s="1680"/>
      <c r="DN38" s="1680"/>
      <c r="DO38" s="1680"/>
      <c r="DP38" s="1680"/>
      <c r="DR38" s="1680"/>
      <c r="DS38" s="1680"/>
      <c r="DT38" s="1680"/>
      <c r="DU38" s="1680"/>
      <c r="DV38" s="1680"/>
      <c r="DW38" s="1680"/>
      <c r="DX38" s="1680"/>
      <c r="DY38" s="1680"/>
      <c r="DZ38" s="1680"/>
      <c r="EA38" s="1680"/>
      <c r="EC38" s="1680"/>
      <c r="ED38" s="1680"/>
      <c r="EE38" s="1680"/>
      <c r="EF38" s="1680"/>
      <c r="EG38" s="1680"/>
      <c r="EH38" s="1680"/>
      <c r="EI38" s="1680"/>
      <c r="EJ38" s="1680"/>
      <c r="EK38" s="1680"/>
      <c r="EL38" s="1680"/>
      <c r="EN38" s="1680"/>
      <c r="EO38" s="1680"/>
      <c r="EP38" s="1680"/>
      <c r="EQ38" s="1680"/>
      <c r="ER38" s="1680"/>
      <c r="ES38" s="1680"/>
      <c r="ET38" s="1680"/>
      <c r="EU38" s="1680"/>
      <c r="EV38" s="1680"/>
      <c r="EW38" s="1680"/>
      <c r="EY38" s="1680"/>
      <c r="EZ38" s="1680"/>
      <c r="FA38" s="1680"/>
      <c r="FB38" s="1680"/>
      <c r="FC38" s="1680"/>
      <c r="FD38" s="1680"/>
      <c r="FE38" s="1680"/>
      <c r="FF38" s="1680"/>
      <c r="FG38" s="1680"/>
      <c r="FH38" s="1680"/>
    </row>
    <row r="39" spans="1:164" x14ac:dyDescent="0.3">
      <c r="A39" s="1680"/>
      <c r="B39" s="1680"/>
      <c r="C39" s="1680"/>
      <c r="D39" s="1680"/>
      <c r="E39" s="1683"/>
      <c r="F39" s="1719"/>
      <c r="G39" s="1719"/>
      <c r="H39" s="1719"/>
      <c r="I39" s="1719"/>
      <c r="J39" s="1684"/>
      <c r="L39" s="1674"/>
      <c r="M39" s="1652"/>
      <c r="N39" s="1652"/>
      <c r="O39" s="1675"/>
      <c r="P39" s="1680"/>
      <c r="Q39" s="1680"/>
      <c r="R39" s="1680"/>
      <c r="S39" s="1680"/>
      <c r="T39" s="1680"/>
      <c r="U39" s="1680"/>
      <c r="W39" s="1674"/>
      <c r="X39" s="1652"/>
      <c r="Y39" s="1652"/>
      <c r="Z39" s="1675"/>
      <c r="AA39" s="1680"/>
      <c r="AB39" s="1680"/>
      <c r="AC39" s="1680"/>
      <c r="AD39" s="1680"/>
      <c r="AE39" s="1680"/>
      <c r="AF39" s="1680"/>
      <c r="AH39" s="1680"/>
      <c r="AI39" s="1680"/>
      <c r="AJ39" s="1680"/>
      <c r="AK39" s="1680"/>
      <c r="AL39" s="1680"/>
      <c r="AM39" s="1680"/>
      <c r="AN39" s="1680"/>
      <c r="AO39" s="1680"/>
      <c r="AP39" s="1680"/>
      <c r="AQ39" s="1680"/>
      <c r="AS39" s="1680"/>
      <c r="AT39" s="1680"/>
      <c r="AU39" s="1680"/>
      <c r="AV39" s="1680"/>
      <c r="AW39" s="1680"/>
      <c r="AX39" s="1680"/>
      <c r="AY39" s="1680"/>
      <c r="AZ39" s="1680"/>
      <c r="BA39" s="1680"/>
      <c r="BB39" s="1680"/>
      <c r="BD39" s="1680"/>
      <c r="BE39" s="1680"/>
      <c r="BF39" s="1680"/>
      <c r="BG39" s="1680"/>
      <c r="BH39" s="1680"/>
      <c r="BI39" s="1680"/>
      <c r="BJ39" s="1680"/>
      <c r="BK39" s="1680"/>
      <c r="BL39" s="1680"/>
      <c r="BM39" s="1680"/>
      <c r="BO39" s="1680"/>
      <c r="BP39" s="1680"/>
      <c r="BQ39" s="1680"/>
      <c r="BR39" s="1680"/>
      <c r="BS39" s="1680"/>
      <c r="BT39" s="1680"/>
      <c r="BU39" s="1680"/>
      <c r="BV39" s="1680"/>
      <c r="BW39" s="1680"/>
      <c r="BX39" s="1680"/>
      <c r="BZ39" s="1680"/>
      <c r="CA39" s="1680"/>
      <c r="CB39" s="1680"/>
      <c r="CC39" s="1680"/>
      <c r="CD39" s="1680"/>
      <c r="CE39" s="1680"/>
      <c r="CF39" s="1680"/>
      <c r="CG39" s="1680"/>
      <c r="CH39" s="1680"/>
      <c r="CI39" s="1680"/>
      <c r="CK39" s="1680"/>
      <c r="CL39" s="1680"/>
      <c r="CM39" s="1680"/>
      <c r="CN39" s="1680"/>
      <c r="CO39" s="1680"/>
      <c r="CP39" s="1680"/>
      <c r="CQ39" s="1680"/>
      <c r="CR39" s="1680"/>
      <c r="CS39" s="1680"/>
      <c r="CT39" s="1680"/>
      <c r="CV39" s="1680"/>
      <c r="CW39" s="1680"/>
      <c r="CX39" s="1680"/>
      <c r="CY39" s="1680"/>
      <c r="CZ39" s="1680"/>
      <c r="DA39" s="1680"/>
      <c r="DB39" s="1680"/>
      <c r="DC39" s="1680"/>
      <c r="DD39" s="1680"/>
      <c r="DE39" s="1680"/>
      <c r="DG39" s="1680"/>
      <c r="DH39" s="1680"/>
      <c r="DI39" s="1680"/>
      <c r="DJ39" s="1680"/>
      <c r="DK39" s="1680"/>
      <c r="DL39" s="1680"/>
      <c r="DM39" s="1680"/>
      <c r="DN39" s="1680"/>
      <c r="DO39" s="1680"/>
      <c r="DP39" s="1680"/>
      <c r="DR39" s="1680"/>
      <c r="DS39" s="1680"/>
      <c r="DT39" s="1680"/>
      <c r="DU39" s="1680"/>
      <c r="DV39" s="1680"/>
      <c r="DW39" s="1680"/>
      <c r="DX39" s="1680"/>
      <c r="DY39" s="1680"/>
      <c r="DZ39" s="1680"/>
      <c r="EA39" s="1680"/>
      <c r="EC39" s="1680"/>
      <c r="ED39" s="1680"/>
      <c r="EE39" s="1680"/>
      <c r="EF39" s="1680"/>
      <c r="EG39" s="1680"/>
      <c r="EH39" s="1680"/>
      <c r="EI39" s="1680"/>
      <c r="EJ39" s="1680"/>
      <c r="EK39" s="1680"/>
      <c r="EL39" s="1680"/>
      <c r="EN39" s="1680"/>
      <c r="EO39" s="1680"/>
      <c r="EP39" s="1680"/>
      <c r="EQ39" s="1680"/>
      <c r="ER39" s="1680"/>
      <c r="ES39" s="1680"/>
      <c r="ET39" s="1680"/>
      <c r="EU39" s="1680"/>
      <c r="EV39" s="1680"/>
      <c r="EW39" s="1680"/>
      <c r="EY39" s="1680"/>
      <c r="EZ39" s="1680"/>
      <c r="FA39" s="1680"/>
      <c r="FB39" s="1680"/>
      <c r="FC39" s="1680"/>
      <c r="FD39" s="1680"/>
      <c r="FE39" s="1680"/>
      <c r="FF39" s="1680"/>
      <c r="FG39" s="1680"/>
      <c r="FH39" s="1680"/>
    </row>
    <row r="40" spans="1:164" ht="19.5" customHeight="1" x14ac:dyDescent="0.3">
      <c r="A40" s="1520"/>
      <c r="B40" s="1520"/>
      <c r="C40" s="1520"/>
      <c r="D40" s="1520"/>
      <c r="E40" s="1520"/>
      <c r="F40" s="1520"/>
      <c r="G40" s="1520"/>
      <c r="H40" s="1520"/>
      <c r="I40" s="1520"/>
      <c r="J40" s="1520"/>
      <c r="L40" s="1520"/>
      <c r="M40" s="1520"/>
      <c r="N40" s="1520"/>
      <c r="O40" s="1520"/>
      <c r="P40" s="1520"/>
      <c r="Q40" s="1520"/>
      <c r="R40" s="1520"/>
      <c r="S40" s="1520"/>
      <c r="T40" s="1520"/>
      <c r="U40" s="1520"/>
      <c r="W40" s="1520"/>
      <c r="X40" s="1520"/>
      <c r="Y40" s="1520"/>
      <c r="Z40" s="1520"/>
      <c r="AA40" s="1520"/>
      <c r="AB40" s="1520"/>
      <c r="AC40" s="1520"/>
      <c r="AD40" s="1520"/>
      <c r="AE40" s="1520"/>
      <c r="AF40" s="1520"/>
      <c r="AH40" s="1651"/>
      <c r="AI40" s="1651"/>
      <c r="AJ40" s="1651"/>
      <c r="AK40" s="1651"/>
      <c r="AL40" s="1651"/>
      <c r="AM40" s="1651"/>
      <c r="AN40" s="1651"/>
      <c r="AO40" s="1651"/>
      <c r="AP40" s="1651"/>
      <c r="AQ40" s="1651"/>
      <c r="AS40" s="1520" t="s">
        <v>581</v>
      </c>
      <c r="AT40" s="1520"/>
      <c r="AU40" s="1520"/>
      <c r="AV40" s="1520"/>
      <c r="AW40" s="1520"/>
      <c r="AX40" s="1520"/>
      <c r="AY40" s="1520"/>
      <c r="AZ40" s="1520"/>
      <c r="BA40" s="1520"/>
      <c r="BB40" s="1520"/>
      <c r="BD40" s="1520"/>
      <c r="BE40" s="1520"/>
      <c r="BF40" s="1520"/>
      <c r="BG40" s="1520"/>
      <c r="BH40" s="1520"/>
      <c r="BI40" s="1520"/>
      <c r="BJ40" s="1520"/>
      <c r="BK40" s="1520"/>
      <c r="BL40" s="1520"/>
      <c r="BM40" s="1520"/>
      <c r="BO40" s="1520" t="s">
        <v>581</v>
      </c>
      <c r="BP40" s="1520"/>
      <c r="BQ40" s="1520"/>
      <c r="BR40" s="1520"/>
      <c r="BS40" s="1520"/>
      <c r="BT40" s="1520"/>
      <c r="BU40" s="1520"/>
      <c r="BV40" s="1520"/>
      <c r="BW40" s="1520"/>
      <c r="BX40" s="1520"/>
      <c r="BZ40" s="1520"/>
      <c r="CA40" s="1520"/>
      <c r="CB40" s="1520"/>
      <c r="CC40" s="1520"/>
      <c r="CD40" s="1520"/>
      <c r="CE40" s="1520"/>
      <c r="CF40" s="1520"/>
      <c r="CG40" s="1520"/>
      <c r="CH40" s="1520"/>
      <c r="CI40" s="1520"/>
      <c r="CK40" s="1520"/>
      <c r="CL40" s="1520"/>
      <c r="CM40" s="1520"/>
      <c r="CN40" s="1520"/>
      <c r="CO40" s="1520"/>
      <c r="CP40" s="1520"/>
      <c r="CQ40" s="1520"/>
      <c r="CR40" s="1520"/>
      <c r="CS40" s="1520"/>
      <c r="CT40" s="1520"/>
      <c r="CV40" s="1520" t="s">
        <v>581</v>
      </c>
      <c r="CW40" s="1520"/>
      <c r="CX40" s="1520"/>
      <c r="CY40" s="1520"/>
      <c r="CZ40" s="1520"/>
      <c r="DA40" s="1520"/>
      <c r="DB40" s="1520"/>
      <c r="DC40" s="1520"/>
      <c r="DD40" s="1520"/>
      <c r="DE40" s="1520"/>
      <c r="DG40" s="1520"/>
      <c r="DH40" s="1520"/>
      <c r="DI40" s="1520"/>
      <c r="DJ40" s="1520"/>
      <c r="DK40" s="1520"/>
      <c r="DL40" s="1520"/>
      <c r="DM40" s="1520"/>
      <c r="DN40" s="1520"/>
      <c r="DO40" s="1520"/>
      <c r="DP40" s="1520"/>
      <c r="DR40" s="1520" t="s">
        <v>581</v>
      </c>
      <c r="DS40" s="1520"/>
      <c r="DT40" s="1520"/>
      <c r="DU40" s="1520"/>
      <c r="DV40" s="1520"/>
      <c r="DW40" s="1520"/>
      <c r="DX40" s="1520"/>
      <c r="DY40" s="1520"/>
      <c r="DZ40" s="1520"/>
      <c r="EA40" s="1520"/>
    </row>
    <row r="41" spans="1:164" ht="19.8" x14ac:dyDescent="0.3">
      <c r="A41" s="827"/>
      <c r="B41" s="827"/>
      <c r="C41" s="827"/>
      <c r="D41" s="827"/>
      <c r="E41" s="827"/>
      <c r="F41" s="827"/>
      <c r="G41" s="827"/>
      <c r="H41" s="827"/>
      <c r="I41" s="827"/>
      <c r="J41" s="827"/>
      <c r="AS41" s="1145" t="s">
        <v>582</v>
      </c>
      <c r="BO41" s="1145" t="s">
        <v>582</v>
      </c>
      <c r="CV41" s="1145" t="s">
        <v>582</v>
      </c>
      <c r="DR41" s="1145" t="s">
        <v>582</v>
      </c>
    </row>
    <row r="42" spans="1:164" x14ac:dyDescent="0.3">
      <c r="A42" s="827" t="s">
        <v>473</v>
      </c>
      <c r="B42" s="827"/>
      <c r="C42" s="827"/>
      <c r="D42" s="827"/>
      <c r="E42" s="1652"/>
      <c r="F42" s="1652"/>
      <c r="G42" s="1652"/>
      <c r="H42" s="1652"/>
      <c r="I42" s="827"/>
      <c r="J42" s="827"/>
      <c r="L42" s="827" t="s">
        <v>473</v>
      </c>
      <c r="P42" s="1652"/>
      <c r="Q42" s="1652"/>
      <c r="R42" s="1652"/>
      <c r="S42" s="1652"/>
      <c r="W42" s="827" t="s">
        <v>473</v>
      </c>
      <c r="AA42" s="1652"/>
      <c r="AB42" s="1652"/>
      <c r="AC42" s="1652"/>
      <c r="AD42" s="1652"/>
      <c r="AH42" s="827" t="s">
        <v>473</v>
      </c>
      <c r="AL42" s="1652"/>
      <c r="AM42" s="1652"/>
      <c r="AN42" s="1652"/>
      <c r="AO42" s="1652"/>
      <c r="AS42" s="827" t="s">
        <v>473</v>
      </c>
      <c r="AW42" s="1652"/>
      <c r="AX42" s="1652"/>
      <c r="AY42" s="1652"/>
      <c r="AZ42" s="1652"/>
      <c r="BD42" s="827" t="s">
        <v>473</v>
      </c>
      <c r="BH42" s="1652"/>
      <c r="BI42" s="1652"/>
      <c r="BJ42" s="1652"/>
      <c r="BK42" s="1652"/>
      <c r="BO42" s="827" t="s">
        <v>473</v>
      </c>
      <c r="BS42" s="1652"/>
      <c r="BT42" s="1652"/>
      <c r="BU42" s="1652"/>
      <c r="BV42" s="1652"/>
      <c r="BZ42" s="827" t="s">
        <v>473</v>
      </c>
      <c r="CD42" s="1652"/>
      <c r="CE42" s="1652"/>
      <c r="CF42" s="1652"/>
      <c r="CG42" s="1652"/>
      <c r="CK42" s="827" t="s">
        <v>473</v>
      </c>
      <c r="CO42" s="1652"/>
      <c r="CP42" s="1652"/>
      <c r="CQ42" s="1652"/>
      <c r="CR42" s="1652"/>
      <c r="CV42" s="827" t="s">
        <v>473</v>
      </c>
      <c r="CZ42" s="1652"/>
      <c r="DA42" s="1652"/>
      <c r="DB42" s="1652"/>
      <c r="DC42" s="1652"/>
      <c r="DG42" s="827" t="s">
        <v>473</v>
      </c>
      <c r="DK42" s="1652"/>
      <c r="DL42" s="1652"/>
      <c r="DM42" s="1652"/>
      <c r="DN42" s="1652"/>
      <c r="DR42" s="827" t="s">
        <v>473</v>
      </c>
      <c r="DV42" s="1652"/>
      <c r="DW42" s="1652"/>
      <c r="DX42" s="1652"/>
      <c r="DY42" s="1652"/>
      <c r="EC42" s="827" t="s">
        <v>473</v>
      </c>
      <c r="EG42" s="1652"/>
      <c r="EH42" s="1652"/>
      <c r="EI42" s="1652"/>
      <c r="EJ42" s="1652"/>
      <c r="EN42" s="827" t="s">
        <v>473</v>
      </c>
      <c r="ER42" s="1652"/>
      <c r="ES42" s="1652"/>
      <c r="ET42" s="1652"/>
      <c r="EU42" s="1652"/>
      <c r="EY42" s="827" t="s">
        <v>473</v>
      </c>
      <c r="FC42" s="1652"/>
      <c r="FD42" s="1652"/>
      <c r="FE42" s="1652"/>
      <c r="FF42" s="1652"/>
    </row>
    <row r="43" spans="1:164" x14ac:dyDescent="0.3">
      <c r="A43" s="827"/>
      <c r="B43" s="827"/>
      <c r="C43" s="827"/>
      <c r="D43" s="827"/>
      <c r="E43" s="827"/>
      <c r="F43" s="827"/>
      <c r="G43" s="827"/>
      <c r="H43" s="827"/>
      <c r="I43" s="827"/>
      <c r="J43" s="827"/>
    </row>
    <row r="44" spans="1:164" x14ac:dyDescent="0.3">
      <c r="A44" s="827" t="s">
        <v>474</v>
      </c>
      <c r="B44" s="827"/>
      <c r="C44" s="827"/>
      <c r="D44" s="827"/>
      <c r="E44" s="1652"/>
      <c r="F44" s="1652"/>
      <c r="G44" s="1652"/>
      <c r="H44" s="1652"/>
      <c r="I44" s="827"/>
      <c r="J44" s="827"/>
      <c r="L44" s="827" t="s">
        <v>474</v>
      </c>
      <c r="P44" s="1652"/>
      <c r="Q44" s="1652"/>
      <c r="R44" s="1652"/>
      <c r="S44" s="1652"/>
      <c r="W44" s="827" t="s">
        <v>474</v>
      </c>
      <c r="AA44" s="1652"/>
      <c r="AB44" s="1652"/>
      <c r="AC44" s="1652"/>
      <c r="AD44" s="1652"/>
      <c r="AH44" s="827" t="s">
        <v>474</v>
      </c>
      <c r="AL44" s="1652"/>
      <c r="AM44" s="1652"/>
      <c r="AN44" s="1652"/>
      <c r="AO44" s="1652"/>
      <c r="AS44" s="827" t="s">
        <v>474</v>
      </c>
      <c r="AW44" s="1652"/>
      <c r="AX44" s="1652"/>
      <c r="AY44" s="1652"/>
      <c r="AZ44" s="1652"/>
      <c r="BD44" s="827" t="s">
        <v>474</v>
      </c>
      <c r="BH44" s="1652"/>
      <c r="BI44" s="1652"/>
      <c r="BJ44" s="1652"/>
      <c r="BK44" s="1652"/>
      <c r="BO44" s="827" t="s">
        <v>474</v>
      </c>
      <c r="BS44" s="1652"/>
      <c r="BT44" s="1652"/>
      <c r="BU44" s="1652"/>
      <c r="BV44" s="1652"/>
      <c r="BZ44" s="827" t="s">
        <v>474</v>
      </c>
      <c r="CD44" s="1652"/>
      <c r="CE44" s="1652"/>
      <c r="CF44" s="1652"/>
      <c r="CG44" s="1652"/>
      <c r="CK44" s="827" t="s">
        <v>474</v>
      </c>
      <c r="CO44" s="1652"/>
      <c r="CP44" s="1652"/>
      <c r="CQ44" s="1652"/>
      <c r="CR44" s="1652"/>
      <c r="CV44" s="827" t="s">
        <v>474</v>
      </c>
      <c r="CZ44" s="1652"/>
      <c r="DA44" s="1652"/>
      <c r="DB44" s="1652"/>
      <c r="DC44" s="1652"/>
      <c r="DG44" s="827" t="s">
        <v>474</v>
      </c>
      <c r="DK44" s="1652"/>
      <c r="DL44" s="1652"/>
      <c r="DM44" s="1652"/>
      <c r="DN44" s="1652"/>
      <c r="DR44" s="827" t="s">
        <v>474</v>
      </c>
      <c r="DV44" s="1652"/>
      <c r="DW44" s="1652"/>
      <c r="DX44" s="1652"/>
      <c r="DY44" s="1652"/>
      <c r="EC44" s="827" t="s">
        <v>474</v>
      </c>
      <c r="EG44" s="1652"/>
      <c r="EH44" s="1652"/>
      <c r="EI44" s="1652"/>
      <c r="EJ44" s="1652"/>
      <c r="EN44" s="827" t="s">
        <v>474</v>
      </c>
      <c r="ER44" s="1652"/>
      <c r="ES44" s="1652"/>
      <c r="ET44" s="1652"/>
      <c r="EU44" s="1652"/>
      <c r="EY44" s="827" t="s">
        <v>474</v>
      </c>
      <c r="FC44" s="1652"/>
      <c r="FD44" s="1652"/>
      <c r="FE44" s="1652"/>
      <c r="FF44" s="1652"/>
    </row>
  </sheetData>
  <mergeCells count="797">
    <mergeCell ref="A36:D39"/>
    <mergeCell ref="E36:J39"/>
    <mergeCell ref="C24:D25"/>
    <mergeCell ref="E24:H25"/>
    <mergeCell ref="I24:J25"/>
    <mergeCell ref="C26:D32"/>
    <mergeCell ref="E26:H32"/>
    <mergeCell ref="I26:J32"/>
    <mergeCell ref="C22:D22"/>
    <mergeCell ref="E22:H22"/>
    <mergeCell ref="I22:J22"/>
    <mergeCell ref="C23:D23"/>
    <mergeCell ref="E23:H23"/>
    <mergeCell ref="I23:J23"/>
    <mergeCell ref="A17:B33"/>
    <mergeCell ref="C17:D18"/>
    <mergeCell ref="E17:H18"/>
    <mergeCell ref="I17:J18"/>
    <mergeCell ref="C19:D20"/>
    <mergeCell ref="E19:H20"/>
    <mergeCell ref="I19:J20"/>
    <mergeCell ref="C21:D21"/>
    <mergeCell ref="E21:H21"/>
    <mergeCell ref="I21:J21"/>
    <mergeCell ref="W17:X33"/>
    <mergeCell ref="A34:D35"/>
    <mergeCell ref="C33:D33"/>
    <mergeCell ref="E33:J33"/>
    <mergeCell ref="A9:B16"/>
    <mergeCell ref="C9:D9"/>
    <mergeCell ref="E9:H9"/>
    <mergeCell ref="E10:H10"/>
    <mergeCell ref="E11:H11"/>
    <mergeCell ref="C12:D13"/>
    <mergeCell ref="E12:H13"/>
    <mergeCell ref="I12:I13"/>
    <mergeCell ref="E16:J16"/>
    <mergeCell ref="L17:M33"/>
    <mergeCell ref="N17:O18"/>
    <mergeCell ref="P17:S18"/>
    <mergeCell ref="T17:U18"/>
    <mergeCell ref="N19:O20"/>
    <mergeCell ref="P19:S20"/>
    <mergeCell ref="T19:U20"/>
    <mergeCell ref="N21:O21"/>
    <mergeCell ref="P21:S21"/>
    <mergeCell ref="T21:U21"/>
    <mergeCell ref="N22:O22"/>
    <mergeCell ref="W5:Z5"/>
    <mergeCell ref="AD7:AE7"/>
    <mergeCell ref="W9:X16"/>
    <mergeCell ref="J12:J13"/>
    <mergeCell ref="A2:J2"/>
    <mergeCell ref="A3:D3"/>
    <mergeCell ref="E3:J3"/>
    <mergeCell ref="A4:D4"/>
    <mergeCell ref="E4:J4"/>
    <mergeCell ref="A5:D5"/>
    <mergeCell ref="C14:D14"/>
    <mergeCell ref="E14:H14"/>
    <mergeCell ref="I14:J14"/>
    <mergeCell ref="C15:D15"/>
    <mergeCell ref="E15:H15"/>
    <mergeCell ref="I15:J15"/>
    <mergeCell ref="H7:I7"/>
    <mergeCell ref="AE12:AE13"/>
    <mergeCell ref="AA16:AF16"/>
    <mergeCell ref="Y14:Z14"/>
    <mergeCell ref="AA14:AD14"/>
    <mergeCell ref="L2:U2"/>
    <mergeCell ref="L3:O3"/>
    <mergeCell ref="P3:U3"/>
    <mergeCell ref="AH2:AQ2"/>
    <mergeCell ref="AH3:AK3"/>
    <mergeCell ref="AL3:AQ3"/>
    <mergeCell ref="AH4:AK4"/>
    <mergeCell ref="AL4:AQ4"/>
    <mergeCell ref="AH5:AK5"/>
    <mergeCell ref="AH9:AI16"/>
    <mergeCell ref="AA44:AD44"/>
    <mergeCell ref="W36:Z39"/>
    <mergeCell ref="W34:Z35"/>
    <mergeCell ref="Y24:Z25"/>
    <mergeCell ref="Y23:Z23"/>
    <mergeCell ref="Y21:Z21"/>
    <mergeCell ref="AA33:AF33"/>
    <mergeCell ref="AA34:AF35"/>
    <mergeCell ref="AA36:AF39"/>
    <mergeCell ref="AA42:AD42"/>
    <mergeCell ref="Y17:Z18"/>
    <mergeCell ref="AA17:AD18"/>
    <mergeCell ref="W2:AF2"/>
    <mergeCell ref="W3:Z3"/>
    <mergeCell ref="AA3:AF3"/>
    <mergeCell ref="W4:Z4"/>
    <mergeCell ref="AA4:AF4"/>
    <mergeCell ref="AO7:AP7"/>
    <mergeCell ref="AJ9:AK9"/>
    <mergeCell ref="AL9:AO9"/>
    <mergeCell ref="AL10:AO10"/>
    <mergeCell ref="AL11:AO11"/>
    <mergeCell ref="AJ12:AK13"/>
    <mergeCell ref="AL12:AO13"/>
    <mergeCell ref="AP12:AP13"/>
    <mergeCell ref="AE17:AF18"/>
    <mergeCell ref="AL15:AO15"/>
    <mergeCell ref="AP15:AQ15"/>
    <mergeCell ref="AL16:AQ16"/>
    <mergeCell ref="AJ17:AK18"/>
    <mergeCell ref="AL17:AO18"/>
    <mergeCell ref="AP17:AQ18"/>
    <mergeCell ref="AE15:AF15"/>
    <mergeCell ref="AE14:AF14"/>
    <mergeCell ref="AJ14:AK14"/>
    <mergeCell ref="AL14:AO14"/>
    <mergeCell ref="AF12:AF13"/>
    <mergeCell ref="AL44:AO44"/>
    <mergeCell ref="AH17:AI33"/>
    <mergeCell ref="AJ33:AK33"/>
    <mergeCell ref="AL33:AQ33"/>
    <mergeCell ref="AH34:AK35"/>
    <mergeCell ref="AL34:AQ35"/>
    <mergeCell ref="AJ24:AK25"/>
    <mergeCell ref="AL24:AO25"/>
    <mergeCell ref="AP24:AQ25"/>
    <mergeCell ref="AJ26:AK32"/>
    <mergeCell ref="AL26:AO32"/>
    <mergeCell ref="AP26:AQ32"/>
    <mergeCell ref="AL19:AO20"/>
    <mergeCell ref="AP19:AQ20"/>
    <mergeCell ref="AJ23:AK23"/>
    <mergeCell ref="AL23:AO23"/>
    <mergeCell ref="AH36:AK39"/>
    <mergeCell ref="AL36:AQ39"/>
    <mergeCell ref="AZ7:BA7"/>
    <mergeCell ref="AU9:AV9"/>
    <mergeCell ref="AW9:AZ9"/>
    <mergeCell ref="AW10:AZ10"/>
    <mergeCell ref="AW11:AZ11"/>
    <mergeCell ref="AU12:AV13"/>
    <mergeCell ref="AW12:AZ13"/>
    <mergeCell ref="BA12:BA13"/>
    <mergeCell ref="AS2:BB2"/>
    <mergeCell ref="AS3:AV3"/>
    <mergeCell ref="AW3:BB3"/>
    <mergeCell ref="AS4:AV4"/>
    <mergeCell ref="AW4:BB4"/>
    <mergeCell ref="AS5:AV5"/>
    <mergeCell ref="AS9:AT16"/>
    <mergeCell ref="AW16:BB16"/>
    <mergeCell ref="AW44:AZ44"/>
    <mergeCell ref="AU19:AV20"/>
    <mergeCell ref="AW19:AZ20"/>
    <mergeCell ref="BA19:BB20"/>
    <mergeCell ref="AU21:AV21"/>
    <mergeCell ref="AW21:AZ21"/>
    <mergeCell ref="BA21:BB21"/>
    <mergeCell ref="AS17:AT33"/>
    <mergeCell ref="AU17:AV18"/>
    <mergeCell ref="AW17:AZ18"/>
    <mergeCell ref="BA17:BB18"/>
    <mergeCell ref="AU26:AV32"/>
    <mergeCell ref="AW26:AZ32"/>
    <mergeCell ref="BA26:BB32"/>
    <mergeCell ref="AU33:AV33"/>
    <mergeCell ref="AW33:BB33"/>
    <mergeCell ref="AS34:AV35"/>
    <mergeCell ref="AW34:BB35"/>
    <mergeCell ref="AU23:AV23"/>
    <mergeCell ref="AW23:AZ23"/>
    <mergeCell ref="BA23:BB23"/>
    <mergeCell ref="AU24:AV25"/>
    <mergeCell ref="AW24:AZ25"/>
    <mergeCell ref="BA24:BB25"/>
    <mergeCell ref="AW42:AZ42"/>
    <mergeCell ref="AU22:AV22"/>
    <mergeCell ref="AW22:AZ22"/>
    <mergeCell ref="BA22:BB22"/>
    <mergeCell ref="BB12:BB13"/>
    <mergeCell ref="AU15:AV15"/>
    <mergeCell ref="AW15:AZ15"/>
    <mergeCell ref="BA15:BB15"/>
    <mergeCell ref="AU14:AV14"/>
    <mergeCell ref="AW14:AZ14"/>
    <mergeCell ref="AS36:AV39"/>
    <mergeCell ref="AW36:BB39"/>
    <mergeCell ref="BH17:BK18"/>
    <mergeCell ref="BL17:BM18"/>
    <mergeCell ref="BF19:BG20"/>
    <mergeCell ref="BH19:BK20"/>
    <mergeCell ref="BL19:BM20"/>
    <mergeCell ref="AL42:AO42"/>
    <mergeCell ref="AQ12:AQ13"/>
    <mergeCell ref="AJ15:AK15"/>
    <mergeCell ref="Y9:Z9"/>
    <mergeCell ref="AA9:AD9"/>
    <mergeCell ref="AA10:AD10"/>
    <mergeCell ref="AA11:AD11"/>
    <mergeCell ref="Y12:Z13"/>
    <mergeCell ref="AA12:AD13"/>
    <mergeCell ref="AP14:AQ14"/>
    <mergeCell ref="Y19:Z20"/>
    <mergeCell ref="AA19:AD20"/>
    <mergeCell ref="Y26:Z32"/>
    <mergeCell ref="AA26:AD32"/>
    <mergeCell ref="AJ19:AK20"/>
    <mergeCell ref="Y15:Z15"/>
    <mergeCell ref="AA15:AD15"/>
    <mergeCell ref="AE23:AF23"/>
    <mergeCell ref="Y22:Z22"/>
    <mergeCell ref="AE24:AF25"/>
    <mergeCell ref="AE26:AF32"/>
    <mergeCell ref="Y33:Z33"/>
    <mergeCell ref="AE22:AF22"/>
    <mergeCell ref="AA23:AD23"/>
    <mergeCell ref="BF22:BG22"/>
    <mergeCell ref="BF23:BG23"/>
    <mergeCell ref="BD17:BE33"/>
    <mergeCell ref="BF17:BG18"/>
    <mergeCell ref="AA22:AD22"/>
    <mergeCell ref="AE19:AF20"/>
    <mergeCell ref="AA21:AD21"/>
    <mergeCell ref="AE21:AF21"/>
    <mergeCell ref="AA24:AD25"/>
    <mergeCell ref="BF21:BG21"/>
    <mergeCell ref="AP21:AQ23"/>
    <mergeCell ref="AL21:AO22"/>
    <mergeCell ref="AJ21:AK21"/>
    <mergeCell ref="AJ22:AK22"/>
    <mergeCell ref="BK7:BL7"/>
    <mergeCell ref="BD9:BE16"/>
    <mergeCell ref="BF9:BG9"/>
    <mergeCell ref="BH9:BK9"/>
    <mergeCell ref="BH10:BK10"/>
    <mergeCell ref="BH11:BK11"/>
    <mergeCell ref="BF12:BG13"/>
    <mergeCell ref="BH12:BK13"/>
    <mergeCell ref="BL12:BL13"/>
    <mergeCell ref="BH16:BM16"/>
    <mergeCell ref="BF14:BG14"/>
    <mergeCell ref="BH14:BK14"/>
    <mergeCell ref="BL14:BM14"/>
    <mergeCell ref="BF15:BG15"/>
    <mergeCell ref="BH15:BK15"/>
    <mergeCell ref="BL15:BM15"/>
    <mergeCell ref="BL21:BM21"/>
    <mergeCell ref="BF33:BG33"/>
    <mergeCell ref="BH33:BM33"/>
    <mergeCell ref="BD34:BG35"/>
    <mergeCell ref="BH34:BM35"/>
    <mergeCell ref="BD36:BG39"/>
    <mergeCell ref="BH36:BM39"/>
    <mergeCell ref="BF24:BG25"/>
    <mergeCell ref="BH24:BK25"/>
    <mergeCell ref="BL24:BM25"/>
    <mergeCell ref="BF26:BG32"/>
    <mergeCell ref="BH26:BK32"/>
    <mergeCell ref="BL26:BM32"/>
    <mergeCell ref="BH22:BK22"/>
    <mergeCell ref="BL22:BM22"/>
    <mergeCell ref="BH23:BK23"/>
    <mergeCell ref="BL23:BM23"/>
    <mergeCell ref="BH42:BK42"/>
    <mergeCell ref="BH44:BK44"/>
    <mergeCell ref="BO2:BX2"/>
    <mergeCell ref="BO3:BR3"/>
    <mergeCell ref="BS3:BX3"/>
    <mergeCell ref="BO4:BR4"/>
    <mergeCell ref="BS4:BX4"/>
    <mergeCell ref="BO5:BR5"/>
    <mergeCell ref="BV7:BW7"/>
    <mergeCell ref="BO9:BP16"/>
    <mergeCell ref="BM12:BM13"/>
    <mergeCell ref="BD2:BM2"/>
    <mergeCell ref="BD3:BG3"/>
    <mergeCell ref="BH3:BM3"/>
    <mergeCell ref="BD4:BG4"/>
    <mergeCell ref="BH4:BM4"/>
    <mergeCell ref="BD5:BG5"/>
    <mergeCell ref="BQ14:BR14"/>
    <mergeCell ref="BS14:BV14"/>
    <mergeCell ref="BQ15:BR15"/>
    <mergeCell ref="BS15:BV15"/>
    <mergeCell ref="BW15:BX15"/>
    <mergeCell ref="BQ9:BR9"/>
    <mergeCell ref="BH21:BK21"/>
    <mergeCell ref="BS9:BV9"/>
    <mergeCell ref="BS10:BV10"/>
    <mergeCell ref="BS11:BV11"/>
    <mergeCell ref="BQ12:BR13"/>
    <mergeCell ref="BS12:BV13"/>
    <mergeCell ref="BQ22:BR22"/>
    <mergeCell ref="BS22:BV22"/>
    <mergeCell ref="BW22:BX22"/>
    <mergeCell ref="BQ23:BR23"/>
    <mergeCell ref="BS23:BV23"/>
    <mergeCell ref="BW23:BX23"/>
    <mergeCell ref="BS16:BX16"/>
    <mergeCell ref="BO34:BR35"/>
    <mergeCell ref="BS34:BX35"/>
    <mergeCell ref="BO36:BR39"/>
    <mergeCell ref="BS36:BX39"/>
    <mergeCell ref="BQ24:BR25"/>
    <mergeCell ref="BS24:BV25"/>
    <mergeCell ref="BW24:BX25"/>
    <mergeCell ref="BQ26:BR32"/>
    <mergeCell ref="BS26:BV32"/>
    <mergeCell ref="BW26:BX32"/>
    <mergeCell ref="BO17:BP33"/>
    <mergeCell ref="BQ17:BR18"/>
    <mergeCell ref="BS17:BV18"/>
    <mergeCell ref="BW17:BX18"/>
    <mergeCell ref="BQ19:BR20"/>
    <mergeCell ref="BS19:BV20"/>
    <mergeCell ref="BW19:BX20"/>
    <mergeCell ref="BQ21:BR21"/>
    <mergeCell ref="BS21:BV21"/>
    <mergeCell ref="BQ33:BR33"/>
    <mergeCell ref="BS33:BX33"/>
    <mergeCell ref="BS42:BV42"/>
    <mergeCell ref="BS44:BV44"/>
    <mergeCell ref="BZ2:CI2"/>
    <mergeCell ref="BZ3:CC3"/>
    <mergeCell ref="CD3:CI3"/>
    <mergeCell ref="BZ4:CC4"/>
    <mergeCell ref="CD4:CI4"/>
    <mergeCell ref="BZ5:CC5"/>
    <mergeCell ref="CG7:CH7"/>
    <mergeCell ref="BZ9:CA16"/>
    <mergeCell ref="BW21:BX21"/>
    <mergeCell ref="BW12:BW13"/>
    <mergeCell ref="BX12:BX13"/>
    <mergeCell ref="CB14:CC14"/>
    <mergeCell ref="CD14:CG14"/>
    <mergeCell ref="CH14:CI14"/>
    <mergeCell ref="CB15:CC15"/>
    <mergeCell ref="CD15:CG15"/>
    <mergeCell ref="CH15:CI15"/>
    <mergeCell ref="CB9:CC9"/>
    <mergeCell ref="CD9:CG9"/>
    <mergeCell ref="CD10:CG10"/>
    <mergeCell ref="CD11:CG11"/>
    <mergeCell ref="CB12:CC13"/>
    <mergeCell ref="CB22:CC22"/>
    <mergeCell ref="CD22:CG22"/>
    <mergeCell ref="CH22:CI22"/>
    <mergeCell ref="CB23:CC23"/>
    <mergeCell ref="CD23:CG23"/>
    <mergeCell ref="CH23:CI23"/>
    <mergeCell ref="CD16:CI16"/>
    <mergeCell ref="BZ17:CA33"/>
    <mergeCell ref="CB17:CC18"/>
    <mergeCell ref="CD17:CG18"/>
    <mergeCell ref="CH17:CI18"/>
    <mergeCell ref="CB19:CC20"/>
    <mergeCell ref="CD19:CG20"/>
    <mergeCell ref="CH19:CI20"/>
    <mergeCell ref="CB21:CC21"/>
    <mergeCell ref="CD21:CG21"/>
    <mergeCell ref="CB33:CC33"/>
    <mergeCell ref="CD33:CI33"/>
    <mergeCell ref="BZ34:CC35"/>
    <mergeCell ref="CD34:CI35"/>
    <mergeCell ref="BZ36:CC39"/>
    <mergeCell ref="CD36:CI39"/>
    <mergeCell ref="CB24:CC25"/>
    <mergeCell ref="CD24:CG25"/>
    <mergeCell ref="CH24:CI25"/>
    <mergeCell ref="CB26:CC32"/>
    <mergeCell ref="CD26:CG32"/>
    <mergeCell ref="CH26:CI32"/>
    <mergeCell ref="CD42:CG42"/>
    <mergeCell ref="CD44:CG44"/>
    <mergeCell ref="CK2:CT2"/>
    <mergeCell ref="CK3:CN3"/>
    <mergeCell ref="CO3:CT3"/>
    <mergeCell ref="CK4:CN4"/>
    <mergeCell ref="CO4:CT4"/>
    <mergeCell ref="CK5:CN5"/>
    <mergeCell ref="CR7:CS7"/>
    <mergeCell ref="CK9:CL16"/>
    <mergeCell ref="CH21:CI21"/>
    <mergeCell ref="CH12:CH13"/>
    <mergeCell ref="CI12:CI13"/>
    <mergeCell ref="CM14:CN14"/>
    <mergeCell ref="CO14:CR14"/>
    <mergeCell ref="CM15:CN15"/>
    <mergeCell ref="CO15:CR15"/>
    <mergeCell ref="CS15:CT15"/>
    <mergeCell ref="CM9:CN9"/>
    <mergeCell ref="CO9:CR9"/>
    <mergeCell ref="CO10:CR10"/>
    <mergeCell ref="CO11:CR11"/>
    <mergeCell ref="CM12:CN13"/>
    <mergeCell ref="CD12:CG13"/>
    <mergeCell ref="CO12:CR13"/>
    <mergeCell ref="CM22:CN22"/>
    <mergeCell ref="CO22:CR22"/>
    <mergeCell ref="CS22:CT22"/>
    <mergeCell ref="CM23:CN23"/>
    <mergeCell ref="CO23:CR23"/>
    <mergeCell ref="CS23:CT23"/>
    <mergeCell ref="CO16:CT16"/>
    <mergeCell ref="CK17:CL33"/>
    <mergeCell ref="CM17:CN18"/>
    <mergeCell ref="CO17:CR18"/>
    <mergeCell ref="CS17:CT18"/>
    <mergeCell ref="CM19:CN20"/>
    <mergeCell ref="CO19:CR20"/>
    <mergeCell ref="CS19:CT20"/>
    <mergeCell ref="CM21:CN21"/>
    <mergeCell ref="CO21:CR21"/>
    <mergeCell ref="CM33:CN33"/>
    <mergeCell ref="CO33:CT33"/>
    <mergeCell ref="CK34:CN35"/>
    <mergeCell ref="CO34:CT35"/>
    <mergeCell ref="CK36:CN39"/>
    <mergeCell ref="CO36:CT39"/>
    <mergeCell ref="CM24:CN25"/>
    <mergeCell ref="CO24:CR25"/>
    <mergeCell ref="CS24:CT25"/>
    <mergeCell ref="CM26:CN32"/>
    <mergeCell ref="CO26:CR32"/>
    <mergeCell ref="CS26:CT32"/>
    <mergeCell ref="CO42:CR42"/>
    <mergeCell ref="CO44:CR44"/>
    <mergeCell ref="CV2:DE2"/>
    <mergeCell ref="CV3:CY3"/>
    <mergeCell ref="CZ3:DE3"/>
    <mergeCell ref="CV4:CY4"/>
    <mergeCell ref="CZ4:DE4"/>
    <mergeCell ref="CV5:CY5"/>
    <mergeCell ref="DC7:DD7"/>
    <mergeCell ref="CV9:CW16"/>
    <mergeCell ref="CS21:CT21"/>
    <mergeCell ref="CS12:CS13"/>
    <mergeCell ref="CT12:CT13"/>
    <mergeCell ref="CX14:CY14"/>
    <mergeCell ref="CZ14:DC14"/>
    <mergeCell ref="CX15:CY15"/>
    <mergeCell ref="CZ15:DC15"/>
    <mergeCell ref="CX9:CY9"/>
    <mergeCell ref="CZ9:DC9"/>
    <mergeCell ref="CZ10:DC10"/>
    <mergeCell ref="CZ11:DC11"/>
    <mergeCell ref="CX12:CY13"/>
    <mergeCell ref="CZ12:DC13"/>
    <mergeCell ref="CX22:CY22"/>
    <mergeCell ref="CZ22:DC22"/>
    <mergeCell ref="DD22:DE22"/>
    <mergeCell ref="CX23:CY23"/>
    <mergeCell ref="CZ23:DC23"/>
    <mergeCell ref="DD23:DE23"/>
    <mergeCell ref="CZ16:DE16"/>
    <mergeCell ref="CV17:CW33"/>
    <mergeCell ref="CX17:CY18"/>
    <mergeCell ref="CZ17:DC18"/>
    <mergeCell ref="DD17:DE18"/>
    <mergeCell ref="CX19:CY20"/>
    <mergeCell ref="CZ19:DC20"/>
    <mergeCell ref="DD19:DE20"/>
    <mergeCell ref="CX21:CY21"/>
    <mergeCell ref="CZ21:DC21"/>
    <mergeCell ref="CX33:CY33"/>
    <mergeCell ref="CZ33:DE33"/>
    <mergeCell ref="CV34:CY35"/>
    <mergeCell ref="CZ34:DE35"/>
    <mergeCell ref="CV36:CY39"/>
    <mergeCell ref="CZ36:DE39"/>
    <mergeCell ref="CX24:CY25"/>
    <mergeCell ref="CZ24:DC25"/>
    <mergeCell ref="DD24:DE25"/>
    <mergeCell ref="CX26:CY32"/>
    <mergeCell ref="CZ26:DC32"/>
    <mergeCell ref="DD26:DE32"/>
    <mergeCell ref="CZ42:DC42"/>
    <mergeCell ref="CZ44:DC44"/>
    <mergeCell ref="DG2:DP2"/>
    <mergeCell ref="DG3:DJ3"/>
    <mergeCell ref="DK3:DP3"/>
    <mergeCell ref="DG4:DJ4"/>
    <mergeCell ref="DK4:DP4"/>
    <mergeCell ref="DG5:DJ5"/>
    <mergeCell ref="DN7:DO7"/>
    <mergeCell ref="DG9:DH16"/>
    <mergeCell ref="DD21:DE21"/>
    <mergeCell ref="DD12:DD13"/>
    <mergeCell ref="DE12:DE13"/>
    <mergeCell ref="DI14:DJ14"/>
    <mergeCell ref="DK14:DN14"/>
    <mergeCell ref="DO14:DP14"/>
    <mergeCell ref="DI15:DJ15"/>
    <mergeCell ref="DK15:DN15"/>
    <mergeCell ref="DO15:DP15"/>
    <mergeCell ref="DI9:DJ9"/>
    <mergeCell ref="DK9:DN9"/>
    <mergeCell ref="DK10:DN10"/>
    <mergeCell ref="DK11:DN11"/>
    <mergeCell ref="DI12:DJ13"/>
    <mergeCell ref="DK12:DN13"/>
    <mergeCell ref="DI22:DJ22"/>
    <mergeCell ref="DK22:DN22"/>
    <mergeCell ref="DO22:DP22"/>
    <mergeCell ref="DI23:DJ23"/>
    <mergeCell ref="DK23:DN23"/>
    <mergeCell ref="DO23:DP23"/>
    <mergeCell ref="DK16:DP16"/>
    <mergeCell ref="DG17:DH33"/>
    <mergeCell ref="DI17:DJ18"/>
    <mergeCell ref="DK17:DN18"/>
    <mergeCell ref="DO17:DP18"/>
    <mergeCell ref="DI19:DJ20"/>
    <mergeCell ref="DK19:DN20"/>
    <mergeCell ref="DO19:DP20"/>
    <mergeCell ref="DI21:DJ21"/>
    <mergeCell ref="DK21:DN21"/>
    <mergeCell ref="DI33:DJ33"/>
    <mergeCell ref="DK33:DP33"/>
    <mergeCell ref="DG34:DJ35"/>
    <mergeCell ref="DK34:DP35"/>
    <mergeCell ref="DG36:DJ39"/>
    <mergeCell ref="DK36:DP39"/>
    <mergeCell ref="DI24:DJ25"/>
    <mergeCell ref="DK24:DN25"/>
    <mergeCell ref="DO24:DP25"/>
    <mergeCell ref="DI26:DJ32"/>
    <mergeCell ref="DK26:DN32"/>
    <mergeCell ref="DO26:DP32"/>
    <mergeCell ref="DK42:DN42"/>
    <mergeCell ref="DK44:DN44"/>
    <mergeCell ref="DR2:EA2"/>
    <mergeCell ref="DR3:DU3"/>
    <mergeCell ref="DV3:EA3"/>
    <mergeCell ref="DR4:DU4"/>
    <mergeCell ref="DV4:EA4"/>
    <mergeCell ref="DR5:DU5"/>
    <mergeCell ref="DY7:DZ7"/>
    <mergeCell ref="DR9:DS16"/>
    <mergeCell ref="DO21:DP21"/>
    <mergeCell ref="DO12:DO13"/>
    <mergeCell ref="DP12:DP13"/>
    <mergeCell ref="DT14:DU14"/>
    <mergeCell ref="DV14:DY14"/>
    <mergeCell ref="DT15:DU15"/>
    <mergeCell ref="DV15:DY15"/>
    <mergeCell ref="DT9:DU9"/>
    <mergeCell ref="DV9:DY9"/>
    <mergeCell ref="DV10:DY10"/>
    <mergeCell ref="DV11:DY11"/>
    <mergeCell ref="DT12:DU13"/>
    <mergeCell ref="DV12:DY13"/>
    <mergeCell ref="DT22:DU22"/>
    <mergeCell ref="DV22:DY22"/>
    <mergeCell ref="DZ22:EA22"/>
    <mergeCell ref="DT23:DU23"/>
    <mergeCell ref="DV23:DY23"/>
    <mergeCell ref="DZ23:EA23"/>
    <mergeCell ref="DV16:EA16"/>
    <mergeCell ref="DR17:DS33"/>
    <mergeCell ref="DT17:DU18"/>
    <mergeCell ref="DV17:DY18"/>
    <mergeCell ref="DZ17:EA18"/>
    <mergeCell ref="DT19:DU20"/>
    <mergeCell ref="DV19:DY20"/>
    <mergeCell ref="DZ19:EA20"/>
    <mergeCell ref="DT21:DU21"/>
    <mergeCell ref="DV21:DY21"/>
    <mergeCell ref="DT33:DU33"/>
    <mergeCell ref="DV33:EA33"/>
    <mergeCell ref="DR34:DU35"/>
    <mergeCell ref="DV34:EA35"/>
    <mergeCell ref="DR36:DU39"/>
    <mergeCell ref="DV36:EA39"/>
    <mergeCell ref="DT24:DU25"/>
    <mergeCell ref="DV24:DY25"/>
    <mergeCell ref="DZ24:EA25"/>
    <mergeCell ref="DT26:DU32"/>
    <mergeCell ref="DV26:DY32"/>
    <mergeCell ref="DZ26:EA32"/>
    <mergeCell ref="DV42:DY42"/>
    <mergeCell ref="DV44:DY44"/>
    <mergeCell ref="EC2:EL2"/>
    <mergeCell ref="EC3:EF3"/>
    <mergeCell ref="EG3:EL3"/>
    <mergeCell ref="EC4:EF4"/>
    <mergeCell ref="EG4:EL4"/>
    <mergeCell ref="EC5:EF5"/>
    <mergeCell ref="EJ7:EK7"/>
    <mergeCell ref="EC9:ED16"/>
    <mergeCell ref="DZ21:EA21"/>
    <mergeCell ref="DZ12:DZ13"/>
    <mergeCell ref="EA12:EA13"/>
    <mergeCell ref="EE14:EF14"/>
    <mergeCell ref="EG14:EJ14"/>
    <mergeCell ref="EK14:EL14"/>
    <mergeCell ref="EE15:EF15"/>
    <mergeCell ref="EG15:EJ15"/>
    <mergeCell ref="EK15:EL15"/>
    <mergeCell ref="EE9:EF9"/>
    <mergeCell ref="EG9:EJ9"/>
    <mergeCell ref="EG10:EJ10"/>
    <mergeCell ref="EG11:EJ11"/>
    <mergeCell ref="EE12:EF13"/>
    <mergeCell ref="EG12:EJ13"/>
    <mergeCell ref="EE22:EF22"/>
    <mergeCell ref="EG22:EJ22"/>
    <mergeCell ref="EK22:EL22"/>
    <mergeCell ref="EE23:EF23"/>
    <mergeCell ref="EG23:EJ23"/>
    <mergeCell ref="EK23:EL23"/>
    <mergeCell ref="EG16:EL16"/>
    <mergeCell ref="EC17:ED33"/>
    <mergeCell ref="EE17:EF18"/>
    <mergeCell ref="EG17:EJ18"/>
    <mergeCell ref="EK17:EL18"/>
    <mergeCell ref="EE19:EF20"/>
    <mergeCell ref="EG19:EJ20"/>
    <mergeCell ref="EK19:EL20"/>
    <mergeCell ref="EE21:EF21"/>
    <mergeCell ref="EG21:EJ21"/>
    <mergeCell ref="EE33:EF33"/>
    <mergeCell ref="EG33:EL33"/>
    <mergeCell ref="EC34:EF35"/>
    <mergeCell ref="EG34:EL35"/>
    <mergeCell ref="EC36:EF39"/>
    <mergeCell ref="EG36:EL39"/>
    <mergeCell ref="EE24:EF25"/>
    <mergeCell ref="EG24:EJ25"/>
    <mergeCell ref="EK24:EL25"/>
    <mergeCell ref="EE26:EF32"/>
    <mergeCell ref="EG26:EJ32"/>
    <mergeCell ref="EK26:EL32"/>
    <mergeCell ref="EG42:EJ42"/>
    <mergeCell ref="EG44:EJ44"/>
    <mergeCell ref="EN2:EW2"/>
    <mergeCell ref="EN3:EQ3"/>
    <mergeCell ref="ER3:EW3"/>
    <mergeCell ref="EN4:EQ4"/>
    <mergeCell ref="ER4:EW4"/>
    <mergeCell ref="EN5:EQ5"/>
    <mergeCell ref="EU7:EV7"/>
    <mergeCell ref="EN9:EO16"/>
    <mergeCell ref="EK21:EL21"/>
    <mergeCell ref="EK12:EK13"/>
    <mergeCell ref="EL12:EL13"/>
    <mergeCell ref="EP14:EQ14"/>
    <mergeCell ref="ER14:EU14"/>
    <mergeCell ref="EV14:EW14"/>
    <mergeCell ref="EP15:EQ15"/>
    <mergeCell ref="ER15:EU15"/>
    <mergeCell ref="EV15:EW15"/>
    <mergeCell ref="EP9:EQ9"/>
    <mergeCell ref="ER9:EU9"/>
    <mergeCell ref="ER10:EU10"/>
    <mergeCell ref="ER11:EU11"/>
    <mergeCell ref="EP12:EQ13"/>
    <mergeCell ref="ER12:EU13"/>
    <mergeCell ref="EP22:EQ22"/>
    <mergeCell ref="ER22:EU22"/>
    <mergeCell ref="EV22:EW22"/>
    <mergeCell ref="EP23:EQ23"/>
    <mergeCell ref="ER23:EU23"/>
    <mergeCell ref="EV23:EW23"/>
    <mergeCell ref="ER16:EW16"/>
    <mergeCell ref="EN17:EO33"/>
    <mergeCell ref="EP17:EQ18"/>
    <mergeCell ref="ER17:EU18"/>
    <mergeCell ref="EV17:EW18"/>
    <mergeCell ref="EP19:EQ20"/>
    <mergeCell ref="ER19:EU20"/>
    <mergeCell ref="EV19:EW20"/>
    <mergeCell ref="EP21:EQ21"/>
    <mergeCell ref="ER21:EU21"/>
    <mergeCell ref="EP33:EQ33"/>
    <mergeCell ref="ER33:EW33"/>
    <mergeCell ref="EN34:EQ35"/>
    <mergeCell ref="ER34:EW35"/>
    <mergeCell ref="EN36:EQ39"/>
    <mergeCell ref="ER36:EW39"/>
    <mergeCell ref="EP24:EQ25"/>
    <mergeCell ref="ER24:EU25"/>
    <mergeCell ref="EV24:EW25"/>
    <mergeCell ref="EP26:EQ32"/>
    <mergeCell ref="ER26:EU32"/>
    <mergeCell ref="EV26:EW32"/>
    <mergeCell ref="ER42:EU42"/>
    <mergeCell ref="ER44:EU44"/>
    <mergeCell ref="EY2:FH2"/>
    <mergeCell ref="EY3:FB3"/>
    <mergeCell ref="FC3:FH3"/>
    <mergeCell ref="EY4:FB4"/>
    <mergeCell ref="FC4:FH4"/>
    <mergeCell ref="EY5:FB5"/>
    <mergeCell ref="FF7:FG7"/>
    <mergeCell ref="EY9:EZ16"/>
    <mergeCell ref="EV21:EW21"/>
    <mergeCell ref="EV12:EV13"/>
    <mergeCell ref="EW12:EW13"/>
    <mergeCell ref="FG12:FG13"/>
    <mergeCell ref="FH12:FH13"/>
    <mergeCell ref="FA14:FB14"/>
    <mergeCell ref="FC14:FF14"/>
    <mergeCell ref="FG14:FH14"/>
    <mergeCell ref="FA15:FB15"/>
    <mergeCell ref="FC15:FF15"/>
    <mergeCell ref="FG15:FH15"/>
    <mergeCell ref="FA9:FB9"/>
    <mergeCell ref="FC9:FF9"/>
    <mergeCell ref="FC10:FF10"/>
    <mergeCell ref="FC11:FF11"/>
    <mergeCell ref="FA12:FB13"/>
    <mergeCell ref="FC12:FF13"/>
    <mergeCell ref="FG21:FH21"/>
    <mergeCell ref="FA22:FB22"/>
    <mergeCell ref="FC22:FF22"/>
    <mergeCell ref="FG22:FH22"/>
    <mergeCell ref="FA23:FB23"/>
    <mergeCell ref="FC23:FF23"/>
    <mergeCell ref="FG23:FH23"/>
    <mergeCell ref="FC16:FH16"/>
    <mergeCell ref="FC42:FF42"/>
    <mergeCell ref="FC44:FF44"/>
    <mergeCell ref="FA33:FB33"/>
    <mergeCell ref="FC33:FH33"/>
    <mergeCell ref="EY34:FB35"/>
    <mergeCell ref="FC34:FH35"/>
    <mergeCell ref="EY36:FB39"/>
    <mergeCell ref="FC36:FH39"/>
    <mergeCell ref="FA24:FB25"/>
    <mergeCell ref="FC24:FF25"/>
    <mergeCell ref="FG24:FH25"/>
    <mergeCell ref="FA26:FB32"/>
    <mergeCell ref="FC26:FF32"/>
    <mergeCell ref="FG26:FH32"/>
    <mergeCell ref="EY17:EZ33"/>
    <mergeCell ref="FA17:FB18"/>
    <mergeCell ref="FC17:FF18"/>
    <mergeCell ref="FG17:FH18"/>
    <mergeCell ref="FA19:FB20"/>
    <mergeCell ref="FC19:FF20"/>
    <mergeCell ref="FG19:FH20"/>
    <mergeCell ref="FA21:FB21"/>
    <mergeCell ref="FC21:FF21"/>
    <mergeCell ref="L4:O4"/>
    <mergeCell ref="P4:U4"/>
    <mergeCell ref="L5:O5"/>
    <mergeCell ref="S7:T7"/>
    <mergeCell ref="L9:M16"/>
    <mergeCell ref="N9:O9"/>
    <mergeCell ref="P9:S9"/>
    <mergeCell ref="P10:S10"/>
    <mergeCell ref="P11:S11"/>
    <mergeCell ref="N12:O13"/>
    <mergeCell ref="P12:S13"/>
    <mergeCell ref="T12:T13"/>
    <mergeCell ref="U12:U13"/>
    <mergeCell ref="N14:O14"/>
    <mergeCell ref="P14:S14"/>
    <mergeCell ref="T14:U14"/>
    <mergeCell ref="N15:O15"/>
    <mergeCell ref="P15:S15"/>
    <mergeCell ref="T15:U15"/>
    <mergeCell ref="P16:U16"/>
    <mergeCell ref="P22:S22"/>
    <mergeCell ref="T22:U22"/>
    <mergeCell ref="N23:O23"/>
    <mergeCell ref="P23:S23"/>
    <mergeCell ref="T23:U23"/>
    <mergeCell ref="N24:O25"/>
    <mergeCell ref="P24:S25"/>
    <mergeCell ref="T24:U25"/>
    <mergeCell ref="P42:S42"/>
    <mergeCell ref="P44:S44"/>
    <mergeCell ref="E34:J35"/>
    <mergeCell ref="N26:O32"/>
    <mergeCell ref="P26:S32"/>
    <mergeCell ref="T26:U32"/>
    <mergeCell ref="N33:O33"/>
    <mergeCell ref="P33:U33"/>
    <mergeCell ref="L34:O35"/>
    <mergeCell ref="P34:U35"/>
    <mergeCell ref="L36:O39"/>
    <mergeCell ref="P36:U39"/>
    <mergeCell ref="E42:H42"/>
    <mergeCell ref="E44:H44"/>
    <mergeCell ref="CV40:DE40"/>
    <mergeCell ref="DG40:DP40"/>
    <mergeCell ref="DR40:EA40"/>
    <mergeCell ref="A40:J40"/>
    <mergeCell ref="L40:U40"/>
    <mergeCell ref="W40:AF40"/>
    <mergeCell ref="AH40:AQ40"/>
    <mergeCell ref="AS40:BB40"/>
    <mergeCell ref="BD40:BM40"/>
    <mergeCell ref="BO40:BX40"/>
    <mergeCell ref="BZ40:CI40"/>
    <mergeCell ref="CK40:CT40"/>
  </mergeCells>
  <phoneticPr fontId="2" type="noConversion"/>
  <pageMargins left="0.70866141732283472" right="0.51181102362204722" top="0.55118110236220474" bottom="0.55118110236220474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I133"/>
  <sheetViews>
    <sheetView topLeftCell="A21" zoomScale="60" zoomScaleNormal="60" workbookViewId="0">
      <pane xSplit="1" topLeftCell="B1" activePane="topRight" state="frozen"/>
      <selection activeCell="A29" sqref="A29"/>
      <selection pane="topRight" activeCell="E7" sqref="E7"/>
    </sheetView>
  </sheetViews>
  <sheetFormatPr defaultRowHeight="16.2" x14ac:dyDescent="0.3"/>
  <cols>
    <col min="1" max="1" width="10.33203125" style="107" customWidth="1"/>
    <col min="2" max="2" width="12.109375" style="3" customWidth="1"/>
    <col min="3" max="3" width="11.44140625" style="3" customWidth="1"/>
    <col min="4" max="4" width="12.77734375" style="3" customWidth="1"/>
    <col min="5" max="5" width="6" style="3" customWidth="1"/>
    <col min="6" max="6" width="9.77734375" style="3" customWidth="1"/>
    <col min="7" max="7" width="6.21875" style="3" customWidth="1"/>
    <col min="8" max="8" width="7.88671875" style="3" customWidth="1"/>
    <col min="9" max="9" width="7" style="3" customWidth="1"/>
    <col min="10" max="10" width="12.109375" style="3" customWidth="1"/>
    <col min="11" max="14" width="8.6640625" style="3" customWidth="1"/>
    <col min="15" max="15" width="9.44140625" style="3" customWidth="1"/>
    <col min="16" max="18" width="8.6640625" style="3" customWidth="1"/>
    <col min="19" max="19" width="8.77734375" style="3" customWidth="1"/>
    <col min="20" max="20" width="13.109375" style="3" customWidth="1"/>
    <col min="21" max="21" width="10.33203125" style="3" customWidth="1"/>
    <col min="22" max="22" width="35.88671875" style="3" customWidth="1"/>
    <col min="23" max="23" width="6.109375" style="3" customWidth="1"/>
    <col min="24" max="27" width="5.6640625" style="3" customWidth="1"/>
    <col min="28" max="28" width="5.21875" style="3" customWidth="1"/>
    <col min="29" max="29" width="6" style="3" bestFit="1" customWidth="1"/>
    <col min="30" max="30" width="6.33203125" style="3" bestFit="1" customWidth="1"/>
    <col min="31" max="31" width="6" style="3" bestFit="1" customWidth="1"/>
    <col min="32" max="38" width="5.6640625" style="3" customWidth="1"/>
    <col min="39" max="39" width="6.33203125" style="3" customWidth="1"/>
    <col min="40" max="44" width="5.6640625" style="3" customWidth="1"/>
    <col min="45" max="45" width="6.109375" style="3" customWidth="1"/>
    <col min="46" max="46" width="7" style="3" customWidth="1"/>
    <col min="47" max="47" width="7.44140625" style="3" customWidth="1"/>
    <col min="48" max="48" width="6.88671875" style="3" customWidth="1"/>
    <col min="49" max="56" width="6" style="3" customWidth="1"/>
    <col min="59" max="59" width="11.33203125" customWidth="1"/>
  </cols>
  <sheetData>
    <row r="1" spans="1:60" ht="39" customHeight="1" x14ac:dyDescent="0.3">
      <c r="D1" s="107" t="s">
        <v>238</v>
      </c>
      <c r="E1" s="107">
        <v>114</v>
      </c>
      <c r="F1" s="107"/>
      <c r="G1" s="107"/>
      <c r="H1" s="1369" t="s">
        <v>115</v>
      </c>
      <c r="I1" s="1369"/>
      <c r="J1" s="1369"/>
      <c r="K1" s="1369"/>
      <c r="L1" s="1369"/>
      <c r="M1" s="1369"/>
      <c r="N1" s="1369"/>
      <c r="O1" s="1369"/>
      <c r="P1" s="1369"/>
      <c r="Q1" s="1369"/>
      <c r="R1" s="1369"/>
      <c r="S1" s="1369"/>
      <c r="W1" s="149" t="s">
        <v>122</v>
      </c>
      <c r="X1" s="149"/>
      <c r="Y1" s="149"/>
      <c r="Z1" s="149"/>
      <c r="AA1" s="149"/>
      <c r="AB1" s="149"/>
      <c r="AC1" s="149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3"/>
      <c r="AX1" s="153"/>
      <c r="AY1" s="153"/>
      <c r="AZ1" s="153"/>
      <c r="BA1" s="153"/>
      <c r="BB1" s="153"/>
      <c r="BC1" s="153"/>
      <c r="BD1" s="153"/>
      <c r="BE1" s="1370" t="s">
        <v>168</v>
      </c>
      <c r="BF1" s="1370"/>
      <c r="BG1" s="1370"/>
      <c r="BH1" s="1370"/>
    </row>
    <row r="2" spans="1:60" ht="58.5" customHeight="1" x14ac:dyDescent="0.3">
      <c r="A2" s="106" t="s">
        <v>113</v>
      </c>
      <c r="B2" s="53" t="s">
        <v>50</v>
      </c>
      <c r="C2" s="134" t="s">
        <v>553</v>
      </c>
      <c r="D2" s="63" t="s">
        <v>67</v>
      </c>
      <c r="E2" s="63" t="s">
        <v>67</v>
      </c>
      <c r="F2" s="53" t="s">
        <v>223</v>
      </c>
      <c r="G2" s="157" t="s">
        <v>224</v>
      </c>
      <c r="H2" s="43" t="s">
        <v>19</v>
      </c>
      <c r="I2" s="43" t="s">
        <v>42</v>
      </c>
      <c r="J2" s="43" t="s">
        <v>24</v>
      </c>
      <c r="K2" s="43" t="s">
        <v>25</v>
      </c>
      <c r="L2" s="43" t="s">
        <v>26</v>
      </c>
      <c r="M2" s="43" t="s">
        <v>27</v>
      </c>
      <c r="N2" s="43" t="s">
        <v>28</v>
      </c>
      <c r="O2" s="43" t="s">
        <v>29</v>
      </c>
      <c r="P2" s="43" t="s">
        <v>30</v>
      </c>
      <c r="Q2" s="43" t="s">
        <v>31</v>
      </c>
      <c r="R2" s="43" t="s">
        <v>32</v>
      </c>
      <c r="S2" s="43" t="s">
        <v>33</v>
      </c>
      <c r="T2" s="76" t="s">
        <v>90</v>
      </c>
      <c r="U2" s="154" t="s">
        <v>552</v>
      </c>
      <c r="V2" s="69" t="s">
        <v>81</v>
      </c>
      <c r="W2" s="172" t="s">
        <v>114</v>
      </c>
      <c r="X2" s="53" t="s">
        <v>123</v>
      </c>
      <c r="Y2" s="106" t="s">
        <v>182</v>
      </c>
      <c r="Z2" s="185" t="s">
        <v>120</v>
      </c>
      <c r="AA2" s="184" t="s">
        <v>124</v>
      </c>
      <c r="AB2" s="53" t="s">
        <v>566</v>
      </c>
      <c r="AC2" s="53" t="s">
        <v>568</v>
      </c>
      <c r="AD2" s="106" t="s">
        <v>142</v>
      </c>
      <c r="AE2" s="184" t="s">
        <v>130</v>
      </c>
      <c r="AF2" s="185" t="s">
        <v>148</v>
      </c>
      <c r="AG2" s="185" t="s">
        <v>204</v>
      </c>
      <c r="AH2" s="53" t="s">
        <v>126</v>
      </c>
      <c r="AI2" s="53" t="s">
        <v>594</v>
      </c>
      <c r="AJ2" s="53" t="s">
        <v>125</v>
      </c>
      <c r="AK2" s="184" t="s">
        <v>127</v>
      </c>
      <c r="AL2" s="184" t="s">
        <v>129</v>
      </c>
      <c r="AM2" s="53" t="s">
        <v>137</v>
      </c>
      <c r="AN2" s="53" t="s">
        <v>138</v>
      </c>
      <c r="AO2" s="184" t="s">
        <v>143</v>
      </c>
      <c r="AP2" s="184" t="s">
        <v>144</v>
      </c>
      <c r="AQ2" s="184" t="s">
        <v>145</v>
      </c>
      <c r="AR2" s="53" t="s">
        <v>149</v>
      </c>
      <c r="AS2" s="53" t="s">
        <v>150</v>
      </c>
      <c r="AT2" s="53" t="s">
        <v>229</v>
      </c>
      <c r="AU2" s="184" t="s">
        <v>151</v>
      </c>
      <c r="AV2" s="184" t="s">
        <v>517</v>
      </c>
      <c r="AW2" s="53" t="s">
        <v>156</v>
      </c>
      <c r="AX2" s="53" t="s">
        <v>236</v>
      </c>
      <c r="AY2" s="184" t="s">
        <v>162</v>
      </c>
      <c r="AZ2" s="184" t="s">
        <v>163</v>
      </c>
      <c r="BA2" s="53"/>
      <c r="BB2" s="53"/>
      <c r="BC2" s="53"/>
      <c r="BD2" s="53"/>
      <c r="BE2" s="170" t="s">
        <v>164</v>
      </c>
      <c r="BF2" s="170" t="s">
        <v>165</v>
      </c>
      <c r="BG2" s="170" t="s">
        <v>166</v>
      </c>
      <c r="BH2" s="170" t="s">
        <v>167</v>
      </c>
    </row>
    <row r="3" spans="1:60" ht="20.100000000000001" customHeight="1" x14ac:dyDescent="0.3">
      <c r="A3" s="413" t="s">
        <v>18</v>
      </c>
      <c r="B3" s="13">
        <v>1010201</v>
      </c>
      <c r="C3" s="943"/>
      <c r="D3" s="242">
        <v>18</v>
      </c>
      <c r="E3" s="13">
        <v>19</v>
      </c>
      <c r="F3" s="169"/>
      <c r="G3" s="13"/>
      <c r="H3" s="2">
        <f>1+4</f>
        <v>5</v>
      </c>
      <c r="I3" s="2">
        <v>4</v>
      </c>
      <c r="J3" s="2">
        <v>1.5</v>
      </c>
      <c r="K3" s="2"/>
      <c r="L3" s="2"/>
      <c r="M3" s="2"/>
      <c r="N3" s="2"/>
      <c r="O3" s="2"/>
      <c r="P3" s="2"/>
      <c r="Q3" s="2"/>
      <c r="R3" s="2"/>
      <c r="S3" s="2"/>
      <c r="T3" s="2">
        <f>SUM(H3:S3)</f>
        <v>10.5</v>
      </c>
      <c r="U3" s="933">
        <f>E3*4-T3</f>
        <v>65.5</v>
      </c>
      <c r="V3" s="133" t="s">
        <v>442</v>
      </c>
      <c r="W3" s="2"/>
      <c r="X3" s="58"/>
      <c r="Y3" s="58">
        <v>1</v>
      </c>
      <c r="Z3" s="58"/>
      <c r="AA3" s="58"/>
      <c r="AB3" s="58"/>
      <c r="AC3" s="58"/>
      <c r="AD3" s="58">
        <v>1</v>
      </c>
      <c r="AE3" s="58"/>
      <c r="AF3" s="58"/>
      <c r="AG3" s="58"/>
      <c r="AH3" s="58"/>
      <c r="AI3" s="58"/>
      <c r="AJ3" s="58">
        <v>1</v>
      </c>
      <c r="AK3" s="58"/>
      <c r="AL3" s="58">
        <v>1.1000000000000001</v>
      </c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2"/>
      <c r="BA3" s="2"/>
      <c r="BB3" s="2"/>
      <c r="BC3" s="2"/>
      <c r="BD3" s="2"/>
      <c r="BE3" s="21"/>
      <c r="BF3" s="21"/>
      <c r="BG3" s="21"/>
      <c r="BH3" s="21"/>
    </row>
    <row r="4" spans="1:60" ht="20.100000000000001" customHeight="1" x14ac:dyDescent="0.3">
      <c r="A4" s="413" t="s">
        <v>13</v>
      </c>
      <c r="B4" s="13">
        <v>1041106</v>
      </c>
      <c r="C4" s="962"/>
      <c r="D4" s="64">
        <v>15</v>
      </c>
      <c r="E4" s="13">
        <v>16</v>
      </c>
      <c r="F4" s="169"/>
      <c r="G4" s="13"/>
      <c r="H4" s="2">
        <v>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f t="shared" ref="T4:T21" si="0">SUM(H4:S4)</f>
        <v>3</v>
      </c>
      <c r="U4" s="933">
        <f>E4*8-T4</f>
        <v>125</v>
      </c>
      <c r="V4" s="2"/>
      <c r="W4" s="2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2"/>
      <c r="BA4" s="2"/>
      <c r="BB4" s="2"/>
      <c r="BC4" s="2"/>
      <c r="BD4" s="2"/>
      <c r="BE4" s="21"/>
      <c r="BF4" s="21"/>
      <c r="BG4" s="21"/>
      <c r="BH4" s="21"/>
    </row>
    <row r="5" spans="1:60" s="19" customFormat="1" ht="20.100000000000001" hidden="1" customHeight="1" x14ac:dyDescent="0.3">
      <c r="A5" s="834" t="s">
        <v>82</v>
      </c>
      <c r="B5" s="281">
        <v>1070310</v>
      </c>
      <c r="C5" s="281"/>
      <c r="D5" s="281">
        <v>15</v>
      </c>
      <c r="E5" s="132"/>
      <c r="F5" s="281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281">
        <f t="shared" si="0"/>
        <v>0</v>
      </c>
      <c r="U5" s="933">
        <f t="shared" ref="U5" si="1">19*4-T5</f>
        <v>76</v>
      </c>
      <c r="V5" s="280" t="s">
        <v>225</v>
      </c>
      <c r="W5" s="13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42"/>
      <c r="BA5" s="242"/>
      <c r="BB5" s="242"/>
      <c r="BC5" s="242"/>
      <c r="BD5" s="242"/>
      <c r="BE5" s="282"/>
      <c r="BF5" s="282"/>
      <c r="BG5" s="282"/>
      <c r="BH5" s="282"/>
    </row>
    <row r="6" spans="1:60" s="44" customFormat="1" ht="19.5" customHeight="1" x14ac:dyDescent="0.3">
      <c r="A6" s="941" t="s">
        <v>139</v>
      </c>
      <c r="B6" s="71">
        <v>1110708</v>
      </c>
      <c r="C6" s="171"/>
      <c r="D6" s="64">
        <v>10</v>
      </c>
      <c r="E6" s="13">
        <v>14</v>
      </c>
      <c r="F6" s="169"/>
      <c r="G6" s="13"/>
      <c r="H6" s="2">
        <v>3</v>
      </c>
      <c r="I6" s="2"/>
      <c r="J6" s="2"/>
      <c r="K6" s="2"/>
      <c r="L6" s="2">
        <v>4</v>
      </c>
      <c r="M6" s="2">
        <v>1</v>
      </c>
      <c r="N6" s="2"/>
      <c r="O6" s="2"/>
      <c r="P6" s="2"/>
      <c r="Q6" s="2"/>
      <c r="R6" s="2"/>
      <c r="S6" s="2"/>
      <c r="T6" s="2">
        <f t="shared" ref="T6" si="2">SUM(H6:S6)</f>
        <v>8</v>
      </c>
      <c r="U6" s="933">
        <f t="shared" ref="U6:U16" si="3">E6*8-T6</f>
        <v>104</v>
      </c>
      <c r="V6" s="2"/>
      <c r="W6" s="2"/>
      <c r="X6" s="58"/>
      <c r="Y6" s="58">
        <v>1</v>
      </c>
      <c r="Z6" s="58">
        <v>1</v>
      </c>
      <c r="AA6" s="58"/>
      <c r="AB6" s="58"/>
      <c r="AC6" s="58"/>
      <c r="AD6" s="58">
        <v>1</v>
      </c>
      <c r="AE6" s="58"/>
      <c r="AF6" s="58">
        <v>1</v>
      </c>
      <c r="AG6" s="58"/>
      <c r="AH6" s="58"/>
      <c r="AI6" s="58"/>
      <c r="AJ6" s="58">
        <v>1</v>
      </c>
      <c r="AK6" s="58"/>
      <c r="AL6" s="58">
        <v>1</v>
      </c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21"/>
      <c r="BF6" s="21"/>
      <c r="BG6" s="21"/>
      <c r="BH6" s="21"/>
    </row>
    <row r="7" spans="1:60" s="44" customFormat="1" ht="20.100000000000001" customHeight="1" x14ac:dyDescent="0.3">
      <c r="A7" s="413" t="s">
        <v>174</v>
      </c>
      <c r="B7" s="71">
        <v>1110825</v>
      </c>
      <c r="C7" s="171"/>
      <c r="D7" s="64">
        <v>10</v>
      </c>
      <c r="E7" s="13">
        <v>14</v>
      </c>
      <c r="F7" s="169"/>
      <c r="G7" s="13"/>
      <c r="H7" s="2">
        <v>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f t="shared" ref="T7:T9" si="4">SUM(H7:S7)</f>
        <v>2</v>
      </c>
      <c r="U7" s="933">
        <f t="shared" si="3"/>
        <v>110</v>
      </c>
      <c r="V7" s="2"/>
      <c r="W7" s="2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21"/>
      <c r="BF7" s="21"/>
      <c r="BG7" s="21"/>
      <c r="BH7" s="21"/>
    </row>
    <row r="8" spans="1:60" s="44" customFormat="1" ht="20.100000000000001" customHeight="1" x14ac:dyDescent="0.3">
      <c r="A8" s="413" t="s">
        <v>170</v>
      </c>
      <c r="B8" s="71">
        <v>1120103</v>
      </c>
      <c r="C8" s="171"/>
      <c r="D8" s="64">
        <v>10</v>
      </c>
      <c r="E8" s="13">
        <v>10</v>
      </c>
      <c r="F8" s="169"/>
      <c r="G8" s="1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f t="shared" si="4"/>
        <v>0</v>
      </c>
      <c r="U8" s="933">
        <f t="shared" si="3"/>
        <v>80</v>
      </c>
      <c r="V8" s="2"/>
      <c r="W8" s="2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21"/>
      <c r="BF8" s="21"/>
      <c r="BG8" s="21"/>
      <c r="BH8" s="21"/>
    </row>
    <row r="9" spans="1:60" s="44" customFormat="1" ht="20.100000000000001" customHeight="1" x14ac:dyDescent="0.3">
      <c r="A9" s="941" t="s">
        <v>175</v>
      </c>
      <c r="B9" s="71">
        <v>1120111</v>
      </c>
      <c r="C9" s="171"/>
      <c r="D9" s="64">
        <v>10</v>
      </c>
      <c r="E9" s="13">
        <v>10</v>
      </c>
      <c r="F9" s="169"/>
      <c r="G9" s="13"/>
      <c r="H9" s="2">
        <v>2.5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si="4"/>
        <v>2.5</v>
      </c>
      <c r="U9" s="933">
        <f t="shared" si="3"/>
        <v>77.5</v>
      </c>
      <c r="V9" s="2"/>
      <c r="W9" s="2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21"/>
      <c r="BF9" s="21"/>
      <c r="BG9" s="21"/>
      <c r="BH9" s="21"/>
    </row>
    <row r="10" spans="1:60" s="44" customFormat="1" ht="20.100000000000001" hidden="1" customHeight="1" x14ac:dyDescent="0.3">
      <c r="A10" s="834" t="s">
        <v>213</v>
      </c>
      <c r="B10" s="281">
        <v>1120529</v>
      </c>
      <c r="C10" s="171"/>
      <c r="D10" s="281">
        <v>0</v>
      </c>
      <c r="E10" s="132"/>
      <c r="F10" s="281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281">
        <f t="shared" si="0"/>
        <v>0</v>
      </c>
      <c r="U10" s="933">
        <f t="shared" si="3"/>
        <v>0</v>
      </c>
      <c r="V10" s="280" t="s">
        <v>226</v>
      </c>
      <c r="W10" s="2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62"/>
      <c r="BA10" s="62"/>
      <c r="BB10" s="62"/>
      <c r="BC10" s="62"/>
      <c r="BD10" s="62"/>
      <c r="BE10" s="20"/>
      <c r="BF10" s="20"/>
      <c r="BG10" s="20"/>
      <c r="BH10" s="20"/>
    </row>
    <row r="11" spans="1:60" s="44" customFormat="1" ht="19.5" customHeight="1" x14ac:dyDescent="0.3">
      <c r="A11" s="941" t="s">
        <v>214</v>
      </c>
      <c r="B11" s="13">
        <v>1120627</v>
      </c>
      <c r="C11" s="171"/>
      <c r="D11" s="64">
        <v>10</v>
      </c>
      <c r="E11" s="13">
        <v>10</v>
      </c>
      <c r="F11" s="169"/>
      <c r="G11" s="1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0"/>
        <v>0</v>
      </c>
      <c r="U11" s="933">
        <f t="shared" si="3"/>
        <v>80</v>
      </c>
      <c r="V11" s="2"/>
      <c r="W11" s="2"/>
      <c r="X11" s="58"/>
      <c r="Y11" s="58"/>
      <c r="Z11" s="58"/>
      <c r="AA11" s="58"/>
      <c r="AB11" s="58"/>
      <c r="AC11" s="58"/>
      <c r="AD11" s="58">
        <v>1</v>
      </c>
      <c r="AE11" s="58"/>
      <c r="AF11" s="58"/>
      <c r="AG11" s="58"/>
      <c r="AH11" s="58"/>
      <c r="AI11" s="58"/>
      <c r="AJ11" s="58"/>
      <c r="AK11" s="58"/>
      <c r="AL11" s="58">
        <v>4.0999999999999996</v>
      </c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21"/>
      <c r="BF11" s="21"/>
      <c r="BG11" s="21"/>
      <c r="BH11" s="21"/>
    </row>
    <row r="12" spans="1:60" s="44" customFormat="1" ht="19.5" customHeight="1" x14ac:dyDescent="0.3">
      <c r="A12" s="835" t="s">
        <v>192</v>
      </c>
      <c r="B12" s="13">
        <v>1120306</v>
      </c>
      <c r="C12" s="171"/>
      <c r="D12" s="64">
        <v>10</v>
      </c>
      <c r="E12" s="13">
        <v>10</v>
      </c>
      <c r="F12" s="169"/>
      <c r="G12" s="13"/>
      <c r="H12" s="2"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0"/>
        <v>2</v>
      </c>
      <c r="U12" s="933">
        <f t="shared" si="3"/>
        <v>78</v>
      </c>
      <c r="V12" s="2"/>
      <c r="W12" s="2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21"/>
      <c r="BF12" s="21"/>
      <c r="BG12" s="21"/>
      <c r="BH12" s="21"/>
    </row>
    <row r="13" spans="1:60" s="44" customFormat="1" ht="19.5" customHeight="1" x14ac:dyDescent="0.3">
      <c r="A13" s="836" t="s">
        <v>264</v>
      </c>
      <c r="B13" s="13">
        <v>1130226</v>
      </c>
      <c r="C13" s="171"/>
      <c r="D13" s="64">
        <v>3</v>
      </c>
      <c r="E13" s="13">
        <v>7</v>
      </c>
      <c r="F13" s="169"/>
      <c r="G13" s="1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0"/>
        <v>0</v>
      </c>
      <c r="U13" s="933">
        <f t="shared" si="3"/>
        <v>56</v>
      </c>
      <c r="V13" s="2"/>
      <c r="W13" s="2"/>
      <c r="X13" s="58"/>
      <c r="Y13" s="58"/>
      <c r="Z13" s="58"/>
      <c r="AA13" s="58"/>
      <c r="AB13" s="58">
        <v>8</v>
      </c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21"/>
      <c r="BF13" s="21"/>
      <c r="BG13" s="21"/>
      <c r="BH13" s="21"/>
    </row>
    <row r="14" spans="1:60" s="44" customFormat="1" ht="20.100000000000001" customHeight="1" x14ac:dyDescent="0.3">
      <c r="A14" s="413" t="s">
        <v>435</v>
      </c>
      <c r="B14" s="13">
        <v>1130226</v>
      </c>
      <c r="C14" s="171"/>
      <c r="D14" s="64">
        <v>3</v>
      </c>
      <c r="E14" s="13">
        <v>7</v>
      </c>
      <c r="F14" s="169"/>
      <c r="G14" s="1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0"/>
        <v>0</v>
      </c>
      <c r="U14" s="933">
        <f t="shared" si="3"/>
        <v>56</v>
      </c>
      <c r="V14" s="2"/>
      <c r="W14" s="2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21"/>
      <c r="BF14" s="21"/>
      <c r="BG14" s="21"/>
      <c r="BH14" s="21"/>
    </row>
    <row r="15" spans="1:60" s="44" customFormat="1" ht="20.100000000000001" customHeight="1" x14ac:dyDescent="0.3">
      <c r="A15" s="413" t="s">
        <v>554</v>
      </c>
      <c r="B15" s="13">
        <v>1130628</v>
      </c>
      <c r="C15" s="171"/>
      <c r="D15" s="64">
        <v>3</v>
      </c>
      <c r="E15" s="13">
        <v>7</v>
      </c>
      <c r="F15" s="169"/>
      <c r="G15" s="1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ref="T15" si="5">SUM(H15:S15)</f>
        <v>0</v>
      </c>
      <c r="U15" s="933">
        <f t="shared" ref="U15" si="6">E15*8-T15</f>
        <v>56</v>
      </c>
      <c r="V15" s="2"/>
      <c r="W15" s="2"/>
      <c r="X15" s="58"/>
      <c r="Y15" s="58"/>
      <c r="Z15" s="58"/>
      <c r="AA15" s="58"/>
      <c r="AB15" s="58"/>
      <c r="AC15" s="58"/>
      <c r="AD15" s="58">
        <v>0.625</v>
      </c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21"/>
      <c r="BF15" s="21"/>
      <c r="BG15" s="21"/>
      <c r="BH15" s="21"/>
    </row>
    <row r="16" spans="1:60" s="44" customFormat="1" ht="20.100000000000001" customHeight="1" x14ac:dyDescent="0.3">
      <c r="A16" s="413" t="s">
        <v>492</v>
      </c>
      <c r="B16" s="13">
        <v>1130313</v>
      </c>
      <c r="C16" s="171"/>
      <c r="D16" s="64">
        <v>3</v>
      </c>
      <c r="E16" s="13">
        <v>7</v>
      </c>
      <c r="F16" s="169"/>
      <c r="G16" s="13"/>
      <c r="H16" s="2"/>
      <c r="I16" s="2"/>
      <c r="J16" s="2"/>
      <c r="K16" s="2">
        <v>4</v>
      </c>
      <c r="L16" s="2"/>
      <c r="M16" s="2"/>
      <c r="N16" s="2"/>
      <c r="O16" s="2"/>
      <c r="P16" s="2"/>
      <c r="Q16" s="2"/>
      <c r="R16" s="2"/>
      <c r="S16" s="2"/>
      <c r="T16" s="2">
        <f t="shared" ref="T16:T17" si="7">SUM(H16:S16)</f>
        <v>4</v>
      </c>
      <c r="U16" s="933">
        <f t="shared" si="3"/>
        <v>52</v>
      </c>
      <c r="V16" s="2"/>
      <c r="W16" s="2"/>
      <c r="X16" s="58"/>
      <c r="Y16" s="58"/>
      <c r="Z16" s="58"/>
      <c r="AA16" s="58">
        <v>1</v>
      </c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21"/>
      <c r="BF16" s="21"/>
      <c r="BG16" s="21"/>
      <c r="BH16" s="21"/>
    </row>
    <row r="17" spans="1:61" s="44" customFormat="1" ht="20.100000000000001" customHeight="1" x14ac:dyDescent="0.3">
      <c r="A17" s="413" t="s">
        <v>153</v>
      </c>
      <c r="B17" s="13">
        <v>1101110</v>
      </c>
      <c r="C17" s="171"/>
      <c r="D17" s="64">
        <v>14</v>
      </c>
      <c r="E17" s="13">
        <v>14</v>
      </c>
      <c r="F17" s="169"/>
      <c r="G17" s="279">
        <v>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7"/>
        <v>0</v>
      </c>
      <c r="U17" s="933">
        <f>E17*9-T17</f>
        <v>126</v>
      </c>
      <c r="V17" s="90"/>
      <c r="W17" s="2"/>
      <c r="X17" s="58"/>
      <c r="Y17" s="58"/>
      <c r="Z17" s="58"/>
      <c r="AA17" s="58"/>
      <c r="AB17" s="58"/>
      <c r="AC17" s="58">
        <v>1</v>
      </c>
      <c r="AD17" s="58">
        <v>1</v>
      </c>
      <c r="AE17" s="58"/>
      <c r="AF17" s="58"/>
      <c r="AG17" s="58"/>
      <c r="AH17" s="58"/>
      <c r="AI17" s="58"/>
      <c r="AJ17" s="58"/>
      <c r="AK17" s="58"/>
      <c r="AL17" s="58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</row>
    <row r="18" spans="1:61" ht="20.100000000000001" customHeight="1" x14ac:dyDescent="0.3">
      <c r="A18" s="413" t="s">
        <v>66</v>
      </c>
      <c r="B18" s="13">
        <v>1080708</v>
      </c>
      <c r="C18" s="171"/>
      <c r="D18" s="64">
        <v>15</v>
      </c>
      <c r="E18" s="13">
        <v>15</v>
      </c>
      <c r="F18" s="169"/>
      <c r="G18" s="1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ref="T18" si="8">SUM(H18:S18)</f>
        <v>0</v>
      </c>
      <c r="U18" s="933">
        <f t="shared" ref="U18:U21" si="9">E18*9-T18</f>
        <v>135</v>
      </c>
      <c r="V18" s="775"/>
      <c r="W18" s="2"/>
      <c r="X18" s="58"/>
      <c r="Y18" s="58"/>
      <c r="Z18" s="58"/>
      <c r="AA18" s="58"/>
      <c r="AB18" s="58"/>
      <c r="AC18" s="58"/>
      <c r="AD18" s="58"/>
      <c r="AE18" s="58"/>
      <c r="AF18" s="58">
        <v>1</v>
      </c>
      <c r="AG18" s="58"/>
      <c r="AH18" s="58"/>
      <c r="AI18" s="58"/>
      <c r="AJ18" s="58"/>
      <c r="AK18" s="58"/>
      <c r="AL18" s="58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1"/>
      <c r="BF18" s="1"/>
      <c r="BG18" s="1"/>
      <c r="BH18" s="1"/>
    </row>
    <row r="19" spans="1:61" s="44" customFormat="1" ht="18.75" customHeight="1" x14ac:dyDescent="0.3">
      <c r="A19" s="413" t="s">
        <v>75</v>
      </c>
      <c r="B19" s="13">
        <v>1090330</v>
      </c>
      <c r="C19" s="171"/>
      <c r="D19" s="64">
        <v>14</v>
      </c>
      <c r="E19" s="13">
        <v>15</v>
      </c>
      <c r="F19" s="169"/>
      <c r="G19" s="279">
        <v>9</v>
      </c>
      <c r="H19" s="2"/>
      <c r="I19" s="2">
        <v>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0"/>
        <v>9</v>
      </c>
      <c r="U19" s="933">
        <f t="shared" si="9"/>
        <v>126</v>
      </c>
      <c r="V19" s="776"/>
      <c r="W19" s="2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</row>
    <row r="20" spans="1:61" ht="21.75" customHeight="1" x14ac:dyDescent="0.3">
      <c r="A20" s="349" t="s">
        <v>505</v>
      </c>
      <c r="B20" s="13">
        <v>1130905</v>
      </c>
      <c r="C20" s="2"/>
      <c r="D20" s="13"/>
      <c r="E20" s="13">
        <v>3</v>
      </c>
      <c r="F20" s="13"/>
      <c r="G20" s="279">
        <v>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0"/>
        <v>0</v>
      </c>
      <c r="U20" s="933">
        <f t="shared" si="9"/>
        <v>27</v>
      </c>
      <c r="V20" s="731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1" ht="21.75" customHeight="1" x14ac:dyDescent="0.3">
      <c r="A21" s="349" t="s">
        <v>14</v>
      </c>
      <c r="B21" s="13">
        <v>1130924</v>
      </c>
      <c r="C21" s="2"/>
      <c r="D21" s="13"/>
      <c r="E21" s="13">
        <v>3</v>
      </c>
      <c r="F21" s="13"/>
      <c r="G21" s="1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f t="shared" si="0"/>
        <v>0</v>
      </c>
      <c r="U21" s="933">
        <f t="shared" si="9"/>
        <v>27</v>
      </c>
      <c r="V21" s="1164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v>6</v>
      </c>
      <c r="AH21" s="2"/>
      <c r="AI21" s="2">
        <v>2</v>
      </c>
      <c r="AJ21" s="2"/>
      <c r="AK21" s="2"/>
      <c r="AL21" s="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1" ht="21.75" customHeight="1" x14ac:dyDescent="0.3">
      <c r="A22" s="349" t="s">
        <v>589</v>
      </c>
      <c r="B22" s="13">
        <v>1140326</v>
      </c>
      <c r="C22" s="2"/>
      <c r="D22" s="13"/>
      <c r="E22" s="13">
        <v>0</v>
      </c>
      <c r="F22" s="13"/>
      <c r="G22" s="279">
        <v>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933"/>
      <c r="V22" s="1164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1" x14ac:dyDescent="0.3">
      <c r="D23" s="1127" t="s">
        <v>551</v>
      </c>
    </row>
    <row r="25" spans="1:61" ht="30.75" customHeight="1" x14ac:dyDescent="0.3">
      <c r="D25" s="107"/>
      <c r="E25" s="107">
        <v>114</v>
      </c>
      <c r="H25" s="1368" t="s">
        <v>91</v>
      </c>
      <c r="I25" s="1368"/>
      <c r="J25" s="1368"/>
      <c r="K25" s="1368"/>
      <c r="L25" s="1368"/>
      <c r="M25" s="1368"/>
      <c r="N25" s="1368"/>
      <c r="O25" s="1368"/>
      <c r="P25" s="1368"/>
      <c r="Q25" s="1368"/>
      <c r="R25" s="1368"/>
      <c r="S25" s="1368"/>
      <c r="W25" s="149" t="s">
        <v>121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</row>
    <row r="26" spans="1:61" ht="42.75" customHeight="1" x14ac:dyDescent="0.3">
      <c r="A26" s="106" t="s">
        <v>112</v>
      </c>
      <c r="B26" s="53" t="s">
        <v>38</v>
      </c>
      <c r="C26" s="134" t="s">
        <v>553</v>
      </c>
      <c r="D26" s="104" t="s">
        <v>68</v>
      </c>
      <c r="E26" s="104" t="s">
        <v>68</v>
      </c>
      <c r="F26" s="53"/>
      <c r="G26" s="157"/>
      <c r="H26" s="43" t="s">
        <v>19</v>
      </c>
      <c r="I26" s="43" t="s">
        <v>42</v>
      </c>
      <c r="J26" s="43" t="s">
        <v>24</v>
      </c>
      <c r="K26" s="43" t="s">
        <v>25</v>
      </c>
      <c r="L26" s="43" t="s">
        <v>26</v>
      </c>
      <c r="M26" s="43" t="s">
        <v>27</v>
      </c>
      <c r="N26" s="43" t="s">
        <v>28</v>
      </c>
      <c r="O26" s="43" t="s">
        <v>29</v>
      </c>
      <c r="P26" s="43" t="s">
        <v>30</v>
      </c>
      <c r="Q26" s="43" t="s">
        <v>31</v>
      </c>
      <c r="R26" s="43" t="s">
        <v>32</v>
      </c>
      <c r="S26" s="53" t="s">
        <v>69</v>
      </c>
      <c r="T26" s="76" t="s">
        <v>90</v>
      </c>
      <c r="U26" s="158"/>
      <c r="V26" s="69" t="s">
        <v>4</v>
      </c>
      <c r="W26" s="172" t="s">
        <v>114</v>
      </c>
      <c r="X26" s="53" t="s">
        <v>123</v>
      </c>
      <c r="Y26" s="106" t="s">
        <v>182</v>
      </c>
      <c r="Z26" s="185" t="s">
        <v>120</v>
      </c>
      <c r="AA26" s="184" t="s">
        <v>124</v>
      </c>
      <c r="AB26" s="53" t="s">
        <v>194</v>
      </c>
      <c r="AC26" s="53" t="s">
        <v>128</v>
      </c>
      <c r="AD26" s="106" t="s">
        <v>142</v>
      </c>
      <c r="AE26" s="184" t="s">
        <v>130</v>
      </c>
      <c r="AF26" s="185" t="s">
        <v>148</v>
      </c>
      <c r="AG26" s="185" t="s">
        <v>204</v>
      </c>
      <c r="AH26" s="53" t="s">
        <v>126</v>
      </c>
      <c r="AI26" s="53"/>
      <c r="AJ26" s="53" t="s">
        <v>125</v>
      </c>
      <c r="AK26" s="184" t="s">
        <v>127</v>
      </c>
      <c r="AL26" s="184" t="s">
        <v>129</v>
      </c>
      <c r="AM26" s="53" t="s">
        <v>137</v>
      </c>
      <c r="AN26" s="53" t="s">
        <v>138</v>
      </c>
      <c r="AO26" s="184" t="s">
        <v>143</v>
      </c>
      <c r="AP26" s="184" t="s">
        <v>144</v>
      </c>
      <c r="AQ26" s="184" t="s">
        <v>145</v>
      </c>
      <c r="AR26" s="53" t="s">
        <v>149</v>
      </c>
      <c r="AS26" s="53" t="s">
        <v>150</v>
      </c>
      <c r="AT26" s="53" t="s">
        <v>229</v>
      </c>
      <c r="AU26" s="184" t="s">
        <v>151</v>
      </c>
      <c r="AV26" s="184" t="s">
        <v>517</v>
      </c>
      <c r="AW26" s="53" t="s">
        <v>156</v>
      </c>
      <c r="AX26" s="53" t="s">
        <v>236</v>
      </c>
      <c r="AY26" s="184" t="s">
        <v>162</v>
      </c>
      <c r="AZ26" s="184" t="s">
        <v>163</v>
      </c>
      <c r="BA26" s="53"/>
      <c r="BB26" s="53"/>
      <c r="BC26" s="53"/>
      <c r="BD26" s="53"/>
      <c r="BE26" s="53"/>
      <c r="BF26" s="170" t="s">
        <v>157</v>
      </c>
      <c r="BG26" s="170" t="s">
        <v>158</v>
      </c>
      <c r="BH26" s="170" t="s">
        <v>159</v>
      </c>
      <c r="BI26" s="170" t="s">
        <v>160</v>
      </c>
    </row>
    <row r="27" spans="1:61" ht="20.100000000000001" customHeight="1" x14ac:dyDescent="0.3">
      <c r="A27" s="961" t="s">
        <v>48</v>
      </c>
      <c r="B27" s="2">
        <v>1080228</v>
      </c>
      <c r="C27" s="2"/>
      <c r="D27" s="2"/>
      <c r="E27" s="1049">
        <v>15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 t="shared" ref="T27:T35" si="10">SUM(H27:S27)</f>
        <v>0</v>
      </c>
      <c r="U27" s="964">
        <f t="shared" ref="U27:U35" si="11">E27*8-T27</f>
        <v>120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1"/>
      <c r="BG27" s="1"/>
      <c r="BH27" s="1"/>
      <c r="BI27" s="1"/>
    </row>
    <row r="28" spans="1:61" ht="20.100000000000001" customHeight="1" x14ac:dyDescent="0.3">
      <c r="A28" s="961" t="s">
        <v>260</v>
      </c>
      <c r="B28" s="2">
        <v>1120525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">
        <f t="shared" si="10"/>
        <v>0</v>
      </c>
      <c r="U28" s="964">
        <f t="shared" si="11"/>
        <v>0</v>
      </c>
      <c r="V28" s="777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1"/>
      <c r="BG28" s="1"/>
      <c r="BH28" s="1"/>
      <c r="BI28" s="1"/>
    </row>
    <row r="29" spans="1:61" ht="20.100000000000001" customHeight="1" x14ac:dyDescent="0.3">
      <c r="A29" s="961" t="s">
        <v>233</v>
      </c>
      <c r="B29" s="963">
        <v>1130108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 t="shared" si="10"/>
        <v>0</v>
      </c>
      <c r="U29" s="964">
        <f t="shared" si="11"/>
        <v>0</v>
      </c>
      <c r="V29" s="90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1"/>
      <c r="BG29" s="1"/>
      <c r="BH29" s="1"/>
      <c r="BI29" s="1"/>
    </row>
    <row r="30" spans="1:61" ht="20.100000000000001" customHeight="1" x14ac:dyDescent="0.3">
      <c r="A30" s="961" t="s">
        <v>436</v>
      </c>
      <c r="B30" s="963">
        <v>1121024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f t="shared" si="10"/>
        <v>0</v>
      </c>
      <c r="U30" s="964">
        <f t="shared" si="11"/>
        <v>0</v>
      </c>
      <c r="V30" s="90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1"/>
      <c r="BG30" s="1"/>
      <c r="BH30" s="1"/>
      <c r="BI30" s="1"/>
    </row>
    <row r="31" spans="1:61" ht="20.100000000000001" customHeight="1" x14ac:dyDescent="0.3">
      <c r="A31" s="961" t="s">
        <v>271</v>
      </c>
      <c r="B31" s="963">
        <v>1130318</v>
      </c>
      <c r="C31" s="2"/>
      <c r="D31" s="2"/>
      <c r="E31" s="2"/>
      <c r="F31" s="2"/>
      <c r="G31" s="2"/>
      <c r="H31" s="2"/>
      <c r="I31" s="2"/>
      <c r="J31" s="2"/>
      <c r="K31" s="2"/>
      <c r="L31" s="83"/>
      <c r="M31" s="2"/>
      <c r="N31" s="2"/>
      <c r="O31" s="2"/>
      <c r="P31" s="2"/>
      <c r="Q31" s="2"/>
      <c r="R31" s="2"/>
      <c r="S31" s="2"/>
      <c r="T31" s="2">
        <f t="shared" si="10"/>
        <v>0</v>
      </c>
      <c r="U31" s="964">
        <f t="shared" si="11"/>
        <v>0</v>
      </c>
      <c r="V31" s="90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1"/>
      <c r="BG31" s="1"/>
      <c r="BH31" s="1"/>
      <c r="BI31" s="1"/>
    </row>
    <row r="32" spans="1:61" ht="20.100000000000001" customHeight="1" x14ac:dyDescent="0.3">
      <c r="A32" s="961"/>
      <c r="B32" s="96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f t="shared" ref="T32:T33" si="12">SUM(H32:S32)</f>
        <v>0</v>
      </c>
      <c r="U32" s="964">
        <f t="shared" ref="U32:U33" si="13">E32*8-T32</f>
        <v>0</v>
      </c>
      <c r="V32" s="90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1"/>
      <c r="BG32" s="1"/>
      <c r="BH32" s="1"/>
      <c r="BI32" s="1"/>
    </row>
    <row r="33" spans="1:61" ht="20.100000000000001" customHeight="1" x14ac:dyDescent="0.3">
      <c r="A33" s="961"/>
      <c r="B33" s="96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f t="shared" si="12"/>
        <v>0</v>
      </c>
      <c r="U33" s="964">
        <f t="shared" si="13"/>
        <v>0</v>
      </c>
      <c r="V33" s="90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1"/>
      <c r="BG33" s="1"/>
      <c r="BH33" s="1"/>
      <c r="BI33" s="1"/>
    </row>
    <row r="34" spans="1:61" ht="20.100000000000001" customHeight="1" x14ac:dyDescent="0.3">
      <c r="A34" s="961"/>
      <c r="B34" s="96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f t="shared" si="10"/>
        <v>0</v>
      </c>
      <c r="U34" s="964">
        <f t="shared" si="11"/>
        <v>0</v>
      </c>
      <c r="V34" s="90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1"/>
      <c r="BG34" s="1"/>
      <c r="BH34" s="1"/>
      <c r="BI34" s="1"/>
    </row>
    <row r="35" spans="1:61" ht="20.100000000000001" customHeight="1" x14ac:dyDescent="0.3">
      <c r="A35" s="961"/>
      <c r="B35" s="96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f t="shared" si="10"/>
        <v>0</v>
      </c>
      <c r="U35" s="964">
        <f t="shared" si="11"/>
        <v>0</v>
      </c>
      <c r="V35" s="90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1"/>
      <c r="BG35" s="1"/>
      <c r="BH35" s="1"/>
      <c r="BI35" s="1"/>
    </row>
    <row r="36" spans="1:61" ht="20.100000000000001" customHeight="1" x14ac:dyDescent="0.3">
      <c r="A36" s="782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339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21"/>
      <c r="BG36" s="21"/>
      <c r="BH36" s="21"/>
      <c r="BI36" s="21"/>
    </row>
    <row r="38" spans="1:61" x14ac:dyDescent="0.3">
      <c r="D38" s="36" t="s">
        <v>41</v>
      </c>
      <c r="E38" s="36"/>
    </row>
    <row r="65" spans="13:22" ht="19.8" x14ac:dyDescent="0.3">
      <c r="V65" s="778"/>
    </row>
    <row r="66" spans="13:22" ht="19.8" x14ac:dyDescent="0.3">
      <c r="M66" s="3">
        <f>19/12*2*8</f>
        <v>25.333333333333332</v>
      </c>
      <c r="N66" s="3">
        <f>25/8</f>
        <v>3.125</v>
      </c>
      <c r="V66" s="778"/>
    </row>
    <row r="67" spans="13:22" ht="19.8" x14ac:dyDescent="0.3">
      <c r="M67" s="3">
        <f>19/12*10*4</f>
        <v>63.333333333333329</v>
      </c>
      <c r="N67" s="3">
        <f>63/4</f>
        <v>15.75</v>
      </c>
      <c r="V67" s="779"/>
    </row>
    <row r="68" spans="13:22" ht="19.8" x14ac:dyDescent="0.3">
      <c r="M68" s="103">
        <f>M66+M67</f>
        <v>88.666666666666657</v>
      </c>
      <c r="V68" s="780"/>
    </row>
    <row r="69" spans="13:22" ht="19.8" x14ac:dyDescent="0.3">
      <c r="V69" s="780"/>
    </row>
    <row r="70" spans="13:22" ht="19.8" x14ac:dyDescent="0.3">
      <c r="V70" s="781"/>
    </row>
    <row r="72" spans="13:22" ht="19.8" x14ac:dyDescent="0.3">
      <c r="V72" s="780"/>
    </row>
    <row r="82" spans="8:9" x14ac:dyDescent="0.3">
      <c r="H82" s="36" t="s">
        <v>41</v>
      </c>
      <c r="I82" s="36"/>
    </row>
    <row r="83" spans="8:9" x14ac:dyDescent="0.3">
      <c r="H83" s="45"/>
      <c r="I83" s="45"/>
    </row>
    <row r="126" spans="1:56" ht="58.5" customHeight="1" x14ac:dyDescent="0.3">
      <c r="A126" s="106" t="s">
        <v>627</v>
      </c>
      <c r="B126" s="53" t="s">
        <v>38</v>
      </c>
      <c r="C126" s="63" t="s">
        <v>67</v>
      </c>
      <c r="D126" s="1" t="s">
        <v>614</v>
      </c>
      <c r="E126" s="1371" t="s">
        <v>613</v>
      </c>
      <c r="F126" s="1371"/>
      <c r="G126" s="1371"/>
      <c r="H126" s="1371"/>
      <c r="I126" s="1371"/>
      <c r="J126" s="1" t="s">
        <v>626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s="44" customFormat="1" ht="20.100000000000001" customHeight="1" x14ac:dyDescent="0.3">
      <c r="A127" s="413" t="s">
        <v>74</v>
      </c>
      <c r="B127" s="13">
        <v>1111110</v>
      </c>
      <c r="C127" s="13">
        <v>10</v>
      </c>
      <c r="D127" s="1189" t="s">
        <v>615</v>
      </c>
      <c r="E127" s="1372" t="s">
        <v>624</v>
      </c>
      <c r="F127" s="1372"/>
      <c r="G127" s="1372"/>
      <c r="H127" s="1372"/>
      <c r="I127" s="1372"/>
      <c r="J127" s="58"/>
    </row>
    <row r="128" spans="1:56" ht="20.100000000000001" customHeight="1" x14ac:dyDescent="0.3">
      <c r="A128" s="413" t="s">
        <v>66</v>
      </c>
      <c r="B128" s="13">
        <v>1080708</v>
      </c>
      <c r="C128" s="13">
        <v>15</v>
      </c>
      <c r="D128" s="1190" t="s">
        <v>620</v>
      </c>
      <c r="E128" s="1372" t="s">
        <v>623</v>
      </c>
      <c r="F128" s="1372"/>
      <c r="G128" s="1372"/>
      <c r="H128" s="1372"/>
      <c r="I128" s="1372"/>
      <c r="J128" s="2" t="s">
        <v>628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s="44" customFormat="1" ht="18.75" customHeight="1" x14ac:dyDescent="0.3">
      <c r="A129" s="413" t="s">
        <v>75</v>
      </c>
      <c r="B129" s="13">
        <v>1090330</v>
      </c>
      <c r="C129" s="13">
        <v>15</v>
      </c>
      <c r="D129" s="1189" t="s">
        <v>616</v>
      </c>
      <c r="E129" s="1372" t="s">
        <v>625</v>
      </c>
      <c r="F129" s="1372"/>
      <c r="G129" s="1372"/>
      <c r="H129" s="1372"/>
      <c r="I129" s="1372"/>
      <c r="J129" s="58"/>
    </row>
    <row r="130" spans="1:56" ht="21.75" customHeight="1" x14ac:dyDescent="0.3">
      <c r="A130" s="349" t="s">
        <v>505</v>
      </c>
      <c r="B130" s="13">
        <v>1130905</v>
      </c>
      <c r="C130" s="13">
        <v>3</v>
      </c>
      <c r="D130" s="1190" t="s">
        <v>617</v>
      </c>
      <c r="E130" s="1371" t="s">
        <v>622</v>
      </c>
      <c r="F130" s="1371"/>
      <c r="G130" s="1371"/>
      <c r="H130" s="1371"/>
      <c r="I130" s="1371"/>
      <c r="J130" s="58" t="s">
        <v>629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ht="21.75" customHeight="1" x14ac:dyDescent="0.3">
      <c r="A131" s="349" t="s">
        <v>14</v>
      </c>
      <c r="B131" s="13">
        <v>1130924</v>
      </c>
      <c r="C131" s="13">
        <v>3</v>
      </c>
      <c r="D131" s="1190" t="s">
        <v>618</v>
      </c>
      <c r="E131" s="1371" t="s">
        <v>621</v>
      </c>
      <c r="F131" s="1371"/>
      <c r="G131" s="1371"/>
      <c r="H131" s="1371"/>
      <c r="I131" s="1371"/>
      <c r="J131" s="2" t="s">
        <v>630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ht="21.75" customHeight="1" x14ac:dyDescent="0.3">
      <c r="A132" s="349" t="s">
        <v>573</v>
      </c>
      <c r="B132" s="13">
        <v>1140326</v>
      </c>
      <c r="C132" s="13">
        <v>0</v>
      </c>
      <c r="D132" s="1190" t="s">
        <v>619</v>
      </c>
      <c r="E132" s="1371" t="s">
        <v>621</v>
      </c>
      <c r="F132" s="1371"/>
      <c r="G132" s="1371"/>
      <c r="H132" s="1371"/>
      <c r="I132" s="1371"/>
      <c r="J132" s="2" t="s">
        <v>630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x14ac:dyDescent="0.3">
      <c r="A133" s="413" t="s">
        <v>631</v>
      </c>
      <c r="B133" s="961">
        <v>1140604</v>
      </c>
      <c r="C133" s="961">
        <v>0</v>
      </c>
      <c r="D133" s="1191" t="s">
        <v>632</v>
      </c>
      <c r="E133" s="1365" t="s">
        <v>633</v>
      </c>
      <c r="F133" s="1366"/>
      <c r="G133" s="1366"/>
      <c r="H133" s="1366"/>
      <c r="I133" s="1367"/>
      <c r="J133" s="961" t="s">
        <v>634</v>
      </c>
    </row>
  </sheetData>
  <mergeCells count="11">
    <mergeCell ref="E133:I133"/>
    <mergeCell ref="H25:S25"/>
    <mergeCell ref="H1:S1"/>
    <mergeCell ref="BE1:BH1"/>
    <mergeCell ref="E132:I132"/>
    <mergeCell ref="E131:I131"/>
    <mergeCell ref="E130:I130"/>
    <mergeCell ref="E129:I129"/>
    <mergeCell ref="E128:I128"/>
    <mergeCell ref="E127:I127"/>
    <mergeCell ref="E126:I126"/>
  </mergeCells>
  <phoneticPr fontId="2" type="noConversion"/>
  <pageMargins left="0.7" right="0.7" top="0.75" bottom="0.75" header="0.3" footer="0.3"/>
  <pageSetup paperSize="9" orientation="portrait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1"/>
  <sheetViews>
    <sheetView zoomScale="70" zoomScaleNormal="70" workbookViewId="0">
      <selection activeCell="F11" sqref="F11:G11"/>
    </sheetView>
  </sheetViews>
  <sheetFormatPr defaultRowHeight="16.2" x14ac:dyDescent="0.3"/>
  <cols>
    <col min="1" max="1" width="12.44140625" customWidth="1"/>
    <col min="2" max="13" width="12.6640625" customWidth="1"/>
    <col min="14" max="14" width="14.88671875" customWidth="1"/>
  </cols>
  <sheetData>
    <row r="1" spans="1:14" ht="36" customHeight="1" thickBot="1" x14ac:dyDescent="0.35">
      <c r="C1" s="1373" t="s">
        <v>545</v>
      </c>
      <c r="D1" s="1373"/>
      <c r="E1" s="1373"/>
      <c r="F1" s="1373"/>
      <c r="G1" s="1373"/>
      <c r="H1" s="1373"/>
      <c r="I1" s="1373"/>
      <c r="J1" s="1373"/>
      <c r="K1" s="1373"/>
      <c r="L1" s="1373"/>
    </row>
    <row r="2" spans="1:14" ht="30" customHeight="1" x14ac:dyDescent="0.3">
      <c r="A2" s="40" t="s">
        <v>53</v>
      </c>
      <c r="B2" s="43" t="s">
        <v>52</v>
      </c>
      <c r="C2" s="43" t="s">
        <v>23</v>
      </c>
      <c r="D2" s="43" t="s">
        <v>24</v>
      </c>
      <c r="E2" s="43" t="s">
        <v>25</v>
      </c>
      <c r="F2" s="43" t="s">
        <v>26</v>
      </c>
      <c r="G2" s="43" t="s">
        <v>27</v>
      </c>
      <c r="H2" s="43" t="s">
        <v>28</v>
      </c>
      <c r="I2" s="43" t="s">
        <v>29</v>
      </c>
      <c r="J2" s="43" t="s">
        <v>30</v>
      </c>
      <c r="K2" s="43" t="s">
        <v>31</v>
      </c>
      <c r="L2" s="43" t="s">
        <v>32</v>
      </c>
      <c r="M2" s="41" t="s">
        <v>33</v>
      </c>
      <c r="N2" s="42" t="s">
        <v>10</v>
      </c>
    </row>
    <row r="3" spans="1:14" x14ac:dyDescent="0.3">
      <c r="A3" s="66" t="s">
        <v>54</v>
      </c>
      <c r="B3" s="6">
        <v>158806</v>
      </c>
      <c r="C3" s="6">
        <v>159786</v>
      </c>
      <c r="D3" s="6">
        <v>161000</v>
      </c>
      <c r="E3" s="6">
        <v>161000</v>
      </c>
      <c r="F3" s="6">
        <v>161000</v>
      </c>
      <c r="G3" s="6">
        <v>184000</v>
      </c>
      <c r="H3" s="6"/>
      <c r="I3" s="6"/>
      <c r="J3" s="6"/>
      <c r="K3" s="6"/>
      <c r="L3" s="6"/>
      <c r="M3" s="6"/>
      <c r="N3" s="7">
        <f t="shared" ref="N3:N8" si="0">SUM(B3:M3)</f>
        <v>985592</v>
      </c>
    </row>
    <row r="4" spans="1:14" x14ac:dyDescent="0.3">
      <c r="A4" s="66" t="s">
        <v>55</v>
      </c>
      <c r="B4" s="6">
        <v>229158</v>
      </c>
      <c r="C4" s="6">
        <v>220553</v>
      </c>
      <c r="D4" s="6">
        <v>215961</v>
      </c>
      <c r="E4" s="6">
        <v>230117</v>
      </c>
      <c r="F4" s="6">
        <v>235999</v>
      </c>
      <c r="G4" s="6">
        <v>241161</v>
      </c>
      <c r="H4" s="6"/>
      <c r="I4" s="6"/>
      <c r="J4" s="6"/>
      <c r="K4" s="6"/>
      <c r="L4" s="6"/>
      <c r="M4" s="6"/>
      <c r="N4" s="7">
        <f t="shared" si="0"/>
        <v>1372949</v>
      </c>
    </row>
    <row r="5" spans="1:14" x14ac:dyDescent="0.3">
      <c r="A5" s="66" t="s">
        <v>34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>SUM(B5:M5)</f>
        <v>0</v>
      </c>
    </row>
    <row r="6" spans="1:14" ht="16.8" thickBot="1" x14ac:dyDescent="0.35">
      <c r="A6" s="136" t="s">
        <v>35</v>
      </c>
      <c r="B6" s="22">
        <v>211362</v>
      </c>
      <c r="C6" s="22">
        <v>208380</v>
      </c>
      <c r="D6" s="22">
        <v>225470</v>
      </c>
      <c r="E6" s="22">
        <v>278834</v>
      </c>
      <c r="F6" s="22">
        <v>276394</v>
      </c>
      <c r="G6" s="22">
        <v>292033</v>
      </c>
      <c r="H6" s="22"/>
      <c r="I6" s="22"/>
      <c r="J6" s="22"/>
      <c r="K6" s="22"/>
      <c r="L6" s="22"/>
      <c r="M6" s="22"/>
      <c r="N6" s="26">
        <f t="shared" si="0"/>
        <v>1492473</v>
      </c>
    </row>
    <row r="7" spans="1:14" s="19" customFormat="1" ht="16.8" thickBot="1" x14ac:dyDescent="0.35">
      <c r="A7" s="30" t="s">
        <v>56</v>
      </c>
      <c r="B7" s="78">
        <f t="shared" ref="B7:C7" si="1">SUM(B3:B6)</f>
        <v>599326</v>
      </c>
      <c r="C7" s="78">
        <f t="shared" si="1"/>
        <v>588719</v>
      </c>
      <c r="D7" s="78">
        <f t="shared" ref="D7:G7" si="2">SUM(D3:D6)</f>
        <v>602431</v>
      </c>
      <c r="E7" s="78">
        <f t="shared" si="2"/>
        <v>669951</v>
      </c>
      <c r="F7" s="78">
        <f t="shared" si="2"/>
        <v>673393</v>
      </c>
      <c r="G7" s="78">
        <f t="shared" si="2"/>
        <v>717194</v>
      </c>
      <c r="H7" s="78"/>
      <c r="I7" s="78"/>
      <c r="J7" s="78"/>
      <c r="K7" s="78"/>
      <c r="L7" s="78"/>
      <c r="M7" s="78"/>
      <c r="N7" s="29">
        <f t="shared" si="0"/>
        <v>3851014</v>
      </c>
    </row>
    <row r="8" spans="1:14" x14ac:dyDescent="0.3">
      <c r="A8" s="135" t="s">
        <v>37</v>
      </c>
      <c r="B8" s="27">
        <v>692340</v>
      </c>
      <c r="C8" s="27">
        <v>630059</v>
      </c>
      <c r="D8" s="27">
        <v>626790</v>
      </c>
      <c r="E8" s="27">
        <v>592433</v>
      </c>
      <c r="F8" s="27">
        <v>633662</v>
      </c>
      <c r="G8" s="27">
        <v>632874</v>
      </c>
      <c r="H8" s="27"/>
      <c r="I8" s="27"/>
      <c r="J8" s="27"/>
      <c r="K8" s="27"/>
      <c r="L8" s="27"/>
      <c r="M8" s="27"/>
      <c r="N8" s="28">
        <f t="shared" si="0"/>
        <v>3808158</v>
      </c>
    </row>
    <row r="9" spans="1:14" ht="16.8" thickBot="1" x14ac:dyDescent="0.35">
      <c r="A9" s="136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6"/>
    </row>
    <row r="10" spans="1:14" s="19" customFormat="1" ht="16.8" thickBot="1" x14ac:dyDescent="0.35">
      <c r="A10" s="30" t="s">
        <v>39</v>
      </c>
      <c r="B10" s="78">
        <f t="shared" ref="B10:C10" si="3">SUM(B8:B9)</f>
        <v>692340</v>
      </c>
      <c r="C10" s="78">
        <f t="shared" si="3"/>
        <v>630059</v>
      </c>
      <c r="D10" s="78">
        <f t="shared" ref="D10:E10" si="4">SUM(D8:D9)</f>
        <v>626790</v>
      </c>
      <c r="E10" s="78">
        <f t="shared" si="4"/>
        <v>592433</v>
      </c>
      <c r="F10" s="78">
        <f t="shared" ref="F10:G10" si="5">SUM(F8:F9)</f>
        <v>633662</v>
      </c>
      <c r="G10" s="78">
        <f t="shared" si="5"/>
        <v>632874</v>
      </c>
      <c r="H10" s="78"/>
      <c r="I10" s="78"/>
      <c r="J10" s="78"/>
      <c r="K10" s="78"/>
      <c r="L10" s="78"/>
      <c r="M10" s="78"/>
      <c r="N10" s="29">
        <f t="shared" ref="N10" si="6">SUM(N8:N9)</f>
        <v>3808158</v>
      </c>
    </row>
    <row r="11" spans="1:14" ht="20.25" customHeight="1" thickBot="1" x14ac:dyDescent="0.35">
      <c r="A11" s="79" t="s">
        <v>57</v>
      </c>
      <c r="B11" s="80">
        <f t="shared" ref="B11:C11" si="7">SUM(B10,B7)</f>
        <v>1291666</v>
      </c>
      <c r="C11" s="80">
        <f t="shared" si="7"/>
        <v>1218778</v>
      </c>
      <c r="D11" s="80">
        <f t="shared" ref="D11:E11" si="8">SUM(D10,D7)</f>
        <v>1229221</v>
      </c>
      <c r="E11" s="80">
        <f t="shared" si="8"/>
        <v>1262384</v>
      </c>
      <c r="F11" s="80">
        <f t="shared" ref="F11:G11" si="9">SUM(F10,F7)</f>
        <v>1307055</v>
      </c>
      <c r="G11" s="80">
        <f t="shared" si="9"/>
        <v>1350068</v>
      </c>
      <c r="H11" s="80"/>
      <c r="I11" s="80"/>
      <c r="J11" s="80"/>
      <c r="K11" s="80"/>
      <c r="L11" s="80"/>
      <c r="M11" s="80"/>
      <c r="N11" s="81">
        <f>SUM(N7:N9)</f>
        <v>7659172</v>
      </c>
    </row>
  </sheetData>
  <mergeCells count="1">
    <mergeCell ref="C1:L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  <pageSetUpPr fitToPage="1"/>
  </sheetPr>
  <dimension ref="A1:T13"/>
  <sheetViews>
    <sheetView zoomScale="70" zoomScaleNormal="70" workbookViewId="0">
      <selection activeCell="N7" sqref="N7"/>
    </sheetView>
  </sheetViews>
  <sheetFormatPr defaultRowHeight="16.2" x14ac:dyDescent="0.3"/>
  <cols>
    <col min="1" max="1" width="6.21875" style="3" customWidth="1"/>
    <col min="2" max="2" width="13.33203125" customWidth="1"/>
    <col min="3" max="3" width="10.77734375" customWidth="1"/>
    <col min="4" max="4" width="9.33203125" customWidth="1"/>
    <col min="5" max="5" width="9.88671875" customWidth="1"/>
    <col min="6" max="6" width="7.77734375" customWidth="1"/>
    <col min="7" max="7" width="8.21875" customWidth="1"/>
    <col min="8" max="8" width="8" customWidth="1"/>
    <col min="9" max="9" width="8.77734375" customWidth="1"/>
    <col min="10" max="10" width="10.109375" customWidth="1"/>
    <col min="11" max="11" width="6.6640625" customWidth="1"/>
    <col min="12" max="12" width="11.33203125" customWidth="1"/>
    <col min="13" max="13" width="9.21875" bestFit="1" customWidth="1"/>
    <col min="14" max="14" width="34.6640625" customWidth="1"/>
    <col min="15" max="15" width="14.88671875" customWidth="1"/>
    <col min="16" max="17" width="10.21875" bestFit="1" customWidth="1"/>
    <col min="19" max="19" width="11.6640625" customWidth="1"/>
    <col min="20" max="20" width="12.44140625" customWidth="1"/>
  </cols>
  <sheetData>
    <row r="1" spans="1:20" ht="45.75" customHeight="1" thickBot="1" x14ac:dyDescent="0.35">
      <c r="A1" s="68"/>
      <c r="B1" s="68" t="s">
        <v>546</v>
      </c>
      <c r="C1" s="68"/>
      <c r="D1" s="67">
        <v>6</v>
      </c>
      <c r="E1" s="68" t="s">
        <v>71</v>
      </c>
      <c r="F1" s="68"/>
      <c r="G1" s="68"/>
      <c r="H1" s="68"/>
      <c r="I1" s="68"/>
      <c r="J1" s="68"/>
    </row>
    <row r="2" spans="1:20" s="3" customFormat="1" ht="49.5" customHeight="1" thickBot="1" x14ac:dyDescent="0.35">
      <c r="A2" s="160"/>
      <c r="B2" s="139" t="s">
        <v>1</v>
      </c>
      <c r="C2" s="161" t="s">
        <v>5</v>
      </c>
      <c r="D2" s="162" t="s">
        <v>117</v>
      </c>
      <c r="E2" s="140" t="s">
        <v>111</v>
      </c>
      <c r="F2" s="140" t="s">
        <v>2</v>
      </c>
      <c r="G2" s="140" t="s">
        <v>136</v>
      </c>
      <c r="H2" s="140" t="s">
        <v>109</v>
      </c>
      <c r="I2" s="248" t="s">
        <v>208</v>
      </c>
      <c r="J2" s="248" t="s">
        <v>207</v>
      </c>
      <c r="K2" s="163" t="s">
        <v>198</v>
      </c>
      <c r="L2" s="140" t="s">
        <v>199</v>
      </c>
      <c r="M2" s="173" t="s">
        <v>134</v>
      </c>
      <c r="N2" s="164" t="s">
        <v>4</v>
      </c>
      <c r="O2" s="165"/>
      <c r="P2" s="141" t="s">
        <v>15</v>
      </c>
      <c r="Q2" s="142" t="s">
        <v>16</v>
      </c>
      <c r="R2" s="142" t="s">
        <v>17</v>
      </c>
      <c r="S2" s="142" t="s">
        <v>20</v>
      </c>
      <c r="T2" s="166" t="s">
        <v>200</v>
      </c>
    </row>
    <row r="3" spans="1:20" ht="30.75" customHeight="1" x14ac:dyDescent="0.3">
      <c r="A3" s="127" t="s">
        <v>47</v>
      </c>
      <c r="B3" s="130" t="s">
        <v>3</v>
      </c>
      <c r="C3" s="10">
        <v>70000</v>
      </c>
      <c r="D3" s="12">
        <v>30</v>
      </c>
      <c r="E3" s="15">
        <f>C3</f>
        <v>70000</v>
      </c>
      <c r="F3" s="15"/>
      <c r="G3" s="15"/>
      <c r="H3" s="15"/>
      <c r="I3" s="15"/>
      <c r="J3" s="15"/>
      <c r="K3" s="16"/>
      <c r="L3" s="105"/>
      <c r="M3" s="174">
        <f>SUM(E3:L3)</f>
        <v>70000</v>
      </c>
      <c r="N3" s="14" t="s">
        <v>88</v>
      </c>
      <c r="O3" s="93" t="s">
        <v>22</v>
      </c>
      <c r="P3" s="100">
        <f>(3687+1008)+(2545+52+728)</f>
        <v>8020</v>
      </c>
      <c r="Q3" s="6">
        <v>2368</v>
      </c>
      <c r="R3" s="6">
        <f>2748+1818</f>
        <v>4566</v>
      </c>
      <c r="S3" s="6">
        <f>45800+30300</f>
        <v>76100</v>
      </c>
      <c r="T3" s="102">
        <f t="shared" ref="T3:T8" si="0">SUM(P3:R3)</f>
        <v>14954</v>
      </c>
    </row>
    <row r="4" spans="1:20" ht="30.75" customHeight="1" x14ac:dyDescent="0.3">
      <c r="A4" s="2" t="s">
        <v>147</v>
      </c>
      <c r="B4" s="56" t="s">
        <v>44</v>
      </c>
      <c r="C4" s="8">
        <v>22000</v>
      </c>
      <c r="D4" s="12">
        <v>30</v>
      </c>
      <c r="E4" s="15">
        <v>25000</v>
      </c>
      <c r="F4" s="9"/>
      <c r="G4" s="9">
        <v>10000</v>
      </c>
      <c r="H4" s="9"/>
      <c r="I4" s="9"/>
      <c r="J4" s="9"/>
      <c r="K4" s="11"/>
      <c r="L4" s="9"/>
      <c r="M4" s="175">
        <f>SUM(E4:L4)</f>
        <v>35000</v>
      </c>
      <c r="N4" s="14" t="s">
        <v>88</v>
      </c>
      <c r="O4" s="94" t="s">
        <v>22</v>
      </c>
      <c r="P4" s="100">
        <f>3848+101+1100</f>
        <v>5049</v>
      </c>
      <c r="Q4" s="6">
        <f>2216+710</f>
        <v>2926</v>
      </c>
      <c r="R4" s="6">
        <f>+S4*0.06</f>
        <v>2748</v>
      </c>
      <c r="S4" s="6">
        <v>45800</v>
      </c>
      <c r="T4" s="102">
        <f t="shared" si="0"/>
        <v>10723</v>
      </c>
    </row>
    <row r="5" spans="1:20" ht="30.75" customHeight="1" x14ac:dyDescent="0.3">
      <c r="A5" s="2" t="s">
        <v>147</v>
      </c>
      <c r="B5" s="56" t="s">
        <v>43</v>
      </c>
      <c r="C5" s="8">
        <v>22000</v>
      </c>
      <c r="D5" s="12">
        <v>30</v>
      </c>
      <c r="E5" s="15">
        <f t="shared" ref="E5" si="1">C5</f>
        <v>22000</v>
      </c>
      <c r="F5" s="9"/>
      <c r="G5" s="9"/>
      <c r="H5" s="9"/>
      <c r="I5" s="9"/>
      <c r="J5" s="9"/>
      <c r="K5" s="11"/>
      <c r="L5" s="9"/>
      <c r="M5" s="175">
        <f>SUM(E5:L5)</f>
        <v>22000</v>
      </c>
      <c r="N5" s="1"/>
      <c r="O5" s="93" t="s">
        <v>22</v>
      </c>
      <c r="P5" s="100">
        <v>58</v>
      </c>
      <c r="Q5" s="6">
        <v>0</v>
      </c>
      <c r="R5" s="6">
        <v>1648</v>
      </c>
      <c r="S5" s="6">
        <v>27470</v>
      </c>
      <c r="T5" s="102">
        <f t="shared" si="0"/>
        <v>1706</v>
      </c>
    </row>
    <row r="6" spans="1:20" ht="30.9" customHeight="1" x14ac:dyDescent="0.3">
      <c r="A6" s="2"/>
      <c r="B6" s="56" t="s">
        <v>239</v>
      </c>
      <c r="C6" s="176"/>
      <c r="D6" s="300"/>
      <c r="E6" s="9"/>
      <c r="F6" s="59"/>
      <c r="G6" s="59"/>
      <c r="H6" s="59"/>
      <c r="I6" s="65"/>
      <c r="J6" s="65"/>
      <c r="K6" s="1"/>
      <c r="L6" s="1"/>
      <c r="M6" s="175">
        <f>SUM(E6:L6)</f>
        <v>0</v>
      </c>
      <c r="N6" s="1" t="s">
        <v>88</v>
      </c>
      <c r="O6" s="94" t="s">
        <v>22</v>
      </c>
      <c r="P6" s="100">
        <f>933+60+266</f>
        <v>1259</v>
      </c>
      <c r="Q6" s="6">
        <v>426</v>
      </c>
      <c r="R6" s="6">
        <v>666</v>
      </c>
      <c r="S6" s="6">
        <v>11100</v>
      </c>
      <c r="T6" s="102">
        <f t="shared" si="0"/>
        <v>2351</v>
      </c>
    </row>
    <row r="7" spans="1:20" ht="30.9" customHeight="1" x14ac:dyDescent="0.3">
      <c r="A7" s="2" t="s">
        <v>147</v>
      </c>
      <c r="B7" s="1199" t="s">
        <v>644</v>
      </c>
      <c r="C7" s="176">
        <v>32000</v>
      </c>
      <c r="D7" s="12">
        <v>21</v>
      </c>
      <c r="E7" s="9">
        <f>C7/30*D7</f>
        <v>22400</v>
      </c>
      <c r="F7" s="59"/>
      <c r="G7" s="59">
        <f>1000/30*D7</f>
        <v>700</v>
      </c>
      <c r="H7" s="59"/>
      <c r="I7" s="65"/>
      <c r="J7" s="65"/>
      <c r="K7" s="1184"/>
      <c r="L7" s="1185"/>
      <c r="M7" s="175">
        <f>SUM(E7:K7)</f>
        <v>23100</v>
      </c>
      <c r="N7" s="1186" t="s">
        <v>610</v>
      </c>
      <c r="O7" s="93"/>
      <c r="P7" s="367"/>
      <c r="Q7" s="22"/>
      <c r="R7" s="22"/>
      <c r="S7" s="22"/>
      <c r="T7" s="102">
        <f t="shared" ref="T7" si="2">SUM(P7:R7)</f>
        <v>0</v>
      </c>
    </row>
    <row r="8" spans="1:20" ht="40.5" customHeight="1" x14ac:dyDescent="0.3">
      <c r="A8" s="2" t="s">
        <v>147</v>
      </c>
      <c r="B8" s="82" t="s">
        <v>268</v>
      </c>
      <c r="C8" s="1179">
        <v>32000</v>
      </c>
      <c r="D8" s="12">
        <v>30</v>
      </c>
      <c r="E8" s="15">
        <f>C8/30*D8</f>
        <v>32000.000000000004</v>
      </c>
      <c r="F8" s="1180"/>
      <c r="G8" s="1180"/>
      <c r="H8" s="1180">
        <f>2000/30*D8</f>
        <v>2000.0000000000002</v>
      </c>
      <c r="I8" s="1181"/>
      <c r="J8" s="1181"/>
      <c r="K8" s="1182"/>
      <c r="L8" s="1183"/>
      <c r="M8" s="174">
        <f>SUM(E8:K8)</f>
        <v>34000.000000000007</v>
      </c>
      <c r="N8" s="1205" t="s">
        <v>651</v>
      </c>
      <c r="O8" s="366"/>
      <c r="P8" s="367">
        <f>(2797+73+800)</f>
        <v>3670</v>
      </c>
      <c r="Q8" s="22">
        <v>1032</v>
      </c>
      <c r="R8" s="22">
        <f>S8*0.06</f>
        <v>1998</v>
      </c>
      <c r="S8" s="22">
        <v>33300</v>
      </c>
      <c r="T8" s="102">
        <f t="shared" si="0"/>
        <v>6700</v>
      </c>
    </row>
    <row r="9" spans="1:20" ht="30.75" customHeight="1" thickBot="1" x14ac:dyDescent="0.35">
      <c r="A9" s="95"/>
      <c r="B9" s="96"/>
      <c r="C9" s="97"/>
      <c r="D9" s="96"/>
      <c r="E9" s="98">
        <f t="shared" ref="E9:M9" si="3">SUM(E3:E8)</f>
        <v>171400</v>
      </c>
      <c r="F9" s="98">
        <f t="shared" si="3"/>
        <v>0</v>
      </c>
      <c r="G9" s="98">
        <f t="shared" si="3"/>
        <v>10700</v>
      </c>
      <c r="H9" s="98">
        <f t="shared" si="3"/>
        <v>2000.0000000000002</v>
      </c>
      <c r="I9" s="98">
        <f t="shared" si="3"/>
        <v>0</v>
      </c>
      <c r="J9" s="98">
        <f t="shared" si="3"/>
        <v>0</v>
      </c>
      <c r="K9" s="98">
        <f t="shared" si="3"/>
        <v>0</v>
      </c>
      <c r="L9" s="98">
        <f t="shared" si="3"/>
        <v>0</v>
      </c>
      <c r="M9" s="98">
        <f t="shared" si="3"/>
        <v>184100</v>
      </c>
      <c r="N9" s="96"/>
      <c r="O9" s="99"/>
      <c r="P9" s="101">
        <f>SUM(P3:P8)</f>
        <v>18056</v>
      </c>
      <c r="Q9" s="101">
        <f>SUM(Q3:Q8)</f>
        <v>6752</v>
      </c>
      <c r="R9" s="101">
        <f>SUM(R3:R8)</f>
        <v>11626</v>
      </c>
      <c r="S9" s="101">
        <f>SUM(S3:S8)</f>
        <v>193770</v>
      </c>
      <c r="T9" s="101">
        <f>SUM(P9:R9)</f>
        <v>36434</v>
      </c>
    </row>
    <row r="10" spans="1:20" ht="30.75" customHeight="1" x14ac:dyDescent="0.3">
      <c r="B10" s="168"/>
      <c r="C10" s="168"/>
      <c r="D10" s="168"/>
      <c r="E10" s="17"/>
      <c r="F10" s="17"/>
      <c r="G10" s="17"/>
      <c r="H10" s="17"/>
      <c r="M10" s="18"/>
    </row>
    <row r="11" spans="1:20" ht="29.25" customHeight="1" x14ac:dyDescent="0.3">
      <c r="B11" s="36"/>
      <c r="C11" s="36"/>
    </row>
    <row r="13" spans="1:20" ht="20.25" customHeight="1" x14ac:dyDescent="0.3"/>
  </sheetData>
  <phoneticPr fontId="2" type="noConversion"/>
  <printOptions horizontalCentered="1"/>
  <pageMargins left="0.11811023622047245" right="0.11811023622047245" top="0.74803149606299213" bottom="0.74803149606299213" header="0.31496062992125984" footer="0.31496062992125984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FFFF00"/>
    <pageSetUpPr fitToPage="1"/>
  </sheetPr>
  <dimension ref="A1:AO28"/>
  <sheetViews>
    <sheetView zoomScale="40" zoomScaleNormal="4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6" sqref="P6"/>
    </sheetView>
  </sheetViews>
  <sheetFormatPr defaultRowHeight="19.8" x14ac:dyDescent="0.3"/>
  <cols>
    <col min="1" max="1" width="5.109375" style="37" customWidth="1"/>
    <col min="2" max="2" width="6.33203125" style="3" customWidth="1"/>
    <col min="3" max="3" width="12" style="70" customWidth="1"/>
    <col min="4" max="4" width="9.21875" style="4" customWidth="1"/>
    <col min="5" max="5" width="12.21875" style="4" customWidth="1"/>
    <col min="6" max="7" width="8.33203125" style="4" customWidth="1"/>
    <col min="8" max="8" width="12" style="5" customWidth="1"/>
    <col min="9" max="9" width="9.33203125" style="38" customWidth="1"/>
    <col min="10" max="10" width="8.33203125" style="5" customWidth="1"/>
    <col min="11" max="11" width="7.77734375" style="5" customWidth="1"/>
    <col min="12" max="12" width="7" style="39" customWidth="1"/>
    <col min="13" max="13" width="7.44140625" style="5" customWidth="1"/>
    <col min="14" max="14" width="10.77734375" style="5" customWidth="1"/>
    <col min="15" max="15" width="10.21875" customWidth="1"/>
    <col min="16" max="16" width="10.33203125" style="32" customWidth="1"/>
    <col min="17" max="17" width="10.44140625" customWidth="1"/>
    <col min="18" max="18" width="10.6640625" customWidth="1"/>
    <col min="19" max="20" width="10.21875" customWidth="1"/>
    <col min="21" max="21" width="12.33203125" customWidth="1"/>
    <col min="22" max="22" width="10.21875" hidden="1" customWidth="1"/>
    <col min="23" max="23" width="10" hidden="1" customWidth="1"/>
    <col min="24" max="24" width="10.21875" customWidth="1"/>
    <col min="25" max="26" width="10.21875" hidden="1" customWidth="1"/>
    <col min="27" max="27" width="8.77734375" hidden="1" customWidth="1"/>
    <col min="28" max="28" width="32.77734375" hidden="1" customWidth="1"/>
    <col min="29" max="29" width="11.44140625" hidden="1" customWidth="1"/>
    <col min="30" max="30" width="34.21875" customWidth="1"/>
    <col min="31" max="31" width="10.77734375" customWidth="1"/>
    <col min="32" max="32" width="9.6640625" bestFit="1" customWidth="1"/>
    <col min="33" max="33" width="10" customWidth="1"/>
    <col min="34" max="34" width="10.109375" style="240" customWidth="1"/>
    <col min="35" max="35" width="9" style="19" customWidth="1"/>
    <col min="36" max="36" width="12.33203125" style="19" customWidth="1"/>
    <col min="37" max="37" width="25.44140625" style="19" customWidth="1"/>
    <col min="38" max="38" width="18.77734375" style="19" customWidth="1"/>
    <col min="39" max="39" width="5" customWidth="1"/>
  </cols>
  <sheetData>
    <row r="1" spans="1:41" s="33" customFormat="1" ht="42.75" customHeight="1" thickBot="1" x14ac:dyDescent="0.35">
      <c r="A1" s="73"/>
      <c r="B1" s="87"/>
      <c r="C1" s="33" t="s">
        <v>7</v>
      </c>
      <c r="D1" s="85" t="s">
        <v>79</v>
      </c>
      <c r="E1" s="85"/>
      <c r="I1" s="74" t="s">
        <v>590</v>
      </c>
      <c r="J1" s="85"/>
      <c r="K1" s="75"/>
      <c r="L1" s="357">
        <v>30</v>
      </c>
      <c r="M1" s="358" t="s">
        <v>270</v>
      </c>
      <c r="P1" s="1375" t="s">
        <v>261</v>
      </c>
      <c r="Q1" s="1376"/>
      <c r="R1" s="1376"/>
      <c r="S1" s="1376"/>
      <c r="V1" s="128"/>
      <c r="W1" s="261"/>
      <c r="X1" s="261"/>
      <c r="Y1" s="261"/>
      <c r="Z1" s="261"/>
      <c r="AA1" s="125"/>
      <c r="AB1" s="262" t="s">
        <v>102</v>
      </c>
      <c r="AC1" s="126" t="s">
        <v>180</v>
      </c>
      <c r="AD1" s="72"/>
      <c r="AE1" s="72"/>
      <c r="AF1" s="72"/>
      <c r="AG1" s="129"/>
      <c r="AH1" s="238"/>
    </row>
    <row r="2" spans="1:41" s="3" customFormat="1" ht="79.5" customHeight="1" thickBot="1" x14ac:dyDescent="0.35">
      <c r="A2" s="110" t="s">
        <v>0</v>
      </c>
      <c r="B2" s="111" t="s">
        <v>46</v>
      </c>
      <c r="C2" s="112" t="s">
        <v>1</v>
      </c>
      <c r="D2" s="113" t="s">
        <v>5</v>
      </c>
      <c r="E2" s="114" t="s">
        <v>89</v>
      </c>
      <c r="F2" s="115"/>
      <c r="G2" s="114" t="s">
        <v>94</v>
      </c>
      <c r="H2" s="143" t="s">
        <v>106</v>
      </c>
      <c r="I2" s="724" t="s">
        <v>202</v>
      </c>
      <c r="J2" s="116" t="s">
        <v>108</v>
      </c>
      <c r="K2" s="116" t="s">
        <v>206</v>
      </c>
      <c r="L2" s="140" t="s">
        <v>140</v>
      </c>
      <c r="M2" s="140" t="s">
        <v>196</v>
      </c>
      <c r="N2" s="116" t="s">
        <v>154</v>
      </c>
      <c r="O2" s="117" t="s">
        <v>2</v>
      </c>
      <c r="P2" s="118" t="s">
        <v>84</v>
      </c>
      <c r="Q2" s="119" t="s">
        <v>549</v>
      </c>
      <c r="R2" s="120" t="s">
        <v>437</v>
      </c>
      <c r="S2" s="131" t="s">
        <v>548</v>
      </c>
      <c r="T2" s="1103" t="s">
        <v>56</v>
      </c>
      <c r="U2" s="1111" t="s">
        <v>12</v>
      </c>
      <c r="V2" s="343" t="s">
        <v>98</v>
      </c>
      <c r="W2" s="155" t="s">
        <v>95</v>
      </c>
      <c r="X2" s="1123" t="s">
        <v>103</v>
      </c>
      <c r="Y2" s="1119" t="s">
        <v>104</v>
      </c>
      <c r="Z2" s="121" t="s">
        <v>105</v>
      </c>
      <c r="AA2" s="121" t="s">
        <v>97</v>
      </c>
      <c r="AB2" s="121" t="s">
        <v>94</v>
      </c>
      <c r="AC2" s="137" t="s">
        <v>107</v>
      </c>
      <c r="AD2" s="122" t="s">
        <v>86</v>
      </c>
      <c r="AE2" s="266" t="s">
        <v>15</v>
      </c>
      <c r="AF2" s="142" t="s">
        <v>16</v>
      </c>
      <c r="AG2" s="142" t="s">
        <v>215</v>
      </c>
      <c r="AH2" s="267" t="s">
        <v>93</v>
      </c>
      <c r="AI2" s="267" t="s">
        <v>87</v>
      </c>
      <c r="AJ2" s="268" t="s">
        <v>72</v>
      </c>
      <c r="AK2" s="239" t="s">
        <v>4</v>
      </c>
    </row>
    <row r="3" spans="1:41" ht="75" customHeight="1" x14ac:dyDescent="0.3">
      <c r="A3" s="55">
        <v>1</v>
      </c>
      <c r="B3" s="2" t="s">
        <v>147</v>
      </c>
      <c r="C3" s="975" t="s">
        <v>211</v>
      </c>
      <c r="D3" s="968">
        <v>30000</v>
      </c>
      <c r="E3" s="976"/>
      <c r="F3" s="968"/>
      <c r="G3" s="968"/>
      <c r="H3" s="968">
        <f>$L$1</f>
        <v>30</v>
      </c>
      <c r="I3" s="970">
        <f>+D3/L1*H3</f>
        <v>30000</v>
      </c>
      <c r="J3" s="940">
        <v>6000</v>
      </c>
      <c r="K3" s="940">
        <f>2000+1000</f>
        <v>3000</v>
      </c>
      <c r="L3" s="940"/>
      <c r="M3" s="940"/>
      <c r="N3" s="977"/>
      <c r="O3" s="978">
        <f>1000</f>
        <v>1000</v>
      </c>
      <c r="P3" s="979" t="e">
        <f>ROUND((Q3)*168+(R3)*209+S3*190,0)</f>
        <v>#REF!</v>
      </c>
      <c r="Q3" s="974" t="e">
        <f>#REF!</f>
        <v>#REF!</v>
      </c>
      <c r="R3" s="980" t="e">
        <f>#REF!</f>
        <v>#REF!</v>
      </c>
      <c r="S3" s="981" t="e">
        <f>#REF!</f>
        <v>#REF!</v>
      </c>
      <c r="T3" s="1104" t="e">
        <f>SUM(I3:P3)</f>
        <v>#REF!</v>
      </c>
      <c r="U3" s="1112" t="e">
        <f>'欣鮮-艾克爾'!P38</f>
        <v>#REF!</v>
      </c>
      <c r="V3" s="1107"/>
      <c r="W3" s="982"/>
      <c r="X3" s="979" t="e">
        <f>SUM(T3:W3)</f>
        <v>#REF!</v>
      </c>
      <c r="Y3" s="1120"/>
      <c r="Z3" s="282"/>
      <c r="AA3" s="983"/>
      <c r="AB3" s="983"/>
      <c r="AC3" s="983"/>
      <c r="AD3" s="984" t="s">
        <v>575</v>
      </c>
      <c r="AE3" s="1086">
        <f>2795+9+80</f>
        <v>2884</v>
      </c>
      <c r="AF3" s="6">
        <v>1757</v>
      </c>
      <c r="AG3" s="6">
        <v>900</v>
      </c>
      <c r="AH3" s="84">
        <f>SUM(AE3:AG3)</f>
        <v>5541</v>
      </c>
      <c r="AI3" s="6">
        <v>36300</v>
      </c>
      <c r="AJ3" s="71" t="s">
        <v>73</v>
      </c>
      <c r="AK3" s="353" t="s">
        <v>495</v>
      </c>
      <c r="AL3"/>
    </row>
    <row r="4" spans="1:41" ht="51.75" customHeight="1" x14ac:dyDescent="0.3">
      <c r="A4" s="55">
        <v>2</v>
      </c>
      <c r="B4" s="2" t="s">
        <v>147</v>
      </c>
      <c r="C4" s="837" t="s">
        <v>135</v>
      </c>
      <c r="D4" s="10">
        <v>28590</v>
      </c>
      <c r="E4" s="246"/>
      <c r="F4" s="57"/>
      <c r="G4" s="57"/>
      <c r="H4" s="909">
        <v>29.5</v>
      </c>
      <c r="I4" s="725">
        <f>D4/L1*H4</f>
        <v>28113.5</v>
      </c>
      <c r="J4" s="46"/>
      <c r="K4" s="46"/>
      <c r="L4" s="46"/>
      <c r="M4" s="46"/>
      <c r="N4" s="47"/>
      <c r="O4" s="61"/>
      <c r="P4" s="247" t="e">
        <f>ROUND((Q4)*160+(R4)*199+S4*190,0)</f>
        <v>#REF!</v>
      </c>
      <c r="Q4" s="23" t="e">
        <f>SUM(#REF!)</f>
        <v>#REF!</v>
      </c>
      <c r="R4" s="11" t="e">
        <f>SUM(#REF!)</f>
        <v>#REF!</v>
      </c>
      <c r="S4" s="109" t="e">
        <f>SUM(#REF!)</f>
        <v>#REF!</v>
      </c>
      <c r="T4" s="1105" t="e">
        <f>SUM(I4:P4)</f>
        <v>#REF!</v>
      </c>
      <c r="U4" s="1113"/>
      <c r="V4" s="344"/>
      <c r="W4" s="167"/>
      <c r="X4" s="247" t="e">
        <f t="shared" ref="X4:X7" si="0">SUM(T4:W4)</f>
        <v>#REF!</v>
      </c>
      <c r="Y4" s="1109"/>
      <c r="Z4" s="31"/>
      <c r="AA4" s="31"/>
      <c r="AB4" s="31"/>
      <c r="AC4" s="150"/>
      <c r="AD4" s="1143" t="s">
        <v>652</v>
      </c>
      <c r="AE4" s="1086">
        <v>2332</v>
      </c>
      <c r="AF4" s="6">
        <v>1384</v>
      </c>
      <c r="AG4" s="6"/>
      <c r="AH4" s="84">
        <f t="shared" ref="AH4:AH8" si="1">SUM(AE4:AG4)</f>
        <v>3716</v>
      </c>
      <c r="AI4" s="6">
        <v>28590</v>
      </c>
      <c r="AJ4" s="13">
        <v>1110708</v>
      </c>
      <c r="AK4" s="354" t="s">
        <v>181</v>
      </c>
      <c r="AM4" s="19"/>
      <c r="AN4" s="19"/>
    </row>
    <row r="5" spans="1:41" ht="51.75" customHeight="1" x14ac:dyDescent="0.3">
      <c r="A5" s="55">
        <v>3</v>
      </c>
      <c r="B5" s="127" t="s">
        <v>47</v>
      </c>
      <c r="C5" s="1149" t="s">
        <v>141</v>
      </c>
      <c r="D5" s="10">
        <v>28590</v>
      </c>
      <c r="E5" s="57"/>
      <c r="F5" s="57"/>
      <c r="G5" s="57"/>
      <c r="H5" s="57">
        <v>30</v>
      </c>
      <c r="I5" s="725">
        <f>+D5/L1*H5</f>
        <v>28590</v>
      </c>
      <c r="J5" s="145"/>
      <c r="K5" s="146"/>
      <c r="L5" s="146"/>
      <c r="M5" s="146"/>
      <c r="N5" s="145"/>
      <c r="O5" s="147"/>
      <c r="P5" s="247" t="e">
        <f>ROUND((Q5)*160+(R5)*199+S5*190,0)</f>
        <v>#REF!</v>
      </c>
      <c r="Q5" s="34" t="e">
        <f>SUM(#REF!)</f>
        <v>#REF!</v>
      </c>
      <c r="R5" s="16" t="e">
        <f>SUM(#REF!)</f>
        <v>#REF!</v>
      </c>
      <c r="S5" s="35" t="e">
        <f>SUM(#REF!)</f>
        <v>#REF!</v>
      </c>
      <c r="T5" s="1105" t="e">
        <f>SUM(I5:P5)</f>
        <v>#REF!</v>
      </c>
      <c r="U5" s="1114"/>
      <c r="V5" s="345"/>
      <c r="W5" s="156"/>
      <c r="X5" s="247" t="e">
        <f t="shared" si="0"/>
        <v>#REF!</v>
      </c>
      <c r="Y5" s="1121"/>
      <c r="Z5" s="148"/>
      <c r="AA5" s="148"/>
      <c r="AB5" s="148"/>
      <c r="AC5" s="123"/>
      <c r="AD5" s="953"/>
      <c r="AE5" s="1086">
        <v>2332</v>
      </c>
      <c r="AF5" s="6">
        <v>1384</v>
      </c>
      <c r="AG5" s="6"/>
      <c r="AH5" s="84">
        <f t="shared" si="1"/>
        <v>3716</v>
      </c>
      <c r="AI5" s="6">
        <v>28590</v>
      </c>
      <c r="AJ5" s="71">
        <v>1110825</v>
      </c>
      <c r="AK5" s="354"/>
      <c r="AM5" s="19"/>
      <c r="AN5" s="19"/>
    </row>
    <row r="6" spans="1:41" ht="46.5" customHeight="1" x14ac:dyDescent="0.3">
      <c r="A6" s="55">
        <v>4</v>
      </c>
      <c r="B6" s="127" t="s">
        <v>47</v>
      </c>
      <c r="C6" s="838" t="s">
        <v>171</v>
      </c>
      <c r="D6" s="10">
        <v>28590</v>
      </c>
      <c r="E6" s="908"/>
      <c r="F6" s="57"/>
      <c r="G6" s="57"/>
      <c r="H6" s="57">
        <v>30</v>
      </c>
      <c r="I6" s="725">
        <f>+D6/L1*H6</f>
        <v>28590</v>
      </c>
      <c r="J6" s="49"/>
      <c r="K6" s="48"/>
      <c r="L6" s="48"/>
      <c r="M6" s="48"/>
      <c r="N6" s="59"/>
      <c r="O6" s="60"/>
      <c r="P6" s="247" t="e">
        <f>ROUND((Q6)*160+(R6)*199+S6*190,0)</f>
        <v>#REF!</v>
      </c>
      <c r="Q6" s="23" t="e">
        <f>SUM(#REF!)</f>
        <v>#REF!</v>
      </c>
      <c r="R6" s="11" t="e">
        <f>SUM(#REF!)</f>
        <v>#REF!</v>
      </c>
      <c r="S6" s="50" t="e">
        <f>SUM(#REF!)</f>
        <v>#REF!</v>
      </c>
      <c r="T6" s="1105" t="e">
        <f>SUM(I6:P6)</f>
        <v>#REF!</v>
      </c>
      <c r="U6" s="1113"/>
      <c r="V6" s="345"/>
      <c r="W6" s="156"/>
      <c r="X6" s="247" t="e">
        <f>SUM(T6:W6)+F6</f>
        <v>#REF!</v>
      </c>
      <c r="Y6" s="1109"/>
      <c r="Z6" s="31"/>
      <c r="AA6" s="31"/>
      <c r="AB6" s="31"/>
      <c r="AC6" s="123"/>
      <c r="AD6" s="953"/>
      <c r="AE6" s="1086">
        <v>2332</v>
      </c>
      <c r="AF6" s="6">
        <v>1384</v>
      </c>
      <c r="AG6" s="6"/>
      <c r="AH6" s="84">
        <f t="shared" si="1"/>
        <v>3716</v>
      </c>
      <c r="AI6" s="6">
        <v>28590</v>
      </c>
      <c r="AJ6" s="13">
        <v>1120111</v>
      </c>
      <c r="AK6" s="354"/>
      <c r="AM6" s="19"/>
      <c r="AN6" s="19"/>
    </row>
    <row r="7" spans="1:41" ht="44.4" customHeight="1" x14ac:dyDescent="0.3">
      <c r="A7" s="55">
        <v>5</v>
      </c>
      <c r="B7" s="251" t="s">
        <v>47</v>
      </c>
      <c r="C7" s="839" t="s">
        <v>192</v>
      </c>
      <c r="D7" s="10">
        <v>28590</v>
      </c>
      <c r="E7" s="57"/>
      <c r="F7" s="249"/>
      <c r="G7" s="249"/>
      <c r="H7" s="57">
        <f t="shared" ref="H7:H8" si="2">$L$1</f>
        <v>30</v>
      </c>
      <c r="I7" s="725">
        <f>+D7/L1*H7</f>
        <v>28590</v>
      </c>
      <c r="J7" s="49"/>
      <c r="K7" s="942">
        <v>500</v>
      </c>
      <c r="L7" s="255"/>
      <c r="M7" s="255"/>
      <c r="N7" s="256"/>
      <c r="O7" s="257"/>
      <c r="P7" s="247" t="e">
        <f>ROUND((Q7)*160+(R7)*199+S7*190,0)</f>
        <v>#REF!</v>
      </c>
      <c r="Q7" s="258" t="e">
        <f>SUM(#REF!)</f>
        <v>#REF!</v>
      </c>
      <c r="R7" s="259" t="e">
        <f>SUM(#REF!)</f>
        <v>#REF!</v>
      </c>
      <c r="S7" s="260" t="e">
        <f>SUM(#REF!)</f>
        <v>#REF!</v>
      </c>
      <c r="T7" s="1099" t="e">
        <f t="shared" ref="T7:T9" si="3">SUM(I7:P7)</f>
        <v>#REF!</v>
      </c>
      <c r="U7" s="1115" t="e">
        <f>SUM('欣鮮-艾克爾'!P50:P51)</f>
        <v>#REF!</v>
      </c>
      <c r="V7" s="1108"/>
      <c r="W7" s="252"/>
      <c r="X7" s="247" t="e">
        <f t="shared" si="0"/>
        <v>#REF!</v>
      </c>
      <c r="Y7" s="1122"/>
      <c r="Z7" s="186"/>
      <c r="AA7" s="186"/>
      <c r="AB7" s="186"/>
      <c r="AC7" s="272"/>
      <c r="AD7" s="953"/>
      <c r="AE7" s="1086">
        <v>2332</v>
      </c>
      <c r="AF7" s="6">
        <v>1384</v>
      </c>
      <c r="AG7" s="22"/>
      <c r="AH7" s="277">
        <f t="shared" si="1"/>
        <v>3716</v>
      </c>
      <c r="AI7" s="6">
        <v>28590</v>
      </c>
      <c r="AJ7" s="124">
        <v>1120306</v>
      </c>
      <c r="AK7" s="355" t="s">
        <v>201</v>
      </c>
      <c r="AM7" s="19"/>
      <c r="AN7" s="19"/>
    </row>
    <row r="8" spans="1:41" ht="44.4" hidden="1" customHeight="1" x14ac:dyDescent="0.3">
      <c r="A8" s="55">
        <v>6</v>
      </c>
      <c r="B8" s="253" t="s">
        <v>47</v>
      </c>
      <c r="C8" s="840" t="s">
        <v>214</v>
      </c>
      <c r="D8" s="254">
        <v>0</v>
      </c>
      <c r="E8" s="254"/>
      <c r="F8" s="254"/>
      <c r="G8" s="254"/>
      <c r="H8" s="57">
        <f t="shared" si="2"/>
        <v>30</v>
      </c>
      <c r="I8" s="725">
        <f>+D8/L1*H8</f>
        <v>0</v>
      </c>
      <c r="J8" s="49"/>
      <c r="K8" s="48"/>
      <c r="L8" s="48"/>
      <c r="M8" s="48"/>
      <c r="N8" s="59"/>
      <c r="O8" s="60"/>
      <c r="P8" s="269" t="e">
        <f t="shared" ref="P8" si="4">ROUND((Q8)*153+(R8)*191+S8*183,0)</f>
        <v>#REF!</v>
      </c>
      <c r="Q8" s="258" t="e">
        <f>SUM(#REF!)</f>
        <v>#REF!</v>
      </c>
      <c r="R8" s="11" t="e">
        <f>+#REF!</f>
        <v>#REF!</v>
      </c>
      <c r="S8" s="50"/>
      <c r="T8" s="1099" t="e">
        <f t="shared" si="3"/>
        <v>#REF!</v>
      </c>
      <c r="U8" s="973"/>
      <c r="V8" s="270"/>
      <c r="W8" s="271"/>
      <c r="X8" s="247" t="e">
        <f>SUM(T8:W8)</f>
        <v>#REF!</v>
      </c>
      <c r="Y8" s="1109"/>
      <c r="Z8" s="31"/>
      <c r="AA8" s="31"/>
      <c r="AB8" s="31"/>
      <c r="AC8" s="150"/>
      <c r="AD8" s="871"/>
      <c r="AE8" s="1086">
        <f t="shared" ref="AE8" si="5">2115+7+60</f>
        <v>2182</v>
      </c>
      <c r="AF8" s="6">
        <v>1329</v>
      </c>
      <c r="AG8" s="1"/>
      <c r="AH8" s="277">
        <f t="shared" si="1"/>
        <v>3511</v>
      </c>
      <c r="AI8" s="22">
        <v>27470</v>
      </c>
      <c r="AJ8" s="13">
        <v>112.06270000000001</v>
      </c>
      <c r="AK8" s="356"/>
      <c r="AM8" s="19"/>
      <c r="AN8" s="19"/>
    </row>
    <row r="9" spans="1:41" ht="44.4" customHeight="1" x14ac:dyDescent="0.3">
      <c r="A9" s="55">
        <v>6</v>
      </c>
      <c r="B9" s="253" t="s">
        <v>47</v>
      </c>
      <c r="C9" s="839" t="s">
        <v>265</v>
      </c>
      <c r="D9" s="10">
        <v>28590</v>
      </c>
      <c r="E9" s="254"/>
      <c r="F9" s="254"/>
      <c r="G9" s="254"/>
      <c r="H9" s="57">
        <v>30</v>
      </c>
      <c r="I9" s="725">
        <f>+D9/L1*H9</f>
        <v>28590</v>
      </c>
      <c r="J9" s="385"/>
      <c r="K9" s="48"/>
      <c r="L9" s="48"/>
      <c r="M9" s="48"/>
      <c r="N9" s="59"/>
      <c r="O9" s="60"/>
      <c r="P9" s="247" t="e">
        <f>ROUND((Q9)*160+(R9)*199+S9*190,0)</f>
        <v>#REF!</v>
      </c>
      <c r="Q9" s="258" t="e">
        <f>SUM(#REF!)</f>
        <v>#REF!</v>
      </c>
      <c r="R9" s="258" t="e">
        <f>SUM(#REF!)</f>
        <v>#REF!</v>
      </c>
      <c r="S9" s="1095" t="e">
        <f>SUM(#REF!)</f>
        <v>#REF!</v>
      </c>
      <c r="T9" s="1099" t="e">
        <f t="shared" si="3"/>
        <v>#REF!</v>
      </c>
      <c r="U9" s="1113"/>
      <c r="V9" s="270"/>
      <c r="W9" s="271"/>
      <c r="X9" s="1124" t="e">
        <f t="shared" ref="X9" si="6">SUM(T9:W9)</f>
        <v>#REF!</v>
      </c>
      <c r="Y9" s="1109"/>
      <c r="Z9" s="31"/>
      <c r="AA9" s="31"/>
      <c r="AB9" s="31"/>
      <c r="AC9" s="150"/>
      <c r="AD9" s="952"/>
      <c r="AE9" s="1086">
        <v>2332</v>
      </c>
      <c r="AF9" s="6">
        <v>1384</v>
      </c>
      <c r="AG9" s="22"/>
      <c r="AH9" s="277">
        <f t="shared" ref="AH9" si="7">SUM(AE9:AG9)</f>
        <v>3716</v>
      </c>
      <c r="AI9" s="6">
        <v>28590</v>
      </c>
      <c r="AJ9" s="13">
        <v>1130226</v>
      </c>
      <c r="AK9" s="356"/>
      <c r="AM9" s="19"/>
      <c r="AN9" s="19"/>
    </row>
    <row r="10" spans="1:41" ht="44.4" customHeight="1" x14ac:dyDescent="0.3">
      <c r="A10" s="55">
        <v>7</v>
      </c>
      <c r="B10" s="253" t="s">
        <v>47</v>
      </c>
      <c r="C10" s="839" t="s">
        <v>612</v>
      </c>
      <c r="D10" s="10">
        <v>28590</v>
      </c>
      <c r="E10" s="254"/>
      <c r="F10" s="254"/>
      <c r="G10" s="254"/>
      <c r="H10" s="57"/>
      <c r="I10" s="725"/>
      <c r="J10" s="385"/>
      <c r="K10" s="48"/>
      <c r="L10" s="48"/>
      <c r="M10" s="48"/>
      <c r="N10" s="59"/>
      <c r="O10" s="60"/>
      <c r="P10" s="247" t="e">
        <f>ROUND((Q10)*160+(R10)*199+S10*190,0)</f>
        <v>#REF!</v>
      </c>
      <c r="Q10" s="258" t="e">
        <f>#REF!</f>
        <v>#REF!</v>
      </c>
      <c r="R10" s="258" t="e">
        <f>#REF!</f>
        <v>#REF!</v>
      </c>
      <c r="S10" s="1095">
        <v>0</v>
      </c>
      <c r="T10" s="1099" t="e">
        <f t="shared" ref="T10" si="8">SUM(I10:P10)</f>
        <v>#REF!</v>
      </c>
      <c r="U10" s="1113"/>
      <c r="V10" s="270"/>
      <c r="W10" s="271"/>
      <c r="X10" s="1124" t="e">
        <f t="shared" ref="X10" si="9">SUM(T10:W10)</f>
        <v>#REF!</v>
      </c>
      <c r="Y10" s="1109"/>
      <c r="Z10" s="31"/>
      <c r="AA10" s="31"/>
      <c r="AB10" s="31"/>
      <c r="AC10" s="150"/>
      <c r="AD10" s="952"/>
      <c r="AE10" s="1086">
        <v>2332</v>
      </c>
      <c r="AF10" s="6">
        <v>1384</v>
      </c>
      <c r="AG10" s="22"/>
      <c r="AH10" s="277">
        <f t="shared" ref="AH10" si="10">SUM(AE10:AG10)</f>
        <v>3716</v>
      </c>
      <c r="AI10" s="6">
        <v>28590</v>
      </c>
      <c r="AJ10" s="71">
        <v>1120103</v>
      </c>
      <c r="AK10" s="356"/>
      <c r="AM10" s="19"/>
      <c r="AN10" s="19"/>
    </row>
    <row r="11" spans="1:41" s="25" customFormat="1" ht="52.5" customHeight="1" x14ac:dyDescent="0.3">
      <c r="A11" s="55">
        <v>8</v>
      </c>
      <c r="B11" s="2" t="s">
        <v>216</v>
      </c>
      <c r="C11" s="838" t="s">
        <v>18</v>
      </c>
      <c r="D11" s="254">
        <f>32000*0.5</f>
        <v>16000</v>
      </c>
      <c r="E11" s="254"/>
      <c r="F11" s="254"/>
      <c r="G11" s="254"/>
      <c r="H11" s="909">
        <v>29.4</v>
      </c>
      <c r="I11" s="790">
        <f>+D11/L1*H11</f>
        <v>15680</v>
      </c>
      <c r="J11" s="59">
        <f>4000*0.5*H11/L1</f>
        <v>1960</v>
      </c>
      <c r="K11" s="48">
        <f>3200*0.5/L1*H11</f>
        <v>1568</v>
      </c>
      <c r="L11" s="940">
        <f>1000/21*20</f>
        <v>952.38095238095241</v>
      </c>
      <c r="M11" s="48"/>
      <c r="N11" s="59"/>
      <c r="O11" s="60">
        <v>500</v>
      </c>
      <c r="P11" s="269" t="e">
        <f>(16000+3600)/31/4*1.33*Q11</f>
        <v>#REF!</v>
      </c>
      <c r="Q11" s="23" t="e">
        <f>SUM(#REF!)</f>
        <v>#REF!</v>
      </c>
      <c r="R11" s="11" t="e">
        <f>SUM(#REF!)</f>
        <v>#REF!</v>
      </c>
      <c r="S11" s="50" t="e">
        <f>SUM(#REF!)</f>
        <v>#REF!</v>
      </c>
      <c r="T11" s="1105" t="e">
        <f>SUM(I11:P11)</f>
        <v>#REF!</v>
      </c>
      <c r="U11" s="1116"/>
      <c r="V11" s="1109"/>
      <c r="W11" s="31"/>
      <c r="X11" s="1125" t="e">
        <f t="shared" ref="X11:X12" si="11">SUM(T11:W11)</f>
        <v>#REF!</v>
      </c>
      <c r="Y11" s="1110"/>
      <c r="Z11" s="340"/>
      <c r="AA11" s="340"/>
      <c r="AB11" s="340"/>
      <c r="AC11" s="282"/>
      <c r="AD11" s="1143" t="s">
        <v>643</v>
      </c>
      <c r="AE11" s="1086">
        <v>1830</v>
      </c>
      <c r="AF11" s="6">
        <v>1329</v>
      </c>
      <c r="AG11" s="6">
        <f>+AI11*0.06</f>
        <v>1260.54</v>
      </c>
      <c r="AH11" s="84">
        <f>SUM(AE11:AG11)</f>
        <v>4419.54</v>
      </c>
      <c r="AI11" s="108">
        <v>21009</v>
      </c>
      <c r="AJ11" s="13">
        <v>1010201</v>
      </c>
      <c r="AK11" s="354" t="s">
        <v>508</v>
      </c>
      <c r="AL11" s="24"/>
      <c r="AM11" s="19"/>
      <c r="AN11" s="19"/>
      <c r="AO11"/>
    </row>
    <row r="12" spans="1:41" s="25" customFormat="1" ht="52.5" hidden="1" customHeight="1" x14ac:dyDescent="0.3">
      <c r="A12" s="55"/>
      <c r="B12" s="966" t="s">
        <v>47</v>
      </c>
      <c r="C12" s="967" t="s">
        <v>444</v>
      </c>
      <c r="D12" s="968">
        <v>28590</v>
      </c>
      <c r="E12" s="969"/>
      <c r="F12" s="969"/>
      <c r="G12" s="969"/>
      <c r="H12" s="968">
        <v>0</v>
      </c>
      <c r="I12" s="970">
        <f>D12/L1*H12</f>
        <v>0</v>
      </c>
      <c r="J12" s="971"/>
      <c r="K12" s="940"/>
      <c r="L12" s="940"/>
      <c r="M12" s="940"/>
      <c r="N12" s="971"/>
      <c r="O12" s="972"/>
      <c r="P12" s="973" t="e">
        <f>ROUND((Q12)*158+(R12)*199+S12*190,0)</f>
        <v>#REF!</v>
      </c>
      <c r="Q12" s="974" t="e">
        <f>#REF!</f>
        <v>#REF!</v>
      </c>
      <c r="R12" s="974" t="e">
        <f>#REF!</f>
        <v>#REF!</v>
      </c>
      <c r="S12" s="1096" t="e">
        <f>#REF!</f>
        <v>#REF!</v>
      </c>
      <c r="T12" s="1104" t="e">
        <f t="shared" ref="T12" si="12">SUM(I12:P12)</f>
        <v>#REF!</v>
      </c>
      <c r="U12" s="1117"/>
      <c r="V12" s="1110"/>
      <c r="W12" s="340"/>
      <c r="X12" s="1126" t="e">
        <f t="shared" si="11"/>
        <v>#REF!</v>
      </c>
      <c r="Y12" s="1110"/>
      <c r="Z12" s="340"/>
      <c r="AA12" s="340"/>
      <c r="AB12" s="340"/>
      <c r="AC12" s="282"/>
      <c r="AD12" s="1100"/>
      <c r="AE12" s="1086">
        <v>2332</v>
      </c>
      <c r="AF12" s="6">
        <v>1384</v>
      </c>
      <c r="AG12" s="22"/>
      <c r="AH12" s="277">
        <f t="shared" ref="AH12" si="13">SUM(AE12:AG12)</f>
        <v>3716</v>
      </c>
      <c r="AI12" s="6">
        <v>28590</v>
      </c>
      <c r="AJ12" s="13">
        <v>1130628</v>
      </c>
      <c r="AK12" s="1087" t="s">
        <v>498</v>
      </c>
      <c r="AL12" s="24"/>
      <c r="AM12" s="19"/>
      <c r="AN12" s="19"/>
      <c r="AO12"/>
    </row>
    <row r="13" spans="1:41" ht="34.5" customHeight="1" thickBot="1" x14ac:dyDescent="0.35">
      <c r="A13" s="1088"/>
      <c r="B13" s="1089"/>
      <c r="C13" s="1090" t="s">
        <v>70</v>
      </c>
      <c r="D13" s="1091"/>
      <c r="E13" s="1091"/>
      <c r="F13" s="1091">
        <f>SUM(F3:F11)</f>
        <v>0</v>
      </c>
      <c r="G13" s="1091"/>
      <c r="H13" s="1089"/>
      <c r="I13" s="1092">
        <f>SUM(I3:I12)</f>
        <v>188153.5</v>
      </c>
      <c r="J13" s="1093">
        <f t="shared" ref="J13:O13" si="14">SUM(J3:J11)</f>
        <v>7960</v>
      </c>
      <c r="K13" s="1093">
        <f t="shared" si="14"/>
        <v>5068</v>
      </c>
      <c r="L13" s="1093">
        <f t="shared" si="14"/>
        <v>952.38095238095241</v>
      </c>
      <c r="M13" s="1093">
        <f t="shared" si="14"/>
        <v>0</v>
      </c>
      <c r="N13" s="1093">
        <f t="shared" si="14"/>
        <v>0</v>
      </c>
      <c r="O13" s="1097">
        <f t="shared" si="14"/>
        <v>1500</v>
      </c>
      <c r="P13" s="1101" t="e">
        <f t="shared" ref="P13:X13" si="15">SUM(P3:P12)</f>
        <v>#REF!</v>
      </c>
      <c r="Q13" s="1093" t="e">
        <f t="shared" si="15"/>
        <v>#REF!</v>
      </c>
      <c r="R13" s="1093" t="e">
        <f t="shared" si="15"/>
        <v>#REF!</v>
      </c>
      <c r="S13" s="1097" t="e">
        <f t="shared" si="15"/>
        <v>#REF!</v>
      </c>
      <c r="T13" s="1106" t="e">
        <f t="shared" si="15"/>
        <v>#REF!</v>
      </c>
      <c r="U13" s="1118" t="e">
        <f t="shared" si="15"/>
        <v>#REF!</v>
      </c>
      <c r="V13" s="1098">
        <f t="shared" si="15"/>
        <v>0</v>
      </c>
      <c r="W13" s="1093">
        <f t="shared" si="15"/>
        <v>0</v>
      </c>
      <c r="X13" s="1102" t="e">
        <f t="shared" si="15"/>
        <v>#REF!</v>
      </c>
      <c r="Y13" s="1098">
        <f t="shared" ref="Y13:AD13" si="16">SUM(Y3:Y11)</f>
        <v>0</v>
      </c>
      <c r="Z13" s="1093">
        <f t="shared" si="16"/>
        <v>0</v>
      </c>
      <c r="AA13" s="1093">
        <f t="shared" si="16"/>
        <v>0</v>
      </c>
      <c r="AB13" s="1093">
        <f t="shared" si="16"/>
        <v>0</v>
      </c>
      <c r="AC13" s="1093">
        <f t="shared" si="16"/>
        <v>0</v>
      </c>
      <c r="AD13" s="1102">
        <f t="shared" si="16"/>
        <v>0</v>
      </c>
      <c r="AE13" s="1098">
        <f>SUM(AE3:AE12)</f>
        <v>23220</v>
      </c>
      <c r="AF13" s="1093">
        <f>SUM(AF3:AF12)</f>
        <v>14103</v>
      </c>
      <c r="AG13" s="1093">
        <f>SUM(AG3:AG12)</f>
        <v>2160.54</v>
      </c>
      <c r="AH13" s="1093">
        <f>SUM(AH3:AH12)</f>
        <v>39483.54</v>
      </c>
      <c r="AI13" s="1093">
        <f>SUM(AI3:AI12)</f>
        <v>284909</v>
      </c>
      <c r="AJ13" s="323"/>
      <c r="AK13" s="1094"/>
    </row>
    <row r="14" spans="1:41" ht="22.8" thickBot="1" x14ac:dyDescent="0.35">
      <c r="B14" s="1374" t="s">
        <v>76</v>
      </c>
      <c r="C14" s="1374"/>
      <c r="D14" s="1374"/>
      <c r="H14" s="263" t="s">
        <v>92</v>
      </c>
      <c r="I14" s="264"/>
      <c r="J14" s="264"/>
      <c r="K14" s="264"/>
      <c r="L14" s="264"/>
      <c r="M14" s="264"/>
      <c r="N14" s="264"/>
      <c r="O14" s="264"/>
      <c r="P14" s="265"/>
      <c r="R14" s="86"/>
      <c r="AB14" s="25"/>
      <c r="AC14" s="243"/>
      <c r="AD14" s="243"/>
      <c r="AF14" s="243"/>
      <c r="AG14" s="107"/>
      <c r="AH14" s="244"/>
    </row>
    <row r="15" spans="1:41" x14ac:dyDescent="0.3">
      <c r="D15" s="88"/>
      <c r="E15" s="88"/>
      <c r="F15" s="88"/>
      <c r="G15" s="88"/>
      <c r="H15" s="144"/>
    </row>
    <row r="16" spans="1:41" x14ac:dyDescent="0.3">
      <c r="H16" s="36" t="s">
        <v>169</v>
      </c>
      <c r="I16" s="159"/>
      <c r="J16" s="159"/>
      <c r="K16" s="17"/>
      <c r="L16" s="17"/>
    </row>
    <row r="18" spans="5:18" x14ac:dyDescent="0.3">
      <c r="P18" s="785"/>
    </row>
    <row r="19" spans="5:18" ht="25.5" customHeight="1" x14ac:dyDescent="0.3">
      <c r="E19" s="352" t="s">
        <v>591</v>
      </c>
      <c r="J19" s="24"/>
      <c r="K19" s="24"/>
      <c r="L19" s="24"/>
      <c r="P19" s="785"/>
      <c r="Q19" s="944"/>
      <c r="R19" s="944"/>
    </row>
    <row r="22" spans="5:18" x14ac:dyDescent="0.3">
      <c r="H22" s="786"/>
    </row>
    <row r="23" spans="5:18" x14ac:dyDescent="0.3">
      <c r="H23" s="786"/>
    </row>
    <row r="24" spans="5:18" x14ac:dyDescent="0.3">
      <c r="H24" s="788"/>
      <c r="I24" s="789"/>
    </row>
    <row r="28" spans="5:18" x14ac:dyDescent="0.3">
      <c r="H28" s="787"/>
    </row>
  </sheetData>
  <mergeCells count="2">
    <mergeCell ref="B14:D14"/>
    <mergeCell ref="P1:S1"/>
  </mergeCells>
  <phoneticPr fontId="2" type="noConversion"/>
  <printOptions horizontalCentered="1"/>
  <pageMargins left="0" right="0" top="0.78740157480314965" bottom="0" header="0.31496062992125984" footer="0.31496062992125984"/>
  <pageSetup paperSize="9" scale="44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theme="9" tint="-0.499984740745262"/>
    <pageSetUpPr fitToPage="1"/>
  </sheetPr>
  <dimension ref="A1:Y68"/>
  <sheetViews>
    <sheetView zoomScale="50" zoomScaleNormal="50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" defaultRowHeight="19.8" x14ac:dyDescent="0.3"/>
  <cols>
    <col min="1" max="1" width="7.6640625" style="235" customWidth="1"/>
    <col min="2" max="2" width="8.33203125" style="224" customWidth="1"/>
    <col min="3" max="3" width="19.6640625" style="1298" customWidth="1"/>
    <col min="4" max="4" width="12.88671875" style="236" customWidth="1"/>
    <col min="5" max="5" width="18.6640625" style="225" customWidth="1"/>
    <col min="6" max="6" width="18.88671875" style="819" customWidth="1"/>
    <col min="7" max="7" width="12.33203125" style="226" customWidth="1"/>
    <col min="8" max="8" width="10.33203125" style="959" hidden="1" customWidth="1"/>
    <col min="9" max="9" width="9.109375" style="226" customWidth="1"/>
    <col min="10" max="10" width="9.77734375" style="226" customWidth="1"/>
    <col min="11" max="11" width="11.21875" style="226" customWidth="1"/>
    <col min="12" max="12" width="8.6640625" style="226" customWidth="1"/>
    <col min="13" max="13" width="10.77734375" style="226" customWidth="1"/>
    <col min="14" max="15" width="10.33203125" style="226" customWidth="1"/>
    <col min="16" max="16" width="13.6640625" style="227" customWidth="1"/>
    <col min="17" max="17" width="45.21875" style="770" customWidth="1"/>
    <col min="18" max="18" width="8.88671875" style="213" customWidth="1"/>
    <col min="19" max="19" width="8.44140625" style="213" customWidth="1"/>
    <col min="20" max="20" width="9.109375" style="213" customWidth="1"/>
    <col min="21" max="21" width="10.88671875" style="213" customWidth="1"/>
    <col min="22" max="22" width="11.21875" style="213" customWidth="1"/>
    <col min="23" max="23" width="9.6640625" style="228" customWidth="1"/>
    <col min="24" max="24" width="60" style="223" customWidth="1"/>
    <col min="25" max="25" width="31.44140625" style="207" customWidth="1"/>
    <col min="26" max="16384" width="9" style="207"/>
  </cols>
  <sheetData>
    <row r="1" spans="1:24" s="196" customFormat="1" ht="57.45" customHeight="1" thickBot="1" x14ac:dyDescent="0.35">
      <c r="A1" s="237"/>
      <c r="B1" s="187"/>
      <c r="C1" s="365"/>
      <c r="D1" s="188" t="s">
        <v>64</v>
      </c>
      <c r="E1" s="189"/>
      <c r="F1" s="811">
        <v>114</v>
      </c>
      <c r="G1" s="190" t="s">
        <v>40</v>
      </c>
      <c r="H1" s="956"/>
      <c r="I1" s="191"/>
      <c r="J1" s="190">
        <v>6</v>
      </c>
      <c r="K1" s="190" t="s">
        <v>58</v>
      </c>
      <c r="L1" s="192" t="s">
        <v>9</v>
      </c>
      <c r="M1" s="192"/>
      <c r="N1" s="774">
        <v>30</v>
      </c>
      <c r="O1" s="364" t="s">
        <v>269</v>
      </c>
      <c r="P1" s="1172"/>
      <c r="Q1" s="758"/>
      <c r="R1" s="193"/>
      <c r="S1" s="193"/>
      <c r="T1" s="194"/>
      <c r="U1" s="194"/>
      <c r="V1" s="195"/>
      <c r="W1" s="341"/>
      <c r="X1" s="342"/>
    </row>
    <row r="2" spans="1:24" s="757" customFormat="1" ht="37.5" customHeight="1" x14ac:dyDescent="0.3">
      <c r="A2" s="744" t="s">
        <v>0</v>
      </c>
      <c r="B2" s="745"/>
      <c r="C2" s="1289" t="s">
        <v>1</v>
      </c>
      <c r="D2" s="746" t="s">
        <v>65</v>
      </c>
      <c r="E2" s="747" t="s">
        <v>193</v>
      </c>
      <c r="F2" s="748" t="s">
        <v>59</v>
      </c>
      <c r="G2" s="749" t="s">
        <v>427</v>
      </c>
      <c r="H2" s="958"/>
      <c r="I2" s="749" t="s">
        <v>60</v>
      </c>
      <c r="J2" s="749" t="s">
        <v>537</v>
      </c>
      <c r="K2" s="749" t="s">
        <v>11</v>
      </c>
      <c r="L2" s="749" t="s">
        <v>212</v>
      </c>
      <c r="M2" s="750" t="s">
        <v>195</v>
      </c>
      <c r="N2" s="751" t="s">
        <v>6</v>
      </c>
      <c r="O2" s="751" t="s">
        <v>49</v>
      </c>
      <c r="P2" s="752" t="s">
        <v>8</v>
      </c>
      <c r="Q2" s="753" t="s">
        <v>4</v>
      </c>
      <c r="R2" s="891" t="s">
        <v>15</v>
      </c>
      <c r="S2" s="754" t="s">
        <v>16</v>
      </c>
      <c r="T2" s="754" t="s">
        <v>17</v>
      </c>
      <c r="U2" s="755" t="s">
        <v>21</v>
      </c>
      <c r="V2" s="754" t="s">
        <v>20</v>
      </c>
      <c r="W2" s="756" t="s">
        <v>38</v>
      </c>
      <c r="X2" s="886" t="s">
        <v>4</v>
      </c>
    </row>
    <row r="3" spans="1:24" ht="26.25" customHeight="1" x14ac:dyDescent="0.3">
      <c r="A3" s="197">
        <v>1</v>
      </c>
      <c r="B3" s="198" t="s">
        <v>146</v>
      </c>
      <c r="C3" s="1290" t="s">
        <v>3</v>
      </c>
      <c r="D3" s="199"/>
      <c r="E3" s="200">
        <v>80000</v>
      </c>
      <c r="F3" s="812">
        <f>$N$1</f>
        <v>30</v>
      </c>
      <c r="G3" s="1207">
        <f>E3</f>
        <v>80000</v>
      </c>
      <c r="H3" s="951"/>
      <c r="I3" s="202"/>
      <c r="J3" s="202"/>
      <c r="K3" s="202"/>
      <c r="L3" s="202"/>
      <c r="M3" s="202"/>
      <c r="N3" s="201"/>
      <c r="O3" s="202"/>
      <c r="P3" s="203">
        <f t="shared" ref="P3:P9" si="0">SUM(G3:N3)</f>
        <v>80000</v>
      </c>
      <c r="Q3" s="759"/>
      <c r="R3" s="892"/>
      <c r="S3" s="204"/>
      <c r="T3" s="204"/>
      <c r="U3" s="205"/>
      <c r="V3" s="204"/>
      <c r="W3" s="206"/>
      <c r="X3" s="887"/>
    </row>
    <row r="4" spans="1:24" ht="26.25" customHeight="1" x14ac:dyDescent="0.3">
      <c r="A4" s="197">
        <v>2</v>
      </c>
      <c r="B4" s="198" t="s">
        <v>47</v>
      </c>
      <c r="C4" s="1290" t="s">
        <v>44</v>
      </c>
      <c r="D4" s="199"/>
      <c r="E4" s="200">
        <v>27000</v>
      </c>
      <c r="F4" s="812">
        <f>$N$1</f>
        <v>30</v>
      </c>
      <c r="G4" s="1207">
        <v>28000</v>
      </c>
      <c r="H4" s="951"/>
      <c r="I4" s="202"/>
      <c r="J4" s="202"/>
      <c r="K4" s="202"/>
      <c r="L4" s="202"/>
      <c r="M4" s="202"/>
      <c r="N4" s="201"/>
      <c r="O4" s="202"/>
      <c r="P4" s="203">
        <f t="shared" si="0"/>
        <v>28000</v>
      </c>
      <c r="Q4" s="760"/>
      <c r="R4" s="892"/>
      <c r="S4" s="204"/>
      <c r="T4" s="204"/>
      <c r="U4" s="205"/>
      <c r="V4" s="204"/>
      <c r="W4" s="206"/>
      <c r="X4" s="887"/>
    </row>
    <row r="5" spans="1:24" ht="26.25" customHeight="1" x14ac:dyDescent="0.3">
      <c r="A5" s="197">
        <v>3</v>
      </c>
      <c r="B5" s="209" t="s">
        <v>47</v>
      </c>
      <c r="C5" s="1290" t="s">
        <v>51</v>
      </c>
      <c r="D5" s="199" t="s">
        <v>587</v>
      </c>
      <c r="E5" s="200">
        <v>47000</v>
      </c>
      <c r="F5" s="812">
        <f>$N$1</f>
        <v>30</v>
      </c>
      <c r="G5" s="1207">
        <f>E5</f>
        <v>47000</v>
      </c>
      <c r="H5" s="951"/>
      <c r="I5" s="202"/>
      <c r="J5" s="202"/>
      <c r="K5" s="202">
        <v>6000</v>
      </c>
      <c r="L5" s="211">
        <f>2000</f>
        <v>2000</v>
      </c>
      <c r="M5" s="217"/>
      <c r="N5" s="210">
        <f>O5*400</f>
        <v>0</v>
      </c>
      <c r="O5" s="210"/>
      <c r="P5" s="203">
        <f t="shared" si="0"/>
        <v>55000</v>
      </c>
      <c r="Q5" s="945"/>
      <c r="R5" s="893">
        <f>(933+60+266)+(2218+45+604)</f>
        <v>4126</v>
      </c>
      <c r="S5" s="204">
        <f>1286+409</f>
        <v>1695</v>
      </c>
      <c r="T5" s="204">
        <f>+V5*0.06</f>
        <v>2250</v>
      </c>
      <c r="U5" s="205">
        <f>R5+S5+T5</f>
        <v>8071</v>
      </c>
      <c r="V5" s="211">
        <f>11100+26400</f>
        <v>37500</v>
      </c>
      <c r="W5" s="206"/>
      <c r="X5" s="887" t="s">
        <v>172</v>
      </c>
    </row>
    <row r="6" spans="1:24" ht="26.25" customHeight="1" x14ac:dyDescent="0.3">
      <c r="A6" s="197">
        <v>4</v>
      </c>
      <c r="B6" s="273" t="s">
        <v>47</v>
      </c>
      <c r="C6" s="1291" t="s">
        <v>218</v>
      </c>
      <c r="D6" s="295" t="s">
        <v>119</v>
      </c>
      <c r="E6" s="200">
        <v>190</v>
      </c>
      <c r="F6" s="812">
        <v>16</v>
      </c>
      <c r="G6" s="1207">
        <f>+F6*$E6</f>
        <v>3040</v>
      </c>
      <c r="H6" s="950"/>
      <c r="I6" s="284"/>
      <c r="J6" s="284"/>
      <c r="K6" s="284"/>
      <c r="L6" s="284"/>
      <c r="M6" s="284"/>
      <c r="N6" s="359"/>
      <c r="O6" s="214"/>
      <c r="P6" s="203">
        <f t="shared" si="0"/>
        <v>3040</v>
      </c>
      <c r="Q6" s="761"/>
      <c r="R6" s="894">
        <f>266+991</f>
        <v>1257</v>
      </c>
      <c r="S6" s="216"/>
      <c r="T6" s="275">
        <f>+V6*0.06</f>
        <v>666</v>
      </c>
      <c r="U6" s="205">
        <f>R6+S6+T6</f>
        <v>1923</v>
      </c>
      <c r="V6" s="275">
        <v>11100</v>
      </c>
      <c r="W6" s="895"/>
      <c r="X6" s="887" t="s">
        <v>228</v>
      </c>
    </row>
    <row r="7" spans="1:24" s="215" customFormat="1" ht="22.5" customHeight="1" x14ac:dyDescent="0.3">
      <c r="A7" s="1441">
        <v>5</v>
      </c>
      <c r="B7" s="1435" t="s">
        <v>222</v>
      </c>
      <c r="C7" s="1391" t="s">
        <v>221</v>
      </c>
      <c r="D7" s="209" t="s">
        <v>555</v>
      </c>
      <c r="E7" s="1152">
        <v>2000</v>
      </c>
      <c r="F7" s="1153" t="e">
        <f>#REF!</f>
        <v>#REF!</v>
      </c>
      <c r="G7" s="1208" t="e">
        <f>F7*E7</f>
        <v>#REF!</v>
      </c>
      <c r="H7" s="951"/>
      <c r="I7" s="210"/>
      <c r="J7" s="210"/>
      <c r="K7" s="210"/>
      <c r="L7" s="1154"/>
      <c r="M7" s="210"/>
      <c r="N7" s="210"/>
      <c r="O7" s="1155"/>
      <c r="P7" s="1431" t="e">
        <f>SUM(G7:N8)</f>
        <v>#REF!</v>
      </c>
      <c r="Q7" s="1433" t="s">
        <v>647</v>
      </c>
      <c r="R7" s="893">
        <f>2854+991</f>
        <v>3845</v>
      </c>
      <c r="S7" s="211">
        <v>1622</v>
      </c>
      <c r="T7" s="204">
        <f>+V7*0.06</f>
        <v>2664</v>
      </c>
      <c r="U7" s="205">
        <f>R7+S7+T7</f>
        <v>8131</v>
      </c>
      <c r="V7" s="211">
        <f>33300+11100</f>
        <v>44400</v>
      </c>
      <c r="W7" s="206">
        <v>1120715</v>
      </c>
      <c r="X7" s="733" t="s">
        <v>230</v>
      </c>
    </row>
    <row r="8" spans="1:24" s="215" customFormat="1" ht="21.75" customHeight="1" x14ac:dyDescent="0.3">
      <c r="A8" s="1442"/>
      <c r="B8" s="1437"/>
      <c r="C8" s="1393"/>
      <c r="D8" s="209" t="s">
        <v>518</v>
      </c>
      <c r="E8" s="1152">
        <v>200</v>
      </c>
      <c r="F8" s="1156" t="e">
        <f>#REF!</f>
        <v>#REF!</v>
      </c>
      <c r="G8" s="1208" t="e">
        <f>F8*E8</f>
        <v>#REF!</v>
      </c>
      <c r="H8" s="955"/>
      <c r="I8" s="290"/>
      <c r="J8" s="290"/>
      <c r="K8" s="290"/>
      <c r="L8" s="1157"/>
      <c r="M8" s="290"/>
      <c r="N8" s="1204">
        <v>500</v>
      </c>
      <c r="O8" s="1155"/>
      <c r="P8" s="1432"/>
      <c r="Q8" s="1434"/>
      <c r="R8" s="896"/>
      <c r="S8" s="293"/>
      <c r="T8" s="916"/>
      <c r="U8" s="286"/>
      <c r="V8" s="293"/>
      <c r="W8" s="285"/>
      <c r="X8" s="888"/>
    </row>
    <row r="9" spans="1:24" ht="26.25" customHeight="1" x14ac:dyDescent="0.3">
      <c r="A9" s="718">
        <v>6</v>
      </c>
      <c r="B9" s="2" t="s">
        <v>237</v>
      </c>
      <c r="C9" s="1291" t="s">
        <v>203</v>
      </c>
      <c r="D9" s="288" t="s">
        <v>205</v>
      </c>
      <c r="E9" s="289">
        <v>200</v>
      </c>
      <c r="F9" s="1050" t="e">
        <f>#REF!+4.5</f>
        <v>#REF!</v>
      </c>
      <c r="G9" s="1209" t="e">
        <f>+F9*E9</f>
        <v>#REF!</v>
      </c>
      <c r="H9" s="955"/>
      <c r="I9" s="290"/>
      <c r="J9" s="290"/>
      <c r="K9" s="290"/>
      <c r="L9" s="290"/>
      <c r="M9" s="290"/>
      <c r="N9" s="290"/>
      <c r="O9" s="291"/>
      <c r="P9" s="1150" t="e">
        <f t="shared" si="0"/>
        <v>#REF!</v>
      </c>
      <c r="Q9" s="762"/>
      <c r="R9" s="896">
        <v>58</v>
      </c>
      <c r="S9" s="287"/>
      <c r="T9" s="293">
        <f>+V9*0.06</f>
        <v>1320</v>
      </c>
      <c r="U9" s="286">
        <f>SUM(R9:T9)</f>
        <v>1378</v>
      </c>
      <c r="V9" s="293">
        <v>22000</v>
      </c>
      <c r="W9" s="285">
        <v>1120525</v>
      </c>
      <c r="X9" s="888" t="s">
        <v>220</v>
      </c>
    </row>
    <row r="10" spans="1:24" ht="26.25" customHeight="1" x14ac:dyDescent="0.3">
      <c r="A10" s="1412" t="s">
        <v>209</v>
      </c>
      <c r="B10" s="1414" t="s">
        <v>161</v>
      </c>
      <c r="C10" s="1385" t="s">
        <v>48</v>
      </c>
      <c r="D10" s="283" t="s">
        <v>96</v>
      </c>
      <c r="E10" s="1173">
        <v>830</v>
      </c>
      <c r="F10" s="812" t="e">
        <f>#REF!</f>
        <v>#REF!</v>
      </c>
      <c r="G10" s="1210" t="e">
        <f>+E10*$F$10</f>
        <v>#REF!</v>
      </c>
      <c r="H10" s="217"/>
      <c r="I10" s="217"/>
      <c r="J10" s="217">
        <v>1000</v>
      </c>
      <c r="K10" s="217">
        <v>500</v>
      </c>
      <c r="L10" s="217"/>
      <c r="M10" s="217"/>
      <c r="N10" s="1174">
        <f>+O10*800</f>
        <v>0</v>
      </c>
      <c r="O10" s="217"/>
      <c r="P10" s="1419" t="e">
        <f>SUM(G10:N11)</f>
        <v>#REF!</v>
      </c>
      <c r="Q10" s="1135" t="s">
        <v>588</v>
      </c>
      <c r="R10" s="1421">
        <v>1445</v>
      </c>
      <c r="S10" s="1423">
        <v>1286</v>
      </c>
      <c r="T10" s="1427">
        <v>990</v>
      </c>
      <c r="U10" s="1429">
        <f>R10+S10+T10</f>
        <v>3721</v>
      </c>
      <c r="V10" s="1423">
        <v>16500</v>
      </c>
      <c r="W10" s="1425">
        <v>1080228</v>
      </c>
      <c r="X10" s="1410" t="s">
        <v>227</v>
      </c>
    </row>
    <row r="11" spans="1:24" ht="26.25" customHeight="1" x14ac:dyDescent="0.3">
      <c r="A11" s="1413"/>
      <c r="B11" s="1415"/>
      <c r="C11" s="1387"/>
      <c r="D11" s="283" t="s">
        <v>100</v>
      </c>
      <c r="E11" s="1173">
        <v>190</v>
      </c>
      <c r="F11" s="1175" t="e">
        <f>#REF!</f>
        <v>#REF!</v>
      </c>
      <c r="G11" s="1210" t="e">
        <f>+F11*$E$11</f>
        <v>#REF!</v>
      </c>
      <c r="H11" s="217"/>
      <c r="I11" s="217"/>
      <c r="J11" s="217"/>
      <c r="K11" s="217"/>
      <c r="L11" s="1176"/>
      <c r="M11" s="1176"/>
      <c r="N11" s="217"/>
      <c r="O11" s="217"/>
      <c r="P11" s="1420"/>
      <c r="Q11" s="1046"/>
      <c r="R11" s="1422"/>
      <c r="S11" s="1424"/>
      <c r="T11" s="1428"/>
      <c r="U11" s="1430"/>
      <c r="V11" s="1424"/>
      <c r="W11" s="1426"/>
      <c r="X11" s="1411"/>
    </row>
    <row r="12" spans="1:24" s="213" customFormat="1" ht="26.25" customHeight="1" x14ac:dyDescent="0.3">
      <c r="A12" s="1379">
        <v>8</v>
      </c>
      <c r="B12" s="1435" t="s">
        <v>232</v>
      </c>
      <c r="C12" s="1438" t="s">
        <v>233</v>
      </c>
      <c r="D12" s="199" t="s">
        <v>234</v>
      </c>
      <c r="E12" s="212">
        <v>25000</v>
      </c>
      <c r="F12" s="884">
        <f>N1</f>
        <v>30</v>
      </c>
      <c r="G12" s="1207">
        <f>E12/N1*F12</f>
        <v>25000</v>
      </c>
      <c r="H12" s="951"/>
      <c r="I12" s="210">
        <v>1000</v>
      </c>
      <c r="J12" s="210"/>
      <c r="K12" s="210">
        <f>3000/N1*F12</f>
        <v>3000</v>
      </c>
      <c r="L12" s="211">
        <f>1000+1000</f>
        <v>2000</v>
      </c>
      <c r="M12" s="210"/>
      <c r="N12" s="210">
        <f>160*O12</f>
        <v>0</v>
      </c>
      <c r="O12" s="218"/>
      <c r="P12" s="1388" t="e">
        <f>SUM(G12:N14)</f>
        <v>#REF!</v>
      </c>
      <c r="Q12" s="929" t="s">
        <v>511</v>
      </c>
      <c r="R12" s="897">
        <f>2318+47</f>
        <v>2365</v>
      </c>
      <c r="S12" s="875">
        <v>1344</v>
      </c>
      <c r="T12" s="876">
        <f>+V12*6%*16/30</f>
        <v>1161.5999999999999</v>
      </c>
      <c r="U12" s="877">
        <f t="shared" ref="U12" si="1">SUM(R12:T12)</f>
        <v>4870.6000000000004</v>
      </c>
      <c r="V12" s="874">
        <v>36300</v>
      </c>
      <c r="W12" s="898">
        <v>1130108</v>
      </c>
      <c r="X12" s="362"/>
    </row>
    <row r="13" spans="1:24" s="213" customFormat="1" ht="26.25" customHeight="1" x14ac:dyDescent="0.3">
      <c r="A13" s="1380"/>
      <c r="B13" s="1436"/>
      <c r="C13" s="1439"/>
      <c r="D13" s="199" t="s">
        <v>559</v>
      </c>
      <c r="E13" s="212">
        <v>160</v>
      </c>
      <c r="F13" s="884" t="e">
        <f>#REF!</f>
        <v>#REF!</v>
      </c>
      <c r="G13" s="1207" t="e">
        <f>+F13*$E13</f>
        <v>#REF!</v>
      </c>
      <c r="H13" s="950"/>
      <c r="I13" s="274"/>
      <c r="J13" s="274"/>
      <c r="K13" s="210"/>
      <c r="L13" s="276"/>
      <c r="M13" s="274"/>
      <c r="N13" s="210"/>
      <c r="O13" s="218"/>
      <c r="P13" s="1389"/>
      <c r="Q13" s="1140" t="s">
        <v>655</v>
      </c>
      <c r="R13" s="897"/>
      <c r="S13" s="875"/>
      <c r="T13" s="876"/>
      <c r="U13" s="877"/>
      <c r="V13" s="874"/>
      <c r="W13" s="898"/>
      <c r="X13" s="362"/>
    </row>
    <row r="14" spans="1:24" s="213" customFormat="1" ht="26.25" customHeight="1" x14ac:dyDescent="0.3">
      <c r="A14" s="1381"/>
      <c r="B14" s="1437"/>
      <c r="C14" s="1440"/>
      <c r="D14" s="199" t="s">
        <v>118</v>
      </c>
      <c r="E14" s="212">
        <v>190</v>
      </c>
      <c r="F14" s="885" t="e">
        <f>#REF!</f>
        <v>#REF!</v>
      </c>
      <c r="G14" s="1207" t="e">
        <f>+F14*$E14</f>
        <v>#REF!</v>
      </c>
      <c r="H14" s="950"/>
      <c r="I14" s="274"/>
      <c r="J14" s="274"/>
      <c r="K14" s="210"/>
      <c r="L14" s="274"/>
      <c r="M14" s="274"/>
      <c r="N14" s="210">
        <f>190*O14</f>
        <v>0</v>
      </c>
      <c r="O14" s="218"/>
      <c r="P14" s="1390"/>
      <c r="Q14" s="1046"/>
      <c r="R14" s="897"/>
      <c r="S14" s="875"/>
      <c r="T14" s="876"/>
      <c r="U14" s="877"/>
      <c r="V14" s="876"/>
      <c r="W14" s="898"/>
      <c r="X14" s="362"/>
    </row>
    <row r="15" spans="1:24" ht="26.25" customHeight="1" x14ac:dyDescent="0.3">
      <c r="A15" s="208">
        <v>9</v>
      </c>
      <c r="B15" s="198" t="s">
        <v>232</v>
      </c>
      <c r="C15" s="1290" t="s">
        <v>231</v>
      </c>
      <c r="D15" s="199" t="s">
        <v>191</v>
      </c>
      <c r="E15" s="278">
        <v>192</v>
      </c>
      <c r="F15" s="814" t="e">
        <f>#REF!</f>
        <v>#REF!</v>
      </c>
      <c r="G15" s="1207" t="e">
        <f>+E15*F15</f>
        <v>#REF!</v>
      </c>
      <c r="H15" s="950"/>
      <c r="I15" s="274"/>
      <c r="J15" s="274"/>
      <c r="K15" s="276"/>
      <c r="L15" s="274"/>
      <c r="M15" s="274"/>
      <c r="N15" s="210">
        <f>O15*185</f>
        <v>0</v>
      </c>
      <c r="O15" s="210"/>
      <c r="P15" s="203" t="e">
        <f>SUM(G15:N15)</f>
        <v>#REF!</v>
      </c>
      <c r="Q15" s="1046"/>
      <c r="R15" s="894">
        <f>933+45</f>
        <v>978</v>
      </c>
      <c r="S15" s="211"/>
      <c r="T15" s="275">
        <f>+V15*6%</f>
        <v>666</v>
      </c>
      <c r="U15" s="54">
        <f t="shared" ref="U15:U19" si="2">SUM(R15:T15)</f>
        <v>1644</v>
      </c>
      <c r="V15" s="275">
        <v>11100</v>
      </c>
      <c r="W15" s="895">
        <v>1121024</v>
      </c>
      <c r="X15" s="362"/>
    </row>
    <row r="16" spans="1:24" ht="26.25" customHeight="1" x14ac:dyDescent="0.3">
      <c r="A16" s="197">
        <v>10</v>
      </c>
      <c r="B16" s="198" t="s">
        <v>232</v>
      </c>
      <c r="C16" s="1292" t="s">
        <v>433</v>
      </c>
      <c r="D16" s="283" t="s">
        <v>439</v>
      </c>
      <c r="E16" s="212">
        <v>190</v>
      </c>
      <c r="F16" s="814" t="e">
        <f>#REF!</f>
        <v>#REF!</v>
      </c>
      <c r="G16" s="1211" t="e">
        <f t="shared" ref="G16:G20" si="3">F16*E16</f>
        <v>#REF!</v>
      </c>
      <c r="H16" s="950"/>
      <c r="I16" s="274"/>
      <c r="J16" s="274"/>
      <c r="K16" s="274"/>
      <c r="L16" s="274"/>
      <c r="M16" s="274"/>
      <c r="N16" s="274"/>
      <c r="O16" s="360"/>
      <c r="P16" s="203" t="e">
        <f>SUM(G16:N16)</f>
        <v>#REF!</v>
      </c>
      <c r="Q16" s="1052" t="s">
        <v>556</v>
      </c>
      <c r="R16" s="893">
        <f>933</f>
        <v>933</v>
      </c>
      <c r="S16" s="211">
        <v>1329</v>
      </c>
      <c r="T16" s="211">
        <v>666</v>
      </c>
      <c r="U16" s="361">
        <f t="shared" si="2"/>
        <v>2928</v>
      </c>
      <c r="V16" s="293">
        <v>11100</v>
      </c>
      <c r="W16" s="206">
        <v>1130429</v>
      </c>
      <c r="X16" s="362"/>
    </row>
    <row r="17" spans="1:25" ht="26.25" customHeight="1" x14ac:dyDescent="0.3">
      <c r="A17" s="363">
        <v>11</v>
      </c>
      <c r="B17" s="209" t="s">
        <v>232</v>
      </c>
      <c r="C17" s="1290" t="s">
        <v>271</v>
      </c>
      <c r="D17" s="283" t="s">
        <v>197</v>
      </c>
      <c r="E17" s="919">
        <v>192</v>
      </c>
      <c r="F17" s="920" t="e">
        <f>#REF!</f>
        <v>#REF!</v>
      </c>
      <c r="G17" s="1212" t="e">
        <f>F17*E17</f>
        <v>#REF!</v>
      </c>
      <c r="H17" s="950"/>
      <c r="I17" s="878"/>
      <c r="J17" s="878"/>
      <c r="K17" s="878"/>
      <c r="L17" s="878"/>
      <c r="M17" s="878"/>
      <c r="N17" s="878"/>
      <c r="O17" s="879"/>
      <c r="P17" s="203" t="e">
        <f>SUM(G17:N17)</f>
        <v>#REF!</v>
      </c>
      <c r="Q17" s="1051"/>
      <c r="R17" s="893">
        <f>933</f>
        <v>933</v>
      </c>
      <c r="S17" s="211">
        <v>1329</v>
      </c>
      <c r="T17" s="211">
        <v>666</v>
      </c>
      <c r="U17" s="361">
        <f t="shared" si="2"/>
        <v>2928</v>
      </c>
      <c r="V17" s="293">
        <v>11100</v>
      </c>
      <c r="W17" s="206">
        <v>1130318</v>
      </c>
      <c r="X17" s="362"/>
    </row>
    <row r="18" spans="1:25" ht="26.25" customHeight="1" x14ac:dyDescent="0.3">
      <c r="A18" s="208">
        <v>12</v>
      </c>
      <c r="B18" s="2" t="s">
        <v>47</v>
      </c>
      <c r="C18" s="1293" t="s">
        <v>500</v>
      </c>
      <c r="D18" s="283" t="s">
        <v>96</v>
      </c>
      <c r="E18" s="200">
        <v>830</v>
      </c>
      <c r="F18" s="920">
        <v>25</v>
      </c>
      <c r="G18" s="1211">
        <f t="shared" si="3"/>
        <v>20750</v>
      </c>
      <c r="H18" s="950"/>
      <c r="I18" s="274"/>
      <c r="J18" s="274"/>
      <c r="K18" s="274"/>
      <c r="L18" s="274"/>
      <c r="M18" s="274"/>
      <c r="N18" s="274"/>
      <c r="O18" s="360"/>
      <c r="P18" s="203">
        <f>SUM(G18:N18)</f>
        <v>20750</v>
      </c>
      <c r="Q18" s="1046"/>
      <c r="R18" s="893">
        <f>933</f>
        <v>933</v>
      </c>
      <c r="S18" s="287"/>
      <c r="T18" s="211">
        <v>666</v>
      </c>
      <c r="U18" s="361">
        <f t="shared" si="2"/>
        <v>1599</v>
      </c>
      <c r="V18" s="293">
        <v>11100</v>
      </c>
      <c r="W18" s="895">
        <v>1130901</v>
      </c>
      <c r="X18" s="362"/>
    </row>
    <row r="19" spans="1:25" ht="26.25" customHeight="1" x14ac:dyDescent="0.3">
      <c r="A19" s="1379">
        <v>13</v>
      </c>
      <c r="B19" s="1443" t="s">
        <v>47</v>
      </c>
      <c r="C19" s="1444" t="s">
        <v>501</v>
      </c>
      <c r="D19" s="283" t="s">
        <v>197</v>
      </c>
      <c r="E19" s="200">
        <v>192</v>
      </c>
      <c r="F19" s="813" t="e">
        <f>#REF!</f>
        <v>#REF!</v>
      </c>
      <c r="G19" s="1211" t="e">
        <f t="shared" si="3"/>
        <v>#REF!</v>
      </c>
      <c r="H19" s="950"/>
      <c r="I19" s="274"/>
      <c r="J19" s="274"/>
      <c r="K19" s="274"/>
      <c r="L19" s="274"/>
      <c r="M19" s="274"/>
      <c r="N19" s="274"/>
      <c r="O19" s="360"/>
      <c r="P19" s="1388" t="e">
        <f>SUM(G19:N20)</f>
        <v>#REF!</v>
      </c>
      <c r="Q19" s="1046"/>
      <c r="R19" s="893">
        <f>933</f>
        <v>933</v>
      </c>
      <c r="S19" s="287"/>
      <c r="T19" s="211">
        <v>666</v>
      </c>
      <c r="U19" s="361">
        <f t="shared" si="2"/>
        <v>1599</v>
      </c>
      <c r="V19" s="293">
        <v>11100</v>
      </c>
      <c r="W19" s="895">
        <v>1130906</v>
      </c>
      <c r="X19" s="362"/>
    </row>
    <row r="20" spans="1:25" ht="26.25" customHeight="1" x14ac:dyDescent="0.3">
      <c r="A20" s="1381"/>
      <c r="B20" s="1443"/>
      <c r="C20" s="1444"/>
      <c r="D20" s="283" t="s">
        <v>96</v>
      </c>
      <c r="E20" s="922">
        <v>830</v>
      </c>
      <c r="F20" s="812" t="e">
        <f>#REF!</f>
        <v>#REF!</v>
      </c>
      <c r="G20" s="1211" t="e">
        <f t="shared" si="3"/>
        <v>#REF!</v>
      </c>
      <c r="H20" s="950"/>
      <c r="I20" s="274"/>
      <c r="J20" s="274"/>
      <c r="K20" s="274"/>
      <c r="L20" s="274"/>
      <c r="M20" s="274"/>
      <c r="N20" s="274"/>
      <c r="O20" s="360"/>
      <c r="P20" s="1390"/>
      <c r="Q20" s="767"/>
      <c r="R20" s="275"/>
      <c r="S20" s="287"/>
      <c r="T20" s="275"/>
      <c r="U20" s="906"/>
      <c r="V20" s="293"/>
      <c r="W20" s="895"/>
      <c r="X20" s="362"/>
      <c r="Y20" s="1178"/>
    </row>
    <row r="21" spans="1:25" ht="26.25" customHeight="1" x14ac:dyDescent="0.3">
      <c r="A21" s="208">
        <v>14</v>
      </c>
      <c r="B21" s="2" t="s">
        <v>47</v>
      </c>
      <c r="C21" s="1295" t="s">
        <v>510</v>
      </c>
      <c r="D21" s="283" t="s">
        <v>518</v>
      </c>
      <c r="E21" s="200">
        <v>1000</v>
      </c>
      <c r="F21" s="920" t="e">
        <f>#REF!</f>
        <v>#REF!</v>
      </c>
      <c r="G21" s="1211" t="e">
        <f>F21*E21</f>
        <v>#REF!</v>
      </c>
      <c r="H21" s="1053"/>
      <c r="I21" s="284"/>
      <c r="J21" s="284"/>
      <c r="K21" s="284"/>
      <c r="L21" s="284"/>
      <c r="M21" s="284"/>
      <c r="N21" s="202">
        <f>O21*100</f>
        <v>2200</v>
      </c>
      <c r="O21" s="921">
        <v>22</v>
      </c>
      <c r="P21" s="203" t="e">
        <f>SUM(G21:N21)</f>
        <v>#REF!</v>
      </c>
      <c r="Q21" s="1144" t="s">
        <v>569</v>
      </c>
      <c r="R21" s="893">
        <f>933</f>
        <v>933</v>
      </c>
      <c r="S21" s="287"/>
      <c r="T21" s="211">
        <v>666</v>
      </c>
      <c r="U21" s="361">
        <f>SUM(R21:T21)</f>
        <v>1599</v>
      </c>
      <c r="V21" s="293">
        <v>11100</v>
      </c>
      <c r="W21" s="895">
        <v>1131018</v>
      </c>
      <c r="X21" s="362"/>
    </row>
    <row r="22" spans="1:25" ht="26.25" customHeight="1" x14ac:dyDescent="0.3">
      <c r="A22" s="1379">
        <v>15</v>
      </c>
      <c r="B22" s="1382"/>
      <c r="C22" s="1438" t="s">
        <v>529</v>
      </c>
      <c r="D22" s="283" t="s">
        <v>519</v>
      </c>
      <c r="E22" s="200">
        <v>30000</v>
      </c>
      <c r="F22" s="920">
        <f>$N$1</f>
        <v>30</v>
      </c>
      <c r="G22" s="1211">
        <f>E22/$N$1*F22</f>
        <v>30000</v>
      </c>
      <c r="H22" s="950"/>
      <c r="I22" s="284"/>
      <c r="J22" s="284"/>
      <c r="K22" s="284"/>
      <c r="L22" s="284"/>
      <c r="M22" s="284"/>
      <c r="N22" s="284">
        <f>O22*167</f>
        <v>0</v>
      </c>
      <c r="O22" s="921"/>
      <c r="P22" s="1388" t="e">
        <f>SUM(G22:N25)</f>
        <v>#REF!</v>
      </c>
      <c r="Q22" s="926" t="s">
        <v>521</v>
      </c>
      <c r="R22" s="893"/>
      <c r="S22" s="287"/>
      <c r="T22" s="211"/>
      <c r="U22" s="361"/>
      <c r="V22" s="293"/>
      <c r="W22" s="895">
        <v>1131022</v>
      </c>
      <c r="X22" s="362" t="s">
        <v>533</v>
      </c>
    </row>
    <row r="23" spans="1:25" ht="26.25" customHeight="1" x14ac:dyDescent="0.3">
      <c r="A23" s="1380"/>
      <c r="B23" s="1383"/>
      <c r="C23" s="1439"/>
      <c r="D23" s="199" t="s">
        <v>559</v>
      </c>
      <c r="E23" s="200">
        <v>167</v>
      </c>
      <c r="F23" s="920" t="e">
        <f>#REF!</f>
        <v>#REF!</v>
      </c>
      <c r="G23" s="1207" t="e">
        <f t="shared" ref="G23:G32" si="4">F23*E23</f>
        <v>#REF!</v>
      </c>
      <c r="H23" s="950"/>
      <c r="I23" s="284"/>
      <c r="J23" s="284"/>
      <c r="K23" s="284"/>
      <c r="L23" s="284"/>
      <c r="M23" s="284"/>
      <c r="N23" s="284"/>
      <c r="O23" s="921"/>
      <c r="P23" s="1389"/>
      <c r="Q23" s="1147"/>
      <c r="R23" s="893"/>
      <c r="S23" s="287"/>
      <c r="T23" s="211"/>
      <c r="U23" s="361"/>
      <c r="V23" s="293"/>
      <c r="W23" s="895"/>
      <c r="X23" s="362"/>
    </row>
    <row r="24" spans="1:25" ht="26.25" customHeight="1" x14ac:dyDescent="0.3">
      <c r="A24" s="1380"/>
      <c r="B24" s="1383"/>
      <c r="C24" s="1439"/>
      <c r="D24" s="283" t="s">
        <v>118</v>
      </c>
      <c r="E24" s="200">
        <v>190</v>
      </c>
      <c r="F24" s="920" t="e">
        <f>#REF!</f>
        <v>#REF!</v>
      </c>
      <c r="G24" s="1211" t="e">
        <f t="shared" si="4"/>
        <v>#REF!</v>
      </c>
      <c r="H24" s="950"/>
      <c r="I24" s="284"/>
      <c r="J24" s="284"/>
      <c r="K24" s="284"/>
      <c r="L24" s="284"/>
      <c r="M24" s="284"/>
      <c r="N24" s="284"/>
      <c r="O24" s="921"/>
      <c r="P24" s="1389"/>
      <c r="Q24" s="926" t="s">
        <v>530</v>
      </c>
      <c r="R24" s="893"/>
      <c r="S24" s="287"/>
      <c r="T24" s="211"/>
      <c r="U24" s="361"/>
      <c r="V24" s="293"/>
      <c r="W24" s="895"/>
      <c r="X24" s="362"/>
    </row>
    <row r="25" spans="1:25" ht="26.25" customHeight="1" x14ac:dyDescent="0.3">
      <c r="A25" s="1381"/>
      <c r="B25" s="1384"/>
      <c r="C25" s="1440"/>
      <c r="D25" s="283" t="s">
        <v>131</v>
      </c>
      <c r="E25" s="200">
        <v>192</v>
      </c>
      <c r="F25" s="920" t="e">
        <f>#REF!</f>
        <v>#REF!</v>
      </c>
      <c r="G25" s="1211" t="e">
        <f t="shared" si="4"/>
        <v>#REF!</v>
      </c>
      <c r="H25" s="950"/>
      <c r="I25" s="284"/>
      <c r="J25" s="284"/>
      <c r="K25" s="284"/>
      <c r="L25" s="284"/>
      <c r="M25" s="284"/>
      <c r="N25" s="284"/>
      <c r="O25" s="921"/>
      <c r="P25" s="1390"/>
      <c r="Q25" s="930"/>
      <c r="R25" s="893"/>
      <c r="S25" s="287"/>
      <c r="T25" s="211"/>
      <c r="U25" s="361"/>
      <c r="V25" s="293"/>
      <c r="W25" s="895"/>
      <c r="X25" s="362"/>
    </row>
    <row r="26" spans="1:25" ht="38.1" customHeight="1" x14ac:dyDescent="0.3">
      <c r="A26" s="208">
        <v>16</v>
      </c>
      <c r="B26" s="938"/>
      <c r="C26" s="1295" t="s">
        <v>636</v>
      </c>
      <c r="D26" s="283" t="s">
        <v>637</v>
      </c>
      <c r="E26" s="200">
        <v>42000</v>
      </c>
      <c r="F26" s="1197">
        <v>23</v>
      </c>
      <c r="G26" s="1211">
        <f>E26/30*F26</f>
        <v>32200</v>
      </c>
      <c r="H26" s="1053"/>
      <c r="I26" s="284"/>
      <c r="J26" s="284"/>
      <c r="K26" s="284"/>
      <c r="L26" s="284"/>
      <c r="M26" s="284"/>
      <c r="N26" s="284"/>
      <c r="O26" s="921"/>
      <c r="P26" s="203">
        <f>SUM(G26:N26)</f>
        <v>32200</v>
      </c>
      <c r="Q26" s="1151"/>
      <c r="R26" s="893">
        <v>1050</v>
      </c>
      <c r="S26" s="1279">
        <v>3971</v>
      </c>
      <c r="T26" s="211">
        <f>42000*0.06</f>
        <v>2520</v>
      </c>
      <c r="U26" s="54">
        <f t="shared" ref="U26:U31" si="5">SUM(R26:T26)</f>
        <v>7541</v>
      </c>
      <c r="V26" s="293">
        <v>42000</v>
      </c>
      <c r="W26" s="895">
        <v>1140607</v>
      </c>
      <c r="X26" s="362" t="s">
        <v>539</v>
      </c>
      <c r="Y26" s="1171" t="s">
        <v>596</v>
      </c>
    </row>
    <row r="27" spans="1:25" ht="38.1" customHeight="1" x14ac:dyDescent="0.3">
      <c r="A27" s="1379">
        <v>17</v>
      </c>
      <c r="B27" s="1382"/>
      <c r="C27" s="1438" t="s">
        <v>638</v>
      </c>
      <c r="D27" s="295" t="s">
        <v>119</v>
      </c>
      <c r="E27" s="200">
        <v>30000</v>
      </c>
      <c r="F27" s="920">
        <v>3</v>
      </c>
      <c r="G27" s="1211">
        <f>E27/$N$1*F27</f>
        <v>3000</v>
      </c>
      <c r="H27" s="1053"/>
      <c r="I27" s="284"/>
      <c r="J27" s="284"/>
      <c r="K27" s="284"/>
      <c r="L27" s="284"/>
      <c r="M27" s="284"/>
      <c r="N27" s="284"/>
      <c r="O27" s="921"/>
      <c r="P27" s="1388">
        <f>SUM(G27:N30)</f>
        <v>4440</v>
      </c>
      <c r="Q27" s="1151"/>
      <c r="R27" s="893"/>
      <c r="S27" s="1130"/>
      <c r="T27" s="211"/>
      <c r="U27" s="54"/>
      <c r="V27" s="293"/>
      <c r="W27" s="895"/>
      <c r="X27" s="362"/>
      <c r="Y27" s="1171" t="s">
        <v>597</v>
      </c>
    </row>
    <row r="28" spans="1:25" ht="38.1" customHeight="1" x14ac:dyDescent="0.3">
      <c r="A28" s="1380"/>
      <c r="B28" s="1383"/>
      <c r="C28" s="1439"/>
      <c r="D28" s="199" t="s">
        <v>559</v>
      </c>
      <c r="E28" s="212">
        <v>160</v>
      </c>
      <c r="F28" s="884">
        <v>3</v>
      </c>
      <c r="G28" s="1207">
        <f>+F28*$E28</f>
        <v>480</v>
      </c>
      <c r="H28" s="1053"/>
      <c r="I28" s="284"/>
      <c r="J28" s="284"/>
      <c r="K28" s="284"/>
      <c r="L28" s="284"/>
      <c r="M28" s="284"/>
      <c r="N28" s="284"/>
      <c r="O28" s="921"/>
      <c r="P28" s="1389"/>
      <c r="Q28" s="1151"/>
      <c r="R28" s="893"/>
      <c r="S28" s="1130"/>
      <c r="T28" s="211"/>
      <c r="U28" s="54"/>
      <c r="V28" s="293"/>
      <c r="W28" s="895"/>
      <c r="X28" s="362"/>
      <c r="Y28" s="1171"/>
    </row>
    <row r="29" spans="1:25" ht="38.1" customHeight="1" x14ac:dyDescent="0.3">
      <c r="A29" s="1380"/>
      <c r="B29" s="1383"/>
      <c r="C29" s="1439"/>
      <c r="D29" s="295" t="s">
        <v>118</v>
      </c>
      <c r="E29" s="922"/>
      <c r="F29" s="920"/>
      <c r="G29" s="1211"/>
      <c r="H29" s="1053"/>
      <c r="I29" s="284"/>
      <c r="J29" s="284"/>
      <c r="K29" s="284"/>
      <c r="L29" s="284"/>
      <c r="M29" s="284"/>
      <c r="N29" s="284"/>
      <c r="O29" s="921"/>
      <c r="P29" s="1389"/>
      <c r="Q29" s="1151"/>
      <c r="R29" s="893"/>
      <c r="S29" s="1130"/>
      <c r="T29" s="211"/>
      <c r="U29" s="54"/>
      <c r="V29" s="293"/>
      <c r="W29" s="895"/>
      <c r="X29" s="362"/>
      <c r="Y29" s="1171"/>
    </row>
    <row r="30" spans="1:25" ht="38.1" customHeight="1" x14ac:dyDescent="0.3">
      <c r="A30" s="1381"/>
      <c r="B30" s="1384"/>
      <c r="C30" s="1440"/>
      <c r="D30" s="283" t="s">
        <v>131</v>
      </c>
      <c r="E30" s="200">
        <v>192</v>
      </c>
      <c r="F30" s="920">
        <v>5</v>
      </c>
      <c r="G30" s="1211">
        <f t="shared" ref="G30" si="6">F30*E30</f>
        <v>960</v>
      </c>
      <c r="H30" s="1053"/>
      <c r="I30" s="284"/>
      <c r="J30" s="284"/>
      <c r="K30" s="284"/>
      <c r="L30" s="284"/>
      <c r="M30" s="284"/>
      <c r="N30" s="284"/>
      <c r="O30" s="921"/>
      <c r="P30" s="1390"/>
      <c r="Q30" s="1151"/>
      <c r="R30" s="893">
        <v>728</v>
      </c>
      <c r="S30" s="1130">
        <v>2333</v>
      </c>
      <c r="T30" s="211">
        <f>V30*0.06</f>
        <v>1818</v>
      </c>
      <c r="U30" s="54">
        <f t="shared" si="5"/>
        <v>4879</v>
      </c>
      <c r="V30" s="293">
        <v>30300</v>
      </c>
      <c r="W30" s="895">
        <v>1140621</v>
      </c>
      <c r="X30" s="1278" t="s">
        <v>660</v>
      </c>
    </row>
    <row r="31" spans="1:25" ht="38.1" customHeight="1" x14ac:dyDescent="0.3">
      <c r="A31" s="208">
        <v>18</v>
      </c>
      <c r="B31" s="938"/>
      <c r="C31" s="1294" t="s">
        <v>583</v>
      </c>
      <c r="D31" s="283" t="s">
        <v>197</v>
      </c>
      <c r="E31" s="919">
        <v>192</v>
      </c>
      <c r="F31" s="920" t="e">
        <f>#REF!</f>
        <v>#REF!</v>
      </c>
      <c r="G31" s="1211" t="e">
        <f t="shared" si="4"/>
        <v>#REF!</v>
      </c>
      <c r="H31" s="1053"/>
      <c r="I31" s="284"/>
      <c r="J31" s="284"/>
      <c r="K31" s="284"/>
      <c r="L31" s="284"/>
      <c r="M31" s="284"/>
      <c r="N31" s="284" t="e">
        <f>O31*190</f>
        <v>#REF!</v>
      </c>
      <c r="O31" s="921" t="e">
        <f>#REF!</f>
        <v>#REF!</v>
      </c>
      <c r="P31" s="203" t="e">
        <f>SUM(G31:N31)</f>
        <v>#REF!</v>
      </c>
      <c r="Q31" s="1132" t="s">
        <v>598</v>
      </c>
      <c r="R31" s="893">
        <v>1697</v>
      </c>
      <c r="S31" s="1130">
        <v>1384</v>
      </c>
      <c r="T31" s="211">
        <v>1143</v>
      </c>
      <c r="U31" s="54">
        <f t="shared" si="5"/>
        <v>4224</v>
      </c>
      <c r="V31" s="293">
        <v>19047</v>
      </c>
      <c r="W31" s="895">
        <v>1140430</v>
      </c>
      <c r="X31" s="362" t="s">
        <v>584</v>
      </c>
    </row>
    <row r="32" spans="1:25" ht="33" hidden="1" customHeight="1" x14ac:dyDescent="0.3">
      <c r="A32" s="208"/>
      <c r="B32" s="938"/>
      <c r="C32" s="1296" t="s">
        <v>576</v>
      </c>
      <c r="D32" s="1146" t="s">
        <v>577</v>
      </c>
      <c r="E32" s="1158">
        <v>500</v>
      </c>
      <c r="F32" s="1159">
        <v>0</v>
      </c>
      <c r="G32" s="1211">
        <f t="shared" si="4"/>
        <v>0</v>
      </c>
      <c r="H32" s="1148"/>
      <c r="I32" s="1160"/>
      <c r="J32" s="1160"/>
      <c r="K32" s="1160"/>
      <c r="L32" s="1160"/>
      <c r="M32" s="1160"/>
      <c r="N32" s="1160"/>
      <c r="O32" s="1161"/>
      <c r="P32" s="1162">
        <f>G32</f>
        <v>0</v>
      </c>
      <c r="Q32" s="1163"/>
      <c r="R32" s="893"/>
      <c r="S32" s="1130"/>
      <c r="T32" s="211"/>
      <c r="U32" s="54"/>
      <c r="V32" s="293"/>
      <c r="W32" s="895"/>
      <c r="X32" s="362"/>
    </row>
    <row r="33" spans="1:24" ht="26.25" customHeight="1" thickBot="1" x14ac:dyDescent="0.35">
      <c r="A33" s="1400">
        <v>19</v>
      </c>
      <c r="B33" s="1382" t="s">
        <v>47</v>
      </c>
      <c r="C33" s="1391" t="s">
        <v>263</v>
      </c>
      <c r="D33" s="199" t="s">
        <v>428</v>
      </c>
      <c r="E33" s="212"/>
      <c r="F33" s="816">
        <v>0</v>
      </c>
      <c r="G33" s="1207">
        <f>ROUND(E33/N1*$F$33,0)</f>
        <v>0</v>
      </c>
      <c r="H33" s="950"/>
      <c r="I33" s="274"/>
      <c r="J33" s="274"/>
      <c r="K33" s="211"/>
      <c r="L33" s="274"/>
      <c r="M33" s="274"/>
      <c r="N33" s="210">
        <f>O33*190</f>
        <v>0</v>
      </c>
      <c r="O33" s="210"/>
      <c r="P33" s="1388" t="e">
        <f>SUM(G33:N37)</f>
        <v>#REF!</v>
      </c>
      <c r="Q33" s="763" t="s">
        <v>429</v>
      </c>
      <c r="R33" s="899">
        <v>2595</v>
      </c>
      <c r="S33" s="6">
        <v>1539</v>
      </c>
      <c r="T33" s="89"/>
      <c r="U33" s="54">
        <f>SUM(R33:T33)</f>
        <v>4134</v>
      </c>
      <c r="V33" s="211">
        <v>31800</v>
      </c>
      <c r="W33" s="900">
        <v>1130226</v>
      </c>
      <c r="X33" s="1059" t="s">
        <v>571</v>
      </c>
    </row>
    <row r="34" spans="1:24" ht="26.25" customHeight="1" x14ac:dyDescent="0.3">
      <c r="A34" s="1401"/>
      <c r="B34" s="1383"/>
      <c r="C34" s="1392"/>
      <c r="D34" s="199" t="s">
        <v>119</v>
      </c>
      <c r="E34" s="994">
        <v>28590</v>
      </c>
      <c r="F34" s="995">
        <f>$N$1</f>
        <v>30</v>
      </c>
      <c r="G34" s="1213">
        <f>E34/N1*F34</f>
        <v>28590</v>
      </c>
      <c r="H34" s="950"/>
      <c r="I34" s="274"/>
      <c r="J34" s="274"/>
      <c r="K34" s="211"/>
      <c r="L34" s="274"/>
      <c r="M34" s="274"/>
      <c r="N34" s="210" t="e">
        <f>O34*199</f>
        <v>#REF!</v>
      </c>
      <c r="O34" s="218" t="e">
        <f>#REF!</f>
        <v>#REF!</v>
      </c>
      <c r="P34" s="1389"/>
      <c r="Q34" s="764" t="s">
        <v>562</v>
      </c>
      <c r="R34" s="899"/>
      <c r="S34" s="6"/>
      <c r="T34" s="89"/>
      <c r="U34" s="54"/>
      <c r="V34" s="211"/>
      <c r="W34" s="206"/>
      <c r="X34" s="732"/>
    </row>
    <row r="35" spans="1:24" ht="26.25" customHeight="1" x14ac:dyDescent="0.3">
      <c r="A35" s="1401"/>
      <c r="B35" s="1383"/>
      <c r="C35" s="1392"/>
      <c r="D35" s="199" t="s">
        <v>559</v>
      </c>
      <c r="E35" s="212">
        <v>160</v>
      </c>
      <c r="F35" s="1170" t="e">
        <f>#REF!+#REF!</f>
        <v>#REF!</v>
      </c>
      <c r="G35" s="1207" t="e">
        <f>F35*E35</f>
        <v>#REF!</v>
      </c>
      <c r="H35" s="950"/>
      <c r="I35" s="274"/>
      <c r="J35" s="274"/>
      <c r="K35" s="276"/>
      <c r="L35" s="274"/>
      <c r="M35" s="274"/>
      <c r="N35" s="210"/>
      <c r="O35" s="218"/>
      <c r="P35" s="1389"/>
      <c r="Q35" s="764"/>
      <c r="R35" s="899"/>
      <c r="S35" s="6"/>
      <c r="T35" s="89"/>
      <c r="U35" s="54"/>
      <c r="V35" s="211"/>
      <c r="W35" s="206"/>
      <c r="X35" s="732"/>
    </row>
    <row r="36" spans="1:24" ht="26.25" customHeight="1" x14ac:dyDescent="0.3">
      <c r="A36" s="1401"/>
      <c r="B36" s="1383"/>
      <c r="C36" s="1392"/>
      <c r="D36" s="199" t="s">
        <v>62</v>
      </c>
      <c r="E36" s="212">
        <v>192</v>
      </c>
      <c r="F36" s="815" t="e">
        <f>#REF!</f>
        <v>#REF!</v>
      </c>
      <c r="G36" s="1207" t="e">
        <f>F36*E36</f>
        <v>#REF!</v>
      </c>
      <c r="H36" s="950"/>
      <c r="I36" s="274"/>
      <c r="J36" s="274"/>
      <c r="K36" s="276"/>
      <c r="L36" s="274"/>
      <c r="M36" s="274"/>
      <c r="N36" s="210" t="e">
        <f>O36*199</f>
        <v>#REF!</v>
      </c>
      <c r="O36" s="218" t="e">
        <f>#REF!</f>
        <v>#REF!</v>
      </c>
      <c r="P36" s="1389"/>
      <c r="Q36" s="764"/>
      <c r="R36" s="899"/>
      <c r="S36" s="6"/>
      <c r="T36" s="89"/>
      <c r="U36" s="54"/>
      <c r="V36" s="211"/>
      <c r="W36" s="206"/>
      <c r="X36" s="732"/>
    </row>
    <row r="37" spans="1:24" ht="26.25" customHeight="1" x14ac:dyDescent="0.3">
      <c r="A37" s="1402"/>
      <c r="B37" s="1384"/>
      <c r="C37" s="1393"/>
      <c r="D37" s="199" t="s">
        <v>83</v>
      </c>
      <c r="E37" s="200">
        <v>190</v>
      </c>
      <c r="F37" s="815" t="e">
        <f>#REF!</f>
        <v>#REF!</v>
      </c>
      <c r="G37" s="1207" t="e">
        <f>F37*E37</f>
        <v>#REF!</v>
      </c>
      <c r="H37" s="950"/>
      <c r="I37" s="274"/>
      <c r="J37" s="274"/>
      <c r="K37" s="274"/>
      <c r="L37" s="274"/>
      <c r="M37" s="274"/>
      <c r="N37" s="210"/>
      <c r="O37" s="218"/>
      <c r="P37" s="1390"/>
      <c r="Q37" s="765"/>
      <c r="R37" s="893"/>
      <c r="S37" s="211"/>
      <c r="T37" s="216"/>
      <c r="U37" s="361"/>
      <c r="V37" s="211"/>
      <c r="W37" s="206"/>
      <c r="X37" s="889"/>
    </row>
    <row r="38" spans="1:24" s="674" customFormat="1" ht="26.25" customHeight="1" thickBot="1" x14ac:dyDescent="0.35">
      <c r="A38" s="1060">
        <v>20</v>
      </c>
      <c r="B38" s="1061" t="s">
        <v>146</v>
      </c>
      <c r="C38" s="1200" t="s">
        <v>210</v>
      </c>
      <c r="D38" s="1067" t="s">
        <v>83</v>
      </c>
      <c r="E38" s="1068">
        <v>190</v>
      </c>
      <c r="F38" s="1069" t="e">
        <f>#REF!</f>
        <v>#REF!</v>
      </c>
      <c r="G38" s="1214" t="e">
        <f>E38*$F$38</f>
        <v>#REF!</v>
      </c>
      <c r="H38" s="1053"/>
      <c r="I38" s="1070"/>
      <c r="J38" s="1070"/>
      <c r="K38" s="1070">
        <v>500</v>
      </c>
      <c r="L38" s="1070"/>
      <c r="M38" s="1070"/>
      <c r="N38" s="1070"/>
      <c r="O38" s="1071"/>
      <c r="P38" s="1072" t="e">
        <f>SUM(G38:N38)</f>
        <v>#REF!</v>
      </c>
      <c r="Q38" s="733" t="s">
        <v>155</v>
      </c>
      <c r="R38" s="1063"/>
      <c r="S38" s="1064"/>
      <c r="T38" s="1064"/>
      <c r="U38" s="1065"/>
      <c r="V38" s="1064"/>
      <c r="W38" s="1066"/>
      <c r="X38" s="1062"/>
    </row>
    <row r="39" spans="1:24" ht="26.25" customHeight="1" x14ac:dyDescent="0.3">
      <c r="A39" s="1394">
        <v>21</v>
      </c>
      <c r="B39" s="1396" t="s">
        <v>47</v>
      </c>
      <c r="C39" s="1398" t="s">
        <v>173</v>
      </c>
      <c r="D39" s="993" t="s">
        <v>428</v>
      </c>
      <c r="E39" s="994">
        <v>28590</v>
      </c>
      <c r="F39" s="995">
        <f>$N$1</f>
        <v>30</v>
      </c>
      <c r="G39" s="1213">
        <f>E39/N1*F39</f>
        <v>28590</v>
      </c>
      <c r="H39" s="996"/>
      <c r="I39" s="997"/>
      <c r="J39" s="998">
        <v>2000</v>
      </c>
      <c r="K39" s="998">
        <v>1000</v>
      </c>
      <c r="L39" s="999"/>
      <c r="M39" s="999"/>
      <c r="N39" s="998"/>
      <c r="O39" s="1000"/>
      <c r="P39" s="1405" t="e">
        <f>SUM(G39:N45)</f>
        <v>#REF!</v>
      </c>
      <c r="Q39" s="1001" t="s">
        <v>429</v>
      </c>
      <c r="R39" s="1002">
        <v>2595</v>
      </c>
      <c r="S39" s="1003">
        <v>1539</v>
      </c>
      <c r="T39" s="1416"/>
      <c r="U39" s="1004">
        <f>SUM(R39:T39)</f>
        <v>4134</v>
      </c>
      <c r="V39" s="998">
        <v>31800</v>
      </c>
      <c r="W39" s="939">
        <v>1120103</v>
      </c>
      <c r="X39" s="1059" t="s">
        <v>571</v>
      </c>
    </row>
    <row r="40" spans="1:24" ht="26.25" customHeight="1" x14ac:dyDescent="0.3">
      <c r="A40" s="1380"/>
      <c r="B40" s="1383"/>
      <c r="C40" s="1386"/>
      <c r="D40" s="199" t="s">
        <v>557</v>
      </c>
      <c r="E40" s="212">
        <v>160</v>
      </c>
      <c r="F40" s="1170" t="e">
        <f>#REF!</f>
        <v>#REF!</v>
      </c>
      <c r="G40" s="1207" t="e">
        <f>E40*F40</f>
        <v>#REF!</v>
      </c>
      <c r="H40" s="951"/>
      <c r="I40" s="217"/>
      <c r="J40" s="211"/>
      <c r="K40" s="211"/>
      <c r="L40" s="202"/>
      <c r="M40" s="202"/>
      <c r="N40" s="211"/>
      <c r="O40" s="218"/>
      <c r="P40" s="1389"/>
      <c r="Q40" s="1045" t="s">
        <v>561</v>
      </c>
      <c r="R40" s="899"/>
      <c r="S40" s="6"/>
      <c r="T40" s="1417"/>
      <c r="U40" s="54"/>
      <c r="V40" s="211"/>
      <c r="W40" s="823"/>
      <c r="X40" s="733"/>
    </row>
    <row r="41" spans="1:24" ht="26.25" customHeight="1" x14ac:dyDescent="0.3">
      <c r="A41" s="1380"/>
      <c r="B41" s="1383"/>
      <c r="C41" s="1386"/>
      <c r="D41" s="199" t="s">
        <v>558</v>
      </c>
      <c r="E41" s="212">
        <v>199</v>
      </c>
      <c r="F41" s="1206" t="e">
        <f>#REF!</f>
        <v>#REF!</v>
      </c>
      <c r="G41" s="1207" t="e">
        <f>E41*F41</f>
        <v>#REF!</v>
      </c>
      <c r="H41" s="951"/>
      <c r="I41" s="217"/>
      <c r="J41" s="211"/>
      <c r="K41" s="211"/>
      <c r="L41" s="202"/>
      <c r="M41" s="202"/>
      <c r="N41" s="211"/>
      <c r="O41" s="218"/>
      <c r="P41" s="1389"/>
      <c r="Q41" s="764"/>
      <c r="R41" s="899"/>
      <c r="S41" s="6"/>
      <c r="T41" s="1417"/>
      <c r="U41" s="54"/>
      <c r="V41" s="211"/>
      <c r="W41" s="823"/>
      <c r="X41" s="733"/>
    </row>
    <row r="42" spans="1:24" ht="26.25" customHeight="1" x14ac:dyDescent="0.3">
      <c r="A42" s="1380"/>
      <c r="B42" s="1383"/>
      <c r="C42" s="1386"/>
      <c r="D42" s="199" t="s">
        <v>513</v>
      </c>
      <c r="E42" s="200">
        <v>190</v>
      </c>
      <c r="F42" s="815" t="e">
        <f>#REF!</f>
        <v>#REF!</v>
      </c>
      <c r="G42" s="1207" t="e">
        <f t="shared" ref="G42" si="7">E42*F42</f>
        <v>#REF!</v>
      </c>
      <c r="H42" s="951"/>
      <c r="I42" s="217"/>
      <c r="J42" s="217"/>
      <c r="K42" s="211"/>
      <c r="L42" s="202"/>
      <c r="M42" s="202"/>
      <c r="N42" s="211"/>
      <c r="O42" s="218"/>
      <c r="P42" s="1389"/>
      <c r="Q42" s="764" t="s">
        <v>645</v>
      </c>
      <c r="R42" s="899"/>
      <c r="S42" s="6"/>
      <c r="T42" s="1417"/>
      <c r="U42" s="54"/>
      <c r="V42" s="211"/>
      <c r="W42" s="206"/>
      <c r="X42" s="733"/>
    </row>
    <row r="43" spans="1:24" ht="26.25" customHeight="1" x14ac:dyDescent="0.3">
      <c r="A43" s="1380"/>
      <c r="B43" s="1383"/>
      <c r="C43" s="1386"/>
      <c r="D43" s="199" t="s">
        <v>580</v>
      </c>
      <c r="E43" s="200">
        <v>200</v>
      </c>
      <c r="F43" s="815" t="e">
        <f>#REF!</f>
        <v>#REF!</v>
      </c>
      <c r="G43" s="1207" t="e">
        <f>F43*E43</f>
        <v>#REF!</v>
      </c>
      <c r="H43" s="951"/>
      <c r="I43" s="217"/>
      <c r="J43" s="217"/>
      <c r="K43" s="211"/>
      <c r="L43" s="202"/>
      <c r="M43" s="202"/>
      <c r="N43" s="211"/>
      <c r="O43" s="218"/>
      <c r="P43" s="1389"/>
      <c r="Q43" s="764" t="s">
        <v>646</v>
      </c>
      <c r="R43" s="899"/>
      <c r="S43" s="6"/>
      <c r="T43" s="1417"/>
      <c r="U43" s="54"/>
      <c r="V43" s="211"/>
      <c r="W43" s="206"/>
      <c r="X43" s="733"/>
    </row>
    <row r="44" spans="1:24" ht="26.25" customHeight="1" x14ac:dyDescent="0.3">
      <c r="A44" s="1380"/>
      <c r="B44" s="1383"/>
      <c r="C44" s="1386"/>
      <c r="D44" s="283" t="s">
        <v>649</v>
      </c>
      <c r="E44" s="1173">
        <v>192</v>
      </c>
      <c r="F44" s="815" t="e">
        <f>#REF!</f>
        <v>#REF!</v>
      </c>
      <c r="G44" s="1215" t="e">
        <f>E44*F44</f>
        <v>#REF!</v>
      </c>
      <c r="H44" s="951"/>
      <c r="I44" s="217"/>
      <c r="J44" s="217"/>
      <c r="K44" s="211"/>
      <c r="L44" s="202"/>
      <c r="M44" s="202"/>
      <c r="N44" s="211" t="e">
        <f>O44*160</f>
        <v>#REF!</v>
      </c>
      <c r="O44" s="218" t="e">
        <f>#REF!</f>
        <v>#REF!</v>
      </c>
      <c r="P44" s="1389"/>
      <c r="Q44" s="1377" t="s">
        <v>567</v>
      </c>
      <c r="R44" s="899"/>
      <c r="S44" s="6"/>
      <c r="T44" s="1417"/>
      <c r="U44" s="54"/>
      <c r="V44" s="211"/>
      <c r="W44" s="206"/>
      <c r="X44" s="733"/>
    </row>
    <row r="45" spans="1:24" ht="26.25" customHeight="1" thickBot="1" x14ac:dyDescent="0.35">
      <c r="A45" s="1395"/>
      <c r="B45" s="1397"/>
      <c r="C45" s="1399"/>
      <c r="D45" s="1005" t="s">
        <v>83</v>
      </c>
      <c r="E45" s="1006">
        <v>190</v>
      </c>
      <c r="F45" s="1007" t="e">
        <f>SUM(#REF!)</f>
        <v>#REF!</v>
      </c>
      <c r="G45" s="1216" t="e">
        <f>E45*$F$45</f>
        <v>#REF!</v>
      </c>
      <c r="H45" s="1008"/>
      <c r="I45" s="1009"/>
      <c r="J45" s="1009"/>
      <c r="K45" s="1009"/>
      <c r="L45" s="1009"/>
      <c r="M45" s="1009"/>
      <c r="N45" s="1010" t="e">
        <f>+O45*199</f>
        <v>#REF!</v>
      </c>
      <c r="O45" s="1011" t="e">
        <f>SUM(#REF!)</f>
        <v>#REF!</v>
      </c>
      <c r="P45" s="1406"/>
      <c r="Q45" s="1378"/>
      <c r="R45" s="1012"/>
      <c r="S45" s="1010"/>
      <c r="T45" s="1418"/>
      <c r="U45" s="1013"/>
      <c r="V45" s="1010"/>
      <c r="W45" s="1014"/>
      <c r="X45" s="733"/>
    </row>
    <row r="46" spans="1:24" ht="26.25" customHeight="1" x14ac:dyDescent="0.3">
      <c r="A46" s="1380">
        <v>22</v>
      </c>
      <c r="B46" s="1383" t="s">
        <v>47</v>
      </c>
      <c r="C46" s="1386" t="s">
        <v>217</v>
      </c>
      <c r="D46" s="1141" t="s">
        <v>119</v>
      </c>
      <c r="E46" s="289">
        <v>28590</v>
      </c>
      <c r="F46" s="1337">
        <v>27.675000000000001</v>
      </c>
      <c r="G46" s="1209">
        <f>ROUND(E46/N1*$F$46,0)</f>
        <v>26374</v>
      </c>
      <c r="H46" s="986"/>
      <c r="I46" s="987"/>
      <c r="J46" s="987"/>
      <c r="K46" s="988">
        <f>5000/21*16.5</f>
        <v>3928.5714285714289</v>
      </c>
      <c r="L46" s="1133">
        <f>3*200</f>
        <v>600</v>
      </c>
      <c r="M46" s="987"/>
      <c r="N46" s="985">
        <f>O46*160</f>
        <v>0</v>
      </c>
      <c r="O46" s="989"/>
      <c r="P46" s="1389" t="e">
        <f>SUM(G46:N49)</f>
        <v>#REF!</v>
      </c>
      <c r="Q46" s="1134" t="s">
        <v>648</v>
      </c>
      <c r="R46" s="990">
        <v>2595</v>
      </c>
      <c r="S46" s="27">
        <v>1539</v>
      </c>
      <c r="T46" s="991"/>
      <c r="U46" s="992">
        <f>SUM(R46:T46)</f>
        <v>4134</v>
      </c>
      <c r="V46" s="293">
        <v>31800</v>
      </c>
      <c r="W46" s="285">
        <v>1120626</v>
      </c>
      <c r="X46" s="1059" t="s">
        <v>571</v>
      </c>
    </row>
    <row r="47" spans="1:24" ht="26.25" customHeight="1" x14ac:dyDescent="0.3">
      <c r="A47" s="1380"/>
      <c r="B47" s="1383"/>
      <c r="C47" s="1386"/>
      <c r="D47" s="295" t="s">
        <v>559</v>
      </c>
      <c r="E47" s="200">
        <v>160</v>
      </c>
      <c r="F47" s="1019" t="e">
        <f>+#REF!</f>
        <v>#REF!</v>
      </c>
      <c r="G47" s="1207" t="e">
        <f>F47*E47</f>
        <v>#REF!</v>
      </c>
      <c r="H47" s="951"/>
      <c r="I47" s="202"/>
      <c r="J47" s="202"/>
      <c r="K47" s="1015"/>
      <c r="L47" s="202"/>
      <c r="M47" s="202"/>
      <c r="N47" s="985"/>
      <c r="O47" s="989"/>
      <c r="P47" s="1389"/>
      <c r="Q47" s="1134" t="s">
        <v>650</v>
      </c>
      <c r="R47" s="990"/>
      <c r="S47" s="1016"/>
      <c r="T47" s="1017"/>
      <c r="U47" s="1018"/>
      <c r="V47" s="293"/>
      <c r="W47" s="285"/>
      <c r="X47" s="362"/>
    </row>
    <row r="48" spans="1:24" ht="26.25" customHeight="1" x14ac:dyDescent="0.3">
      <c r="A48" s="1380"/>
      <c r="B48" s="1383"/>
      <c r="C48" s="1386"/>
      <c r="D48" s="954" t="s">
        <v>191</v>
      </c>
      <c r="E48" s="1054">
        <v>200</v>
      </c>
      <c r="F48" s="218" t="e">
        <f>#REF!</f>
        <v>#REF!</v>
      </c>
      <c r="G48" s="1207" t="e">
        <f>F48*E48</f>
        <v>#REF!</v>
      </c>
      <c r="H48" s="950"/>
      <c r="I48" s="284"/>
      <c r="J48" s="284"/>
      <c r="K48" s="217"/>
      <c r="L48" s="284"/>
      <c r="M48" s="284"/>
      <c r="N48" s="985"/>
      <c r="O48" s="989"/>
      <c r="P48" s="1389"/>
      <c r="Q48" s="1055"/>
      <c r="R48" s="990"/>
      <c r="S48" s="1016"/>
      <c r="T48" s="1017"/>
      <c r="U48" s="1018"/>
      <c r="V48" s="293"/>
      <c r="W48" s="285"/>
      <c r="X48" s="362"/>
    </row>
    <row r="49" spans="1:24" ht="34.950000000000003" customHeight="1" x14ac:dyDescent="0.3">
      <c r="A49" s="1381"/>
      <c r="B49" s="1384"/>
      <c r="C49" s="1387"/>
      <c r="D49" s="295" t="s">
        <v>83</v>
      </c>
      <c r="E49" s="200">
        <v>190</v>
      </c>
      <c r="F49" s="815" t="e">
        <f>SUM(#REF!)</f>
        <v>#REF!</v>
      </c>
      <c r="G49" s="1207" t="e">
        <f>E49*$F$49</f>
        <v>#REF!</v>
      </c>
      <c r="H49" s="950"/>
      <c r="I49" s="284"/>
      <c r="J49" s="284"/>
      <c r="K49" s="284"/>
      <c r="L49" s="284"/>
      <c r="M49" s="284"/>
      <c r="N49" s="210"/>
      <c r="O49" s="218"/>
      <c r="P49" s="1390"/>
      <c r="Q49" s="1056"/>
      <c r="R49" s="896"/>
      <c r="S49" s="292"/>
      <c r="T49" s="299"/>
      <c r="U49" s="296"/>
      <c r="V49" s="293"/>
      <c r="W49" s="285"/>
      <c r="X49" s="362"/>
    </row>
    <row r="50" spans="1:24" ht="26.25" hidden="1" customHeight="1" x14ac:dyDescent="0.3">
      <c r="A50" s="1379">
        <v>19</v>
      </c>
      <c r="B50" s="1382" t="s">
        <v>47</v>
      </c>
      <c r="C50" s="1385" t="s">
        <v>259</v>
      </c>
      <c r="D50" s="295" t="s">
        <v>119</v>
      </c>
      <c r="E50" s="200"/>
      <c r="F50" s="816"/>
      <c r="G50" s="1207" t="e">
        <f t="shared" ref="G50" si="8">E50*$F$49</f>
        <v>#REF!</v>
      </c>
      <c r="H50" s="950"/>
      <c r="I50" s="284"/>
      <c r="J50" s="284"/>
      <c r="K50" s="202"/>
      <c r="L50" s="284"/>
      <c r="M50" s="284"/>
      <c r="N50" s="202" t="e">
        <f>O50*158</f>
        <v>#REF!</v>
      </c>
      <c r="O50" s="214" t="e">
        <f>#REF!</f>
        <v>#REF!</v>
      </c>
      <c r="P50" s="1388" t="e">
        <f>SUM(G50:N51)</f>
        <v>#REF!</v>
      </c>
      <c r="Q50" s="767"/>
      <c r="R50" s="901"/>
      <c r="S50" s="298"/>
      <c r="T50" s="298"/>
      <c r="U50" s="298"/>
      <c r="V50" s="297"/>
      <c r="W50" s="301"/>
      <c r="X50" s="362"/>
    </row>
    <row r="51" spans="1:24" ht="24" customHeight="1" x14ac:dyDescent="0.3">
      <c r="A51" s="1381"/>
      <c r="B51" s="1384"/>
      <c r="C51" s="1387"/>
      <c r="D51" s="1201" t="s">
        <v>83</v>
      </c>
      <c r="E51" s="922">
        <v>190</v>
      </c>
      <c r="F51" s="920" t="e">
        <f>#REF!</f>
        <v>#REF!</v>
      </c>
      <c r="G51" s="1211"/>
      <c r="H51" s="950"/>
      <c r="I51" s="284"/>
      <c r="J51" s="284"/>
      <c r="K51" s="284"/>
      <c r="L51" s="284"/>
      <c r="M51" s="284"/>
      <c r="N51" s="202">
        <f>+O51*199</f>
        <v>0</v>
      </c>
      <c r="O51" s="214"/>
      <c r="P51" s="1390"/>
      <c r="Q51" s="768"/>
      <c r="R51" s="1280"/>
      <c r="S51" s="1281"/>
      <c r="T51" s="1281"/>
      <c r="U51" s="1282"/>
      <c r="V51" s="988"/>
      <c r="W51" s="1283"/>
      <c r="X51" s="362"/>
    </row>
    <row r="52" spans="1:24" ht="36" customHeight="1" x14ac:dyDescent="0.3">
      <c r="A52" s="1379">
        <v>23</v>
      </c>
      <c r="B52" s="1382" t="s">
        <v>47</v>
      </c>
      <c r="C52" s="1385" t="s">
        <v>642</v>
      </c>
      <c r="D52" s="199" t="s">
        <v>234</v>
      </c>
      <c r="E52" s="212">
        <v>30000</v>
      </c>
      <c r="F52" s="1203">
        <v>3</v>
      </c>
      <c r="G52" s="1207">
        <f>E52/30*F52</f>
        <v>3000</v>
      </c>
      <c r="H52" s="950"/>
      <c r="I52" s="284"/>
      <c r="J52" s="284"/>
      <c r="K52" s="284"/>
      <c r="L52" s="284"/>
      <c r="M52" s="284"/>
      <c r="N52" s="202"/>
      <c r="O52" s="921"/>
      <c r="P52" s="1388">
        <f>SUM(G52:N54)</f>
        <v>3000</v>
      </c>
      <c r="Q52" s="1198"/>
      <c r="R52" s="1280"/>
      <c r="S52" s="1281"/>
      <c r="T52" s="1281"/>
      <c r="U52" s="1282"/>
      <c r="V52" s="988"/>
      <c r="W52" s="1283"/>
      <c r="X52" s="362"/>
    </row>
    <row r="53" spans="1:24" ht="26.25" customHeight="1" x14ac:dyDescent="0.3">
      <c r="A53" s="1380"/>
      <c r="B53" s="1383"/>
      <c r="C53" s="1386"/>
      <c r="D53" s="199" t="s">
        <v>559</v>
      </c>
      <c r="E53" s="200"/>
      <c r="F53" s="815"/>
      <c r="G53" s="1207"/>
      <c r="H53" s="950"/>
      <c r="I53" s="284"/>
      <c r="J53" s="284"/>
      <c r="K53" s="284"/>
      <c r="L53" s="284"/>
      <c r="M53" s="284"/>
      <c r="N53" s="202"/>
      <c r="O53" s="921"/>
      <c r="P53" s="1389"/>
      <c r="Q53" s="1198"/>
      <c r="R53" s="1280"/>
      <c r="S53" s="1281"/>
      <c r="T53" s="1281"/>
      <c r="U53" s="1282"/>
      <c r="V53" s="988"/>
      <c r="W53" s="1283"/>
      <c r="X53" s="362"/>
    </row>
    <row r="54" spans="1:24" ht="26.25" customHeight="1" x14ac:dyDescent="0.3">
      <c r="A54" s="1380"/>
      <c r="B54" s="1383"/>
      <c r="C54" s="1386"/>
      <c r="D54" s="199" t="s">
        <v>118</v>
      </c>
      <c r="E54" s="200"/>
      <c r="F54" s="815"/>
      <c r="G54" s="1207"/>
      <c r="H54" s="950"/>
      <c r="I54" s="284"/>
      <c r="J54" s="284"/>
      <c r="K54" s="284"/>
      <c r="L54" s="284"/>
      <c r="M54" s="284"/>
      <c r="N54" s="202"/>
      <c r="O54" s="921"/>
      <c r="P54" s="1390"/>
      <c r="Q54" s="1198"/>
      <c r="R54" s="893">
        <v>728</v>
      </c>
      <c r="S54" s="1130">
        <v>2333</v>
      </c>
      <c r="T54" s="211">
        <f>V54*0.06</f>
        <v>1818</v>
      </c>
      <c r="U54" s="54">
        <f t="shared" ref="U54" si="9">SUM(R54:T54)</f>
        <v>4879</v>
      </c>
      <c r="V54" s="293">
        <v>30300</v>
      </c>
      <c r="W54" s="1283">
        <v>1140627</v>
      </c>
      <c r="X54" s="1278" t="s">
        <v>660</v>
      </c>
    </row>
    <row r="55" spans="1:24" ht="26.25" customHeight="1" x14ac:dyDescent="0.3">
      <c r="A55" s="1379">
        <v>24</v>
      </c>
      <c r="B55" s="1382" t="s">
        <v>47</v>
      </c>
      <c r="C55" s="1385" t="s">
        <v>494</v>
      </c>
      <c r="D55" s="1141" t="s">
        <v>119</v>
      </c>
      <c r="E55" s="1202">
        <v>28590</v>
      </c>
      <c r="F55" s="1153">
        <f>$N$1</f>
        <v>30</v>
      </c>
      <c r="G55" s="1209">
        <f>E55/N1*F55</f>
        <v>28590</v>
      </c>
      <c r="H55" s="950"/>
      <c r="I55" s="284"/>
      <c r="J55" s="284"/>
      <c r="K55" s="284"/>
      <c r="L55" s="284"/>
      <c r="M55" s="284"/>
      <c r="N55" s="202">
        <f>O55*160</f>
        <v>0</v>
      </c>
      <c r="O55" s="921"/>
      <c r="P55" s="1388" t="e">
        <f>SUM(G55:N59)</f>
        <v>#REF!</v>
      </c>
      <c r="Q55" s="763" t="s">
        <v>535</v>
      </c>
      <c r="R55" s="899">
        <v>2595</v>
      </c>
      <c r="S55" s="6">
        <v>1539</v>
      </c>
      <c r="T55" s="299"/>
      <c r="U55" s="54">
        <f>SUM(R55:T55)</f>
        <v>4134</v>
      </c>
      <c r="V55" s="211">
        <v>31800</v>
      </c>
      <c r="W55" s="285">
        <v>1130627</v>
      </c>
      <c r="X55" s="1059" t="s">
        <v>571</v>
      </c>
    </row>
    <row r="56" spans="1:24" ht="26.25" customHeight="1" x14ac:dyDescent="0.3">
      <c r="A56" s="1380"/>
      <c r="B56" s="1383"/>
      <c r="C56" s="1386"/>
      <c r="D56" s="295" t="s">
        <v>559</v>
      </c>
      <c r="E56" s="200">
        <v>160</v>
      </c>
      <c r="F56" s="920" t="e">
        <f>#REF!</f>
        <v>#REF!</v>
      </c>
      <c r="G56" s="1207" t="e">
        <f>F56*E56</f>
        <v>#REF!</v>
      </c>
      <c r="H56" s="950"/>
      <c r="I56" s="284"/>
      <c r="J56" s="284"/>
      <c r="K56" s="284"/>
      <c r="L56" s="284"/>
      <c r="M56" s="284"/>
      <c r="N56" s="202"/>
      <c r="O56" s="921"/>
      <c r="P56" s="1389"/>
      <c r="Q56" s="764"/>
      <c r="R56" s="990"/>
      <c r="S56" s="1016"/>
      <c r="T56" s="299"/>
      <c r="U56" s="1018"/>
      <c r="V56" s="293"/>
      <c r="W56" s="285"/>
      <c r="X56" s="362"/>
    </row>
    <row r="57" spans="1:24" ht="26.25" customHeight="1" x14ac:dyDescent="0.3">
      <c r="A57" s="1380"/>
      <c r="B57" s="1383"/>
      <c r="C57" s="1386"/>
      <c r="D57" s="295" t="s">
        <v>83</v>
      </c>
      <c r="E57" s="200">
        <v>190</v>
      </c>
      <c r="F57" s="920" t="e">
        <f>#REF!</f>
        <v>#REF!</v>
      </c>
      <c r="G57" s="1207" t="e">
        <f>F57*E57</f>
        <v>#REF!</v>
      </c>
      <c r="H57" s="950"/>
      <c r="I57" s="284"/>
      <c r="J57" s="284"/>
      <c r="K57" s="284"/>
      <c r="L57" s="284"/>
      <c r="M57" s="284"/>
      <c r="N57" s="202"/>
      <c r="O57" s="921"/>
      <c r="P57" s="1389"/>
      <c r="Q57" s="764"/>
      <c r="R57" s="990"/>
      <c r="S57" s="1016"/>
      <c r="T57" s="299"/>
      <c r="U57" s="1018"/>
      <c r="V57" s="293"/>
      <c r="W57" s="285"/>
      <c r="X57" s="362"/>
    </row>
    <row r="58" spans="1:24" ht="26.25" customHeight="1" x14ac:dyDescent="0.3">
      <c r="A58" s="1380"/>
      <c r="B58" s="1383"/>
      <c r="C58" s="1386"/>
      <c r="D58" s="283" t="s">
        <v>96</v>
      </c>
      <c r="E58" s="922">
        <v>830</v>
      </c>
      <c r="F58" s="813" t="e">
        <f>#REF!</f>
        <v>#REF!</v>
      </c>
      <c r="G58" s="1207" t="e">
        <f>F58*E58</f>
        <v>#REF!</v>
      </c>
      <c r="H58" s="950"/>
      <c r="I58" s="284"/>
      <c r="J58" s="284"/>
      <c r="K58" s="284"/>
      <c r="L58" s="284"/>
      <c r="M58" s="284"/>
      <c r="N58" s="202">
        <f>O58*190</f>
        <v>0</v>
      </c>
      <c r="O58" s="921"/>
      <c r="P58" s="1389"/>
      <c r="Q58" s="766"/>
      <c r="R58" s="896"/>
      <c r="S58" s="292"/>
      <c r="T58" s="299"/>
      <c r="U58" s="296"/>
      <c r="V58" s="293"/>
      <c r="W58" s="285"/>
      <c r="X58" s="362"/>
    </row>
    <row r="59" spans="1:24" ht="26.25" customHeight="1" x14ac:dyDescent="0.3">
      <c r="A59" s="1381"/>
      <c r="B59" s="1384"/>
      <c r="C59" s="1387"/>
      <c r="D59" s="295" t="s">
        <v>191</v>
      </c>
      <c r="E59" s="200">
        <v>192</v>
      </c>
      <c r="F59" s="920" t="e">
        <f>#REF!</f>
        <v>#REF!</v>
      </c>
      <c r="G59" s="1207" t="e">
        <f>F59*E59</f>
        <v>#REF!</v>
      </c>
      <c r="H59" s="950"/>
      <c r="I59" s="284"/>
      <c r="J59" s="284"/>
      <c r="K59" s="284"/>
      <c r="L59" s="284"/>
      <c r="M59" s="284"/>
      <c r="N59" s="202">
        <f>+O59*199</f>
        <v>0</v>
      </c>
      <c r="O59" s="921"/>
      <c r="P59" s="1390"/>
      <c r="Q59" s="766"/>
      <c r="R59" s="896"/>
      <c r="S59" s="292"/>
      <c r="T59" s="299"/>
      <c r="U59" s="296"/>
      <c r="V59" s="293"/>
      <c r="W59" s="285"/>
      <c r="X59" s="362"/>
    </row>
    <row r="60" spans="1:24" ht="26.25" customHeight="1" thickBot="1" x14ac:dyDescent="0.35">
      <c r="A60" s="219"/>
      <c r="B60" s="220"/>
      <c r="C60" s="1297"/>
      <c r="D60" s="1407" t="s">
        <v>10</v>
      </c>
      <c r="E60" s="1407"/>
      <c r="F60" s="817"/>
      <c r="G60" s="1217" t="e">
        <f t="shared" ref="G60:O60" si="10">SUM(G3:G59)</f>
        <v>#REF!</v>
      </c>
      <c r="H60" s="957">
        <f t="shared" si="10"/>
        <v>0</v>
      </c>
      <c r="I60" s="221">
        <f t="shared" si="10"/>
        <v>1000</v>
      </c>
      <c r="J60" s="221">
        <f t="shared" si="10"/>
        <v>3000</v>
      </c>
      <c r="K60" s="221">
        <f t="shared" si="10"/>
        <v>14928.571428571429</v>
      </c>
      <c r="L60" s="221">
        <f t="shared" si="10"/>
        <v>4600</v>
      </c>
      <c r="M60" s="221">
        <f t="shared" si="10"/>
        <v>0</v>
      </c>
      <c r="N60" s="221" t="e">
        <f t="shared" si="10"/>
        <v>#REF!</v>
      </c>
      <c r="O60" s="221" t="e">
        <f t="shared" si="10"/>
        <v>#REF!</v>
      </c>
      <c r="P60" s="221" t="e">
        <f>SUM(P3:P59)</f>
        <v>#REF!</v>
      </c>
      <c r="Q60" s="769"/>
      <c r="R60" s="222">
        <f>SUM(R3:R59)</f>
        <v>33322</v>
      </c>
      <c r="S60" s="222">
        <f>SUM(S3:S59)</f>
        <v>24782</v>
      </c>
      <c r="T60" s="222">
        <f>SUM(T3:T59)</f>
        <v>20346.599999999999</v>
      </c>
      <c r="U60" s="222">
        <f>SUM(U3:U59)</f>
        <v>78450.600000000006</v>
      </c>
      <c r="V60" s="222">
        <f>SUM(V3:V59)</f>
        <v>483247</v>
      </c>
      <c r="W60" s="902"/>
      <c r="X60" s="890"/>
    </row>
    <row r="61" spans="1:24" ht="22.5" customHeight="1" thickBot="1" x14ac:dyDescent="0.35">
      <c r="A61" s="223"/>
      <c r="D61" s="946" t="s">
        <v>266</v>
      </c>
      <c r="E61" s="947"/>
      <c r="F61" s="948"/>
      <c r="G61" s="347"/>
      <c r="P61" s="1172"/>
    </row>
    <row r="62" spans="1:24" ht="27" customHeight="1" x14ac:dyDescent="0.3">
      <c r="A62" s="213"/>
      <c r="B62" s="228"/>
      <c r="C62" s="1299"/>
      <c r="D62" s="946" t="s">
        <v>550</v>
      </c>
      <c r="E62" s="946"/>
      <c r="F62" s="949"/>
      <c r="G62" s="348"/>
      <c r="H62" s="960"/>
      <c r="I62" s="207"/>
      <c r="J62" s="207"/>
      <c r="K62" s="207"/>
      <c r="L62" s="207"/>
      <c r="M62" s="207"/>
      <c r="N62" s="207"/>
      <c r="O62" s="1404">
        <v>1110601</v>
      </c>
      <c r="P62" s="229"/>
      <c r="Q62" s="771"/>
      <c r="R62" s="229"/>
      <c r="S62" s="229"/>
      <c r="T62" s="229"/>
      <c r="U62" s="229"/>
      <c r="V62" s="230"/>
    </row>
    <row r="63" spans="1:24" ht="29.25" customHeight="1" x14ac:dyDescent="0.3">
      <c r="A63" s="213"/>
      <c r="B63" s="228"/>
      <c r="C63" s="1299"/>
      <c r="D63" s="1408" t="s">
        <v>441</v>
      </c>
      <c r="E63" s="1408"/>
      <c r="F63" s="1408"/>
      <c r="G63" s="1408"/>
      <c r="H63" s="1408"/>
      <c r="I63" s="1408"/>
      <c r="J63" s="1408"/>
      <c r="K63" s="1408"/>
      <c r="L63" s="1408"/>
      <c r="M63" s="231"/>
      <c r="N63" s="207"/>
      <c r="O63" s="1404"/>
      <c r="P63" s="229"/>
      <c r="Q63" s="772" t="s">
        <v>133</v>
      </c>
      <c r="R63" s="232"/>
      <c r="S63" s="229"/>
      <c r="T63" s="229"/>
      <c r="U63" s="229"/>
      <c r="V63" s="230"/>
    </row>
    <row r="64" spans="1:24" ht="22.5" customHeight="1" x14ac:dyDescent="0.3">
      <c r="A64" s="213"/>
      <c r="B64" s="904"/>
      <c r="C64" s="1300"/>
      <c r="D64" s="1409" t="s">
        <v>534</v>
      </c>
      <c r="E64" s="1409"/>
      <c r="F64" s="1409"/>
      <c r="G64" s="1409"/>
      <c r="H64" s="1409"/>
      <c r="I64" s="1409"/>
      <c r="J64" s="1409"/>
      <c r="K64" s="1409"/>
      <c r="L64" s="1409"/>
      <c r="M64" s="213"/>
      <c r="N64" s="207"/>
      <c r="O64" s="1404"/>
      <c r="P64" s="229"/>
      <c r="Q64" s="772" t="s">
        <v>99</v>
      </c>
      <c r="R64" s="232"/>
      <c r="S64" s="229"/>
      <c r="T64" s="229"/>
      <c r="U64" s="229"/>
      <c r="V64" s="230"/>
    </row>
    <row r="65" spans="1:18" x14ac:dyDescent="0.3">
      <c r="A65" s="213"/>
      <c r="B65" s="228"/>
      <c r="C65" s="1299"/>
      <c r="D65" s="213"/>
      <c r="E65" s="1403"/>
      <c r="F65" s="1403"/>
      <c r="G65" s="1403"/>
      <c r="H65" s="1403"/>
      <c r="I65" s="1403"/>
      <c r="J65" s="1403"/>
      <c r="K65" s="1403"/>
      <c r="L65" s="213"/>
      <c r="M65" s="213"/>
      <c r="N65" s="207"/>
      <c r="O65" s="1404"/>
      <c r="P65" s="229" t="s">
        <v>233</v>
      </c>
      <c r="Q65" s="772" t="s">
        <v>235</v>
      </c>
      <c r="R65" s="232"/>
    </row>
    <row r="66" spans="1:18" ht="22.2" x14ac:dyDescent="0.3">
      <c r="A66" s="213"/>
      <c r="B66" s="228"/>
      <c r="C66" s="1299"/>
      <c r="D66" s="946"/>
      <c r="E66" s="960"/>
      <c r="F66" s="818"/>
      <c r="G66" s="207"/>
      <c r="H66" s="960"/>
      <c r="I66" s="207"/>
      <c r="J66" s="207"/>
      <c r="K66" s="207"/>
      <c r="L66" s="207"/>
      <c r="M66" s="207"/>
      <c r="N66" s="207"/>
      <c r="O66" s="233"/>
      <c r="P66" s="229"/>
      <c r="Q66" s="773"/>
      <c r="R66" s="234"/>
    </row>
    <row r="67" spans="1:18" x14ac:dyDescent="0.3">
      <c r="A67" s="213"/>
      <c r="B67" s="228"/>
      <c r="C67" s="1299"/>
      <c r="D67" s="213"/>
      <c r="E67" s="207"/>
      <c r="F67" s="818"/>
      <c r="G67" s="207"/>
      <c r="H67" s="960"/>
      <c r="I67" s="207"/>
      <c r="J67" s="207"/>
      <c r="K67" s="207"/>
      <c r="L67" s="207"/>
      <c r="M67" s="207"/>
      <c r="N67" s="207"/>
      <c r="O67" s="233"/>
      <c r="P67" s="229"/>
      <c r="Q67" s="772"/>
      <c r="R67" s="229"/>
    </row>
    <row r="68" spans="1:18" ht="24.6" customHeight="1" x14ac:dyDescent="0.3">
      <c r="A68" s="213"/>
      <c r="B68" s="228"/>
      <c r="C68" s="1299"/>
      <c r="D68" s="213"/>
      <c r="E68" s="207"/>
      <c r="F68" s="818"/>
      <c r="G68" s="207"/>
      <c r="H68" s="960"/>
      <c r="I68" s="207"/>
      <c r="J68" s="207"/>
      <c r="K68" s="207"/>
      <c r="L68" s="207"/>
      <c r="M68" s="207"/>
      <c r="N68" s="207"/>
      <c r="O68" s="233"/>
      <c r="P68" s="229"/>
      <c r="Q68" s="772" t="s">
        <v>132</v>
      </c>
      <c r="R68" s="229"/>
    </row>
  </sheetData>
  <mergeCells count="63">
    <mergeCell ref="B19:B20"/>
    <mergeCell ref="A19:A20"/>
    <mergeCell ref="C19:C20"/>
    <mergeCell ref="A27:A30"/>
    <mergeCell ref="P12:P14"/>
    <mergeCell ref="C22:C25"/>
    <mergeCell ref="B22:B25"/>
    <mergeCell ref="B27:B30"/>
    <mergeCell ref="C27:C30"/>
    <mergeCell ref="P27:P30"/>
    <mergeCell ref="A22:A25"/>
    <mergeCell ref="V10:V11"/>
    <mergeCell ref="P7:P8"/>
    <mergeCell ref="Q7:Q8"/>
    <mergeCell ref="A12:A14"/>
    <mergeCell ref="B12:B14"/>
    <mergeCell ref="C12:C14"/>
    <mergeCell ref="C7:C8"/>
    <mergeCell ref="B7:B8"/>
    <mergeCell ref="A7:A8"/>
    <mergeCell ref="X10:X11"/>
    <mergeCell ref="A10:A11"/>
    <mergeCell ref="B10:B11"/>
    <mergeCell ref="B50:B51"/>
    <mergeCell ref="A50:A51"/>
    <mergeCell ref="T39:T45"/>
    <mergeCell ref="C50:C51"/>
    <mergeCell ref="P10:P11"/>
    <mergeCell ref="R10:R11"/>
    <mergeCell ref="S10:S11"/>
    <mergeCell ref="W10:W11"/>
    <mergeCell ref="C10:C11"/>
    <mergeCell ref="T10:T11"/>
    <mergeCell ref="U10:U11"/>
    <mergeCell ref="P19:P20"/>
    <mergeCell ref="P22:P25"/>
    <mergeCell ref="E65:K65"/>
    <mergeCell ref="O62:O65"/>
    <mergeCell ref="P39:P45"/>
    <mergeCell ref="P50:P51"/>
    <mergeCell ref="D60:E60"/>
    <mergeCell ref="D63:L63"/>
    <mergeCell ref="P46:P49"/>
    <mergeCell ref="D64:L64"/>
    <mergeCell ref="P52:P54"/>
    <mergeCell ref="C33:C37"/>
    <mergeCell ref="P33:P37"/>
    <mergeCell ref="A46:A49"/>
    <mergeCell ref="A39:A45"/>
    <mergeCell ref="B39:B45"/>
    <mergeCell ref="C39:C45"/>
    <mergeCell ref="B46:B49"/>
    <mergeCell ref="C46:C49"/>
    <mergeCell ref="A33:A37"/>
    <mergeCell ref="B33:B37"/>
    <mergeCell ref="Q44:Q45"/>
    <mergeCell ref="A55:A59"/>
    <mergeCell ref="B55:B59"/>
    <mergeCell ref="C55:C59"/>
    <mergeCell ref="P55:P59"/>
    <mergeCell ref="A52:A54"/>
    <mergeCell ref="B52:B54"/>
    <mergeCell ref="C52:C54"/>
  </mergeCells>
  <phoneticPr fontId="2" type="noConversion"/>
  <printOptions horizontalCentered="1"/>
  <pageMargins left="0" right="0" top="0" bottom="0" header="0.31496062992125984" footer="0.31496062992125984"/>
  <pageSetup paperSize="9" scale="32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9202-93B1-45BB-8A1C-709ADC820BFB}">
  <sheetPr>
    <pageSetUpPr fitToPage="1"/>
  </sheetPr>
  <dimension ref="A1:BN60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ColWidth="9" defaultRowHeight="16.2" x14ac:dyDescent="0.3"/>
  <cols>
    <col min="1" max="1" width="4.88671875" style="427" customWidth="1"/>
    <col min="2" max="2" width="10.5546875" style="1233" customWidth="1"/>
    <col min="3" max="3" width="7.21875" style="428" customWidth="1"/>
    <col min="4" max="4" width="6.6640625" style="428" customWidth="1"/>
    <col min="5" max="5" width="5.88671875" style="428" customWidth="1"/>
    <col min="6" max="6" width="14.109375" style="428" customWidth="1"/>
    <col min="7" max="7" width="4.88671875" style="428" customWidth="1"/>
    <col min="8" max="8" width="6.109375" style="428" customWidth="1"/>
    <col min="9" max="9" width="6.88671875" style="428" customWidth="1"/>
    <col min="10" max="10" width="9.44140625" style="430" customWidth="1"/>
    <col min="11" max="12" width="7.109375" style="739" customWidth="1"/>
    <col min="13" max="13" width="9" style="428" bestFit="1" customWidth="1"/>
    <col min="14" max="15" width="6.6640625" style="428" customWidth="1"/>
    <col min="16" max="16" width="7.33203125" style="428" customWidth="1"/>
    <col min="17" max="17" width="9.109375" style="428" customWidth="1"/>
    <col min="18" max="18" width="20" style="411" customWidth="1"/>
    <col min="19" max="19" width="10.77734375" style="428" customWidth="1"/>
    <col min="20" max="20" width="11.88671875" style="428" bestFit="1" customWidth="1"/>
    <col min="21" max="21" width="9" style="428"/>
    <col min="22" max="22" width="10.109375" style="428" customWidth="1"/>
    <col min="23" max="23" width="10.6640625" style="380" customWidth="1"/>
    <col min="24" max="24" width="7" style="380" customWidth="1"/>
    <col min="25" max="25" width="7.33203125" style="380" customWidth="1"/>
    <col min="26" max="26" width="5.88671875" style="380" customWidth="1"/>
    <col min="27" max="27" width="2.33203125" style="380" customWidth="1"/>
    <col min="28" max="28" width="6.109375" style="380" customWidth="1"/>
    <col min="29" max="30" width="4.77734375" style="380" customWidth="1"/>
    <col min="31" max="33" width="3.88671875" style="380" customWidth="1"/>
    <col min="34" max="34" width="3.77734375" style="380" customWidth="1"/>
    <col min="35" max="35" width="11.21875" style="380" bestFit="1" customWidth="1"/>
    <col min="36" max="36" width="8.44140625" style="380" bestFit="1" customWidth="1"/>
    <col min="37" max="16384" width="9" style="380"/>
  </cols>
  <sheetData>
    <row r="1" spans="1:66" s="371" customFormat="1" ht="34.5" customHeight="1" thickBot="1" x14ac:dyDescent="0.35">
      <c r="A1" s="368">
        <v>114</v>
      </c>
      <c r="B1" s="1234" t="s">
        <v>272</v>
      </c>
      <c r="C1" s="369">
        <v>6</v>
      </c>
      <c r="D1" s="370" t="s">
        <v>273</v>
      </c>
      <c r="F1" s="370"/>
      <c r="G1" s="372"/>
      <c r="H1" s="372" t="s">
        <v>274</v>
      </c>
      <c r="I1" s="372"/>
      <c r="J1" s="373"/>
      <c r="K1" s="44"/>
      <c r="L1" s="44" t="s">
        <v>275</v>
      </c>
      <c r="M1" s="372"/>
      <c r="N1" s="372"/>
      <c r="O1" s="372"/>
      <c r="P1" s="372"/>
      <c r="Q1" s="374"/>
      <c r="R1" s="375"/>
      <c r="S1" s="374"/>
      <c r="T1" s="374"/>
      <c r="U1" s="374"/>
      <c r="V1" s="374"/>
      <c r="W1" s="376"/>
    </row>
    <row r="2" spans="1:66" ht="22.5" customHeight="1" thickBot="1" x14ac:dyDescent="0.35">
      <c r="A2" s="377"/>
      <c r="B2" s="1447" t="s">
        <v>276</v>
      </c>
      <c r="C2" s="1449" t="s">
        <v>277</v>
      </c>
      <c r="D2" s="1451" t="s">
        <v>278</v>
      </c>
      <c r="E2" s="1451" t="s">
        <v>279</v>
      </c>
      <c r="F2" s="1451" t="s">
        <v>280</v>
      </c>
      <c r="G2" s="1445" t="s">
        <v>281</v>
      </c>
      <c r="H2" s="1445" t="s">
        <v>282</v>
      </c>
      <c r="I2" s="1455" t="s">
        <v>63</v>
      </c>
      <c r="J2" s="1457" t="s">
        <v>283</v>
      </c>
      <c r="K2" s="1459" t="s">
        <v>284</v>
      </c>
      <c r="L2" s="1459" t="s">
        <v>285</v>
      </c>
      <c r="M2" s="1451" t="s">
        <v>286</v>
      </c>
      <c r="N2" s="1451" t="s">
        <v>287</v>
      </c>
      <c r="O2" s="1461" t="s">
        <v>288</v>
      </c>
      <c r="P2" s="378" t="s">
        <v>289</v>
      </c>
      <c r="Q2" s="379" t="s">
        <v>290</v>
      </c>
      <c r="R2" s="1463" t="s">
        <v>4</v>
      </c>
      <c r="S2" s="1465" t="s">
        <v>291</v>
      </c>
      <c r="T2" s="1466" t="s">
        <v>47</v>
      </c>
      <c r="U2" s="1249" t="s">
        <v>292</v>
      </c>
      <c r="V2" s="1250" t="s">
        <v>293</v>
      </c>
      <c r="W2" s="1223" t="s">
        <v>294</v>
      </c>
      <c r="AB2" s="1230">
        <v>1000</v>
      </c>
      <c r="AC2" s="1230">
        <v>500</v>
      </c>
      <c r="AD2" s="1230">
        <v>100</v>
      </c>
      <c r="AE2" s="1230">
        <v>50</v>
      </c>
      <c r="AF2" s="1230">
        <v>10</v>
      </c>
      <c r="AG2" s="1230">
        <v>5</v>
      </c>
      <c r="AH2" s="1230">
        <v>1</v>
      </c>
      <c r="AI2" s="1230"/>
    </row>
    <row r="3" spans="1:66" ht="21" customHeight="1" thickBot="1" x14ac:dyDescent="0.35">
      <c r="A3" s="381"/>
      <c r="B3" s="1448"/>
      <c r="C3" s="1450"/>
      <c r="D3" s="1452"/>
      <c r="E3" s="1452"/>
      <c r="F3" s="1452"/>
      <c r="G3" s="1446"/>
      <c r="H3" s="1446"/>
      <c r="I3" s="1456"/>
      <c r="J3" s="1458"/>
      <c r="K3" s="1452"/>
      <c r="L3" s="1452"/>
      <c r="M3" s="1452"/>
      <c r="N3" s="1460"/>
      <c r="O3" s="1462"/>
      <c r="P3" s="382" t="s">
        <v>295</v>
      </c>
      <c r="Q3" s="383" t="s">
        <v>296</v>
      </c>
      <c r="R3" s="1464"/>
      <c r="S3" s="1465"/>
      <c r="T3" s="1466"/>
      <c r="U3" s="1249"/>
      <c r="V3" s="1251"/>
      <c r="W3" s="1224"/>
      <c r="X3" s="392" t="s">
        <v>299</v>
      </c>
      <c r="Y3" s="393" t="s">
        <v>300</v>
      </c>
      <c r="Z3" s="394" t="s">
        <v>301</v>
      </c>
      <c r="AA3" s="390"/>
      <c r="AB3" s="1230">
        <f t="shared" ref="AB3:AG3" si="0">SUM(AB4:AB41)</f>
        <v>215</v>
      </c>
      <c r="AC3" s="1230">
        <f t="shared" si="0"/>
        <v>3</v>
      </c>
      <c r="AD3" s="1230">
        <f t="shared" si="0"/>
        <v>8</v>
      </c>
      <c r="AE3" s="1230">
        <f t="shared" si="0"/>
        <v>1</v>
      </c>
      <c r="AF3" s="1230">
        <f t="shared" si="0"/>
        <v>10</v>
      </c>
      <c r="AG3" s="1230">
        <f t="shared" si="0"/>
        <v>3</v>
      </c>
      <c r="AH3" s="1230">
        <f>SUM(AH4:AH41)+1</f>
        <v>8</v>
      </c>
      <c r="AI3" s="1231">
        <f>AB3*1000+500*AC3+100*AD3+50*AE3+10*AF3+5*AG3+1*AH3</f>
        <v>217473</v>
      </c>
      <c r="AJ3" s="390"/>
    </row>
    <row r="4" spans="1:66" ht="17.100000000000001" customHeight="1" x14ac:dyDescent="0.3">
      <c r="A4" s="384">
        <v>1</v>
      </c>
      <c r="B4" s="1235" t="s">
        <v>297</v>
      </c>
      <c r="C4" s="385">
        <f>'欣鮮-艾克爾'!G3</f>
        <v>80000</v>
      </c>
      <c r="D4" s="385"/>
      <c r="E4" s="385"/>
      <c r="F4" s="385"/>
      <c r="G4" s="385"/>
      <c r="H4" s="385"/>
      <c r="I4" s="385"/>
      <c r="J4" s="386">
        <f>SUM(C4:I4)</f>
        <v>80000</v>
      </c>
      <c r="K4" s="385"/>
      <c r="L4" s="385"/>
      <c r="N4" s="385"/>
      <c r="O4" s="385"/>
      <c r="P4" s="387">
        <f t="shared" ref="P4:P6" si="1">SUM(K4:O4)</f>
        <v>0</v>
      </c>
      <c r="Q4" s="385">
        <f t="shared" ref="Q4:Q13" si="2">+J4-P4</f>
        <v>80000</v>
      </c>
      <c r="R4" s="388"/>
      <c r="S4" s="1248">
        <v>40000</v>
      </c>
      <c r="T4" s="1225">
        <v>40000</v>
      </c>
      <c r="U4" s="1252"/>
      <c r="V4" s="1253">
        <v>40000</v>
      </c>
      <c r="W4" s="1224">
        <f>SUM(T4+U4+V4)</f>
        <v>80000</v>
      </c>
      <c r="X4" s="395">
        <f t="shared" ref="X4:X10" si="3">+Y4*Z4</f>
        <v>8</v>
      </c>
      <c r="Y4" s="396">
        <v>1</v>
      </c>
      <c r="Z4" s="397">
        <f>+AH3</f>
        <v>8</v>
      </c>
      <c r="AA4" s="390"/>
      <c r="AB4" s="1230">
        <v>40</v>
      </c>
      <c r="AC4" s="1230"/>
      <c r="AD4" s="1230"/>
      <c r="AE4" s="1230"/>
      <c r="AF4" s="1230"/>
      <c r="AG4" s="1230"/>
      <c r="AH4" s="1230"/>
      <c r="AI4" s="1230">
        <f>AB4*1000+500*AC4+100*AD4+50*AE4+10*AF4+5*AG4+1*AH4</f>
        <v>40000</v>
      </c>
      <c r="AJ4" s="390">
        <f>T4-AI4</f>
        <v>0</v>
      </c>
      <c r="AK4" s="390"/>
    </row>
    <row r="5" spans="1:66" x14ac:dyDescent="0.3">
      <c r="A5" s="384">
        <v>2</v>
      </c>
      <c r="B5" s="1236" t="s">
        <v>298</v>
      </c>
      <c r="C5" s="385">
        <f>'欣鮮-艾克爾'!G4</f>
        <v>28000</v>
      </c>
      <c r="D5" s="391"/>
      <c r="E5" s="391"/>
      <c r="F5" s="391"/>
      <c r="G5" s="391"/>
      <c r="H5" s="391"/>
      <c r="I5" s="391"/>
      <c r="J5" s="386">
        <f t="shared" ref="J5:J13" si="4">SUM(C5:I5)</f>
        <v>28000</v>
      </c>
      <c r="K5" s="391"/>
      <c r="L5" s="391"/>
      <c r="M5" s="385"/>
      <c r="N5" s="391"/>
      <c r="O5" s="391"/>
      <c r="P5" s="387">
        <f t="shared" si="1"/>
        <v>0</v>
      </c>
      <c r="Q5" s="385">
        <f t="shared" si="2"/>
        <v>28000</v>
      </c>
      <c r="R5" s="388"/>
      <c r="S5" s="1248"/>
      <c r="T5" s="1225">
        <f>+Q5</f>
        <v>28000</v>
      </c>
      <c r="U5" s="1252"/>
      <c r="V5" s="1254"/>
      <c r="W5" s="1224">
        <f t="shared" ref="W5:W19" si="5">SUM(T5+U5+V5)</f>
        <v>28000</v>
      </c>
      <c r="X5" s="395">
        <f t="shared" si="3"/>
        <v>15</v>
      </c>
      <c r="Y5" s="396">
        <v>5</v>
      </c>
      <c r="Z5" s="397">
        <f>+AG3</f>
        <v>3</v>
      </c>
      <c r="AA5" s="390"/>
      <c r="AB5" s="1230">
        <v>28</v>
      </c>
      <c r="AC5" s="1230"/>
      <c r="AD5" s="1230"/>
      <c r="AE5" s="1230"/>
      <c r="AF5" s="1230"/>
      <c r="AG5" s="1230"/>
      <c r="AH5" s="1230"/>
      <c r="AI5" s="1230">
        <f>AB5*1000+500*AC5+100*AD5+50*AE5+10*AF5+5*AG5+1*AH5</f>
        <v>28000</v>
      </c>
      <c r="AJ5" s="390">
        <f>T5-AI5</f>
        <v>0</v>
      </c>
      <c r="AK5" s="390"/>
    </row>
    <row r="6" spans="1:66" ht="17.100000000000001" customHeight="1" x14ac:dyDescent="0.3">
      <c r="A6" s="384">
        <v>3</v>
      </c>
      <c r="B6" s="1237" t="s">
        <v>302</v>
      </c>
      <c r="C6" s="385">
        <f>'欣鮮-艾克爾'!G5</f>
        <v>47000</v>
      </c>
      <c r="D6" s="391">
        <f>'欣鮮-艾克爾'!I5</f>
        <v>0</v>
      </c>
      <c r="E6" s="391">
        <f>'欣鮮-艾克爾'!J5</f>
        <v>0</v>
      </c>
      <c r="F6" s="391">
        <v>6000</v>
      </c>
      <c r="G6" s="391">
        <v>2000</v>
      </c>
      <c r="H6" s="391">
        <f>'欣鮮-艾克爾'!M5</f>
        <v>0</v>
      </c>
      <c r="I6" s="391">
        <f>'欣鮮-艾克爾'!N5</f>
        <v>0</v>
      </c>
      <c r="J6" s="386">
        <f>SUM(C6:I6)</f>
        <v>55000</v>
      </c>
      <c r="K6" s="391"/>
      <c r="L6" s="391"/>
      <c r="M6" s="391"/>
      <c r="N6" s="391"/>
      <c r="O6" s="391"/>
      <c r="P6" s="387">
        <f t="shared" si="1"/>
        <v>0</v>
      </c>
      <c r="Q6" s="385">
        <f t="shared" si="2"/>
        <v>55000</v>
      </c>
      <c r="R6" s="388"/>
      <c r="S6" s="1248">
        <f>Q6</f>
        <v>55000</v>
      </c>
      <c r="T6" s="1225"/>
      <c r="U6" s="1252"/>
      <c r="V6" s="1254">
        <f>S6</f>
        <v>55000</v>
      </c>
      <c r="W6" s="1224">
        <f t="shared" si="5"/>
        <v>55000</v>
      </c>
      <c r="X6" s="395">
        <f t="shared" si="3"/>
        <v>100</v>
      </c>
      <c r="Y6" s="396">
        <v>10</v>
      </c>
      <c r="Z6" s="397">
        <f>+AF3</f>
        <v>10</v>
      </c>
      <c r="AA6" s="390"/>
      <c r="AB6" s="1230"/>
      <c r="AC6" s="1230"/>
      <c r="AD6" s="1230"/>
      <c r="AE6" s="1230"/>
      <c r="AF6" s="1230"/>
      <c r="AG6" s="1230"/>
      <c r="AH6" s="1230"/>
      <c r="AI6" s="1230"/>
      <c r="AJ6" s="390"/>
      <c r="AK6" s="390"/>
    </row>
    <row r="7" spans="1:66" ht="16.5" customHeight="1" x14ac:dyDescent="0.3">
      <c r="A7" s="384">
        <v>4</v>
      </c>
      <c r="B7" s="1237" t="s">
        <v>218</v>
      </c>
      <c r="C7" s="385">
        <f>'欣鮮-艾克爾'!G6</f>
        <v>3040</v>
      </c>
      <c r="D7" s="391">
        <f>'欣鮮-艾克爾'!I6</f>
        <v>0</v>
      </c>
      <c r="E7" s="391" t="s">
        <v>77</v>
      </c>
      <c r="F7" s="391">
        <f>'欣鮮-艾克爾'!K6</f>
        <v>0</v>
      </c>
      <c r="G7" s="391">
        <f>'欣鮮-艾克爾'!L6</f>
        <v>0</v>
      </c>
      <c r="H7" s="391">
        <f>'欣鮮-艾克爾'!M6</f>
        <v>0</v>
      </c>
      <c r="I7" s="391">
        <f>'欣鮮-艾克爾'!N6</f>
        <v>0</v>
      </c>
      <c r="J7" s="386">
        <f>SUM(C7:I7)</f>
        <v>3040</v>
      </c>
      <c r="K7" s="391"/>
      <c r="L7" s="391"/>
      <c r="M7" s="391"/>
      <c r="N7" s="391"/>
      <c r="O7" s="391"/>
      <c r="P7" s="387">
        <f>SUM(K7:O7)</f>
        <v>0</v>
      </c>
      <c r="Q7" s="385">
        <f>+J7-P7</f>
        <v>3040</v>
      </c>
      <c r="R7" s="1222"/>
      <c r="S7" s="1248">
        <f>Q7</f>
        <v>3040</v>
      </c>
      <c r="T7" s="783"/>
      <c r="U7" s="1255"/>
      <c r="V7" s="1256">
        <f>S7</f>
        <v>3040</v>
      </c>
      <c r="W7" s="1224">
        <f t="shared" si="5"/>
        <v>3040</v>
      </c>
      <c r="X7" s="395">
        <f t="shared" si="3"/>
        <v>50</v>
      </c>
      <c r="Y7" s="396">
        <v>50</v>
      </c>
      <c r="Z7" s="397">
        <f>+AE3</f>
        <v>1</v>
      </c>
      <c r="AA7" s="390"/>
      <c r="AB7" s="1230"/>
      <c r="AC7" s="1230"/>
      <c r="AD7" s="1230"/>
      <c r="AE7" s="1230"/>
      <c r="AF7" s="1230"/>
      <c r="AG7" s="1230"/>
      <c r="AH7" s="1230"/>
      <c r="AI7" s="1230"/>
      <c r="AJ7" s="390"/>
      <c r="AK7" s="390"/>
    </row>
    <row r="8" spans="1:66" ht="16.5" customHeight="1" x14ac:dyDescent="0.3">
      <c r="A8" s="384">
        <v>5</v>
      </c>
      <c r="B8" s="1237" t="s">
        <v>221</v>
      </c>
      <c r="C8" s="385">
        <v>10500</v>
      </c>
      <c r="D8" s="391"/>
      <c r="E8" s="391"/>
      <c r="F8" s="391"/>
      <c r="G8" s="391"/>
      <c r="H8" s="391">
        <f>'欣鮮-艾克爾'!$H$7+'欣鮮-艾克爾'!$H$8</f>
        <v>0</v>
      </c>
      <c r="I8" s="391"/>
      <c r="J8" s="386">
        <f>SUM(C8:I8)</f>
        <v>10500</v>
      </c>
      <c r="K8" s="391">
        <v>277</v>
      </c>
      <c r="L8" s="399"/>
      <c r="M8" s="391">
        <v>160</v>
      </c>
      <c r="N8" s="391"/>
      <c r="O8" s="391"/>
      <c r="P8" s="387">
        <f>SUM(K8:O8)</f>
        <v>437</v>
      </c>
      <c r="Q8" s="385">
        <f>+J8-P8</f>
        <v>10063</v>
      </c>
      <c r="R8" s="398" t="s">
        <v>431</v>
      </c>
      <c r="S8" s="1248">
        <f>+Q8</f>
        <v>10063</v>
      </c>
      <c r="T8" s="1225"/>
      <c r="U8" s="1252">
        <v>2000</v>
      </c>
      <c r="V8" s="1257">
        <f>Q8-U8</f>
        <v>8063</v>
      </c>
      <c r="W8" s="1224">
        <f t="shared" si="5"/>
        <v>10063</v>
      </c>
      <c r="X8" s="395">
        <f t="shared" si="3"/>
        <v>800</v>
      </c>
      <c r="Y8" s="396">
        <v>100</v>
      </c>
      <c r="Z8" s="397">
        <f>+AD3</f>
        <v>8</v>
      </c>
      <c r="AA8" s="390"/>
      <c r="AB8" s="1230"/>
      <c r="AC8" s="1230"/>
      <c r="AD8" s="1230"/>
      <c r="AE8" s="1230"/>
      <c r="AF8" s="1230"/>
      <c r="AG8" s="1230"/>
      <c r="AH8" s="1230"/>
      <c r="AI8" s="1230"/>
      <c r="AJ8" s="390"/>
      <c r="AK8" s="390"/>
    </row>
    <row r="9" spans="1:66" ht="17.100000000000001" customHeight="1" x14ac:dyDescent="0.3">
      <c r="A9" s="384">
        <v>6</v>
      </c>
      <c r="B9" s="1238" t="s">
        <v>203</v>
      </c>
      <c r="C9" s="385" t="e">
        <f>'欣鮮-艾克爾'!G9</f>
        <v>#REF!</v>
      </c>
      <c r="D9" s="391">
        <f>'欣鮮-艾克爾'!I9</f>
        <v>0</v>
      </c>
      <c r="E9" s="391">
        <f>'欣鮮-艾克爾'!J9</f>
        <v>0</v>
      </c>
      <c r="F9" s="391">
        <f>'欣鮮-艾克爾'!K9</f>
        <v>0</v>
      </c>
      <c r="G9" s="391">
        <f>'欣鮮-艾克爾'!L9</f>
        <v>0</v>
      </c>
      <c r="H9" s="391">
        <f>'欣鮮-艾克爾'!M9</f>
        <v>0</v>
      </c>
      <c r="I9" s="391">
        <f>'欣鮮-艾克爾'!N9</f>
        <v>0</v>
      </c>
      <c r="J9" s="386" t="e">
        <f t="shared" si="4"/>
        <v>#REF!</v>
      </c>
      <c r="K9" s="391">
        <v>0</v>
      </c>
      <c r="L9" s="399"/>
      <c r="M9" s="391">
        <v>160</v>
      </c>
      <c r="N9" s="391"/>
      <c r="O9" s="391"/>
      <c r="P9" s="387">
        <f t="shared" ref="P9:P29" si="6">SUM(K9:O9)</f>
        <v>160</v>
      </c>
      <c r="Q9" s="385" t="e">
        <f t="shared" si="2"/>
        <v>#REF!</v>
      </c>
      <c r="R9" s="400" t="s">
        <v>303</v>
      </c>
      <c r="S9" s="1248" t="e">
        <f t="shared" ref="S9:S10" si="7">+Q9</f>
        <v>#REF!</v>
      </c>
      <c r="T9" s="1225"/>
      <c r="U9" s="1252">
        <v>2000</v>
      </c>
      <c r="V9" s="1257" t="e">
        <f t="shared" ref="V9:V12" si="8">Q9-U9</f>
        <v>#REF!</v>
      </c>
      <c r="W9" s="1224" t="e">
        <f t="shared" si="5"/>
        <v>#REF!</v>
      </c>
      <c r="X9" s="395">
        <f t="shared" si="3"/>
        <v>1500</v>
      </c>
      <c r="Y9" s="396">
        <v>500</v>
      </c>
      <c r="Z9" s="397">
        <f>+AC3</f>
        <v>3</v>
      </c>
      <c r="AA9" s="390"/>
      <c r="AB9" s="1230"/>
      <c r="AC9" s="1230"/>
      <c r="AD9" s="1230"/>
      <c r="AE9" s="1230"/>
      <c r="AF9" s="1230"/>
      <c r="AG9" s="1230"/>
      <c r="AH9" s="1230"/>
      <c r="AI9" s="1230"/>
      <c r="AJ9" s="390"/>
      <c r="AK9" s="390"/>
    </row>
    <row r="10" spans="1:66" ht="17.100000000000001" customHeight="1" x14ac:dyDescent="0.3">
      <c r="A10" s="384">
        <v>7</v>
      </c>
      <c r="B10" s="1237" t="s">
        <v>514</v>
      </c>
      <c r="C10" s="391" t="e">
        <f>'欣鮮-艾克爾'!G10</f>
        <v>#REF!</v>
      </c>
      <c r="D10" s="391">
        <f>'欣鮮-艾克爾'!I10+'欣鮮-艾克爾'!I11</f>
        <v>0</v>
      </c>
      <c r="E10" s="391">
        <v>500</v>
      </c>
      <c r="F10" s="401">
        <f>1000</f>
        <v>1000</v>
      </c>
      <c r="G10" s="391">
        <f>'欣鮮-艾克爾'!L10+'欣鮮-艾克爾'!L11</f>
        <v>0</v>
      </c>
      <c r="H10" s="391">
        <f>'欣鮮-艾克爾'!$H$10</f>
        <v>0</v>
      </c>
      <c r="I10" s="391" t="e">
        <f>'欣鮮-艾克爾'!G11</f>
        <v>#REF!</v>
      </c>
      <c r="J10" s="386" t="e">
        <f>SUM(C10:I10)</f>
        <v>#REF!</v>
      </c>
      <c r="K10" s="391">
        <v>500</v>
      </c>
      <c r="L10" s="403"/>
      <c r="M10" s="391">
        <v>160</v>
      </c>
      <c r="N10" s="391"/>
      <c r="O10" s="391"/>
      <c r="P10" s="387">
        <f t="shared" si="6"/>
        <v>660</v>
      </c>
      <c r="Q10" s="385" t="e">
        <f t="shared" si="2"/>
        <v>#REF!</v>
      </c>
      <c r="R10" s="388" t="s">
        <v>493</v>
      </c>
      <c r="S10" s="1248" t="e">
        <f t="shared" si="7"/>
        <v>#REF!</v>
      </c>
      <c r="T10" s="1225"/>
      <c r="U10" s="1252">
        <v>2000</v>
      </c>
      <c r="V10" s="1257" t="e">
        <f t="shared" si="8"/>
        <v>#REF!</v>
      </c>
      <c r="W10" s="1224" t="e">
        <f t="shared" si="5"/>
        <v>#REF!</v>
      </c>
      <c r="X10" s="395">
        <f t="shared" si="3"/>
        <v>215000</v>
      </c>
      <c r="Y10" s="396">
        <v>1000</v>
      </c>
      <c r="Z10" s="397">
        <f>+AB3</f>
        <v>215</v>
      </c>
      <c r="AA10" s="390"/>
      <c r="AB10" s="1230"/>
      <c r="AC10" s="1230"/>
      <c r="AD10" s="1230"/>
      <c r="AE10" s="1230"/>
      <c r="AF10" s="1230"/>
      <c r="AG10" s="1230"/>
      <c r="AH10" s="1230"/>
      <c r="AI10" s="1230"/>
      <c r="AJ10" s="390"/>
      <c r="AK10" s="390"/>
    </row>
    <row r="11" spans="1:66" ht="17.100000000000001" customHeight="1" x14ac:dyDescent="0.3">
      <c r="A11" s="384">
        <v>8</v>
      </c>
      <c r="B11" s="1239" t="s">
        <v>231</v>
      </c>
      <c r="C11" s="391" t="e">
        <f>'欣鮮-艾克爾'!G15</f>
        <v>#REF!</v>
      </c>
      <c r="D11" s="391">
        <f>'欣鮮-艾克爾'!I15</f>
        <v>0</v>
      </c>
      <c r="E11" s="391">
        <f>'欣鮮-艾克爾'!J15</f>
        <v>0</v>
      </c>
      <c r="F11" s="391">
        <f>'欣鮮-艾克爾'!K15</f>
        <v>0</v>
      </c>
      <c r="G11" s="391">
        <f>'欣鮮-艾克爾'!L15</f>
        <v>0</v>
      </c>
      <c r="H11" s="391">
        <f>'欣鮮-艾克爾'!H15</f>
        <v>0</v>
      </c>
      <c r="I11" s="391">
        <f>'欣鮮-艾克爾'!N15</f>
        <v>0</v>
      </c>
      <c r="J11" s="386" t="e">
        <f t="shared" si="4"/>
        <v>#REF!</v>
      </c>
      <c r="K11" s="391">
        <v>396</v>
      </c>
      <c r="L11" s="399"/>
      <c r="M11" s="391">
        <v>160</v>
      </c>
      <c r="N11" s="391"/>
      <c r="O11" s="391"/>
      <c r="P11" s="387">
        <f t="shared" si="6"/>
        <v>556</v>
      </c>
      <c r="Q11" s="385" t="e">
        <f t="shared" si="2"/>
        <v>#REF!</v>
      </c>
      <c r="R11" s="406" t="s">
        <v>605</v>
      </c>
      <c r="S11" s="1248" t="e">
        <f>+Q11</f>
        <v>#REF!</v>
      </c>
      <c r="T11" s="784"/>
      <c r="U11" s="1256"/>
      <c r="V11" s="1253" t="e">
        <f t="shared" si="8"/>
        <v>#REF!</v>
      </c>
      <c r="W11" s="1224" t="e">
        <f t="shared" si="5"/>
        <v>#REF!</v>
      </c>
      <c r="X11" s="404" t="s">
        <v>304</v>
      </c>
      <c r="Y11" s="1453" t="e">
        <f>+T30</f>
        <v>#REF!</v>
      </c>
      <c r="Z11" s="1454"/>
      <c r="AA11" s="390"/>
      <c r="AB11" s="1230"/>
      <c r="AC11" s="1230"/>
      <c r="AD11" s="1230"/>
      <c r="AE11" s="1230"/>
      <c r="AF11" s="1230"/>
      <c r="AG11" s="1230"/>
      <c r="AH11" s="1230"/>
      <c r="AI11" s="1230"/>
      <c r="AJ11" s="390"/>
      <c r="AK11" s="390"/>
    </row>
    <row r="12" spans="1:66" x14ac:dyDescent="0.3">
      <c r="A12" s="384">
        <v>9</v>
      </c>
      <c r="B12" s="1239" t="s">
        <v>233</v>
      </c>
      <c r="C12" s="391" t="e">
        <f>SUM('欣鮮-艾克爾'!G12:G14)</f>
        <v>#REF!</v>
      </c>
      <c r="D12" s="391">
        <f>'欣鮮-艾克爾'!I12</f>
        <v>1000</v>
      </c>
      <c r="E12" s="391">
        <f>'欣鮮-艾克爾'!J12</f>
        <v>0</v>
      </c>
      <c r="F12" s="391">
        <v>3000</v>
      </c>
      <c r="G12" s="391">
        <v>2000</v>
      </c>
      <c r="H12" s="391"/>
      <c r="I12" s="391">
        <f>'欣鮮-艾克爾'!N12+'欣鮮-艾克爾'!N14</f>
        <v>0</v>
      </c>
      <c r="J12" s="386" t="e">
        <f t="shared" si="4"/>
        <v>#REF!</v>
      </c>
      <c r="K12" s="391">
        <v>1002</v>
      </c>
      <c r="L12" s="391">
        <f>622*3</f>
        <v>1866</v>
      </c>
      <c r="M12" s="391">
        <v>160</v>
      </c>
      <c r="N12" s="391">
        <v>20000</v>
      </c>
      <c r="O12" s="391"/>
      <c r="P12" s="387">
        <f t="shared" si="6"/>
        <v>23028</v>
      </c>
      <c r="Q12" s="385" t="e">
        <f>+J12-P12</f>
        <v>#REF!</v>
      </c>
      <c r="R12" s="880" t="s">
        <v>606</v>
      </c>
      <c r="S12" s="1248" t="e">
        <f>+Q12</f>
        <v>#REF!</v>
      </c>
      <c r="T12" s="1226"/>
      <c r="U12" s="1254"/>
      <c r="V12" s="1253" t="e">
        <f t="shared" si="8"/>
        <v>#REF!</v>
      </c>
      <c r="W12" s="1224" t="e">
        <f t="shared" si="5"/>
        <v>#REF!</v>
      </c>
      <c r="X12" s="395" t="s">
        <v>146</v>
      </c>
      <c r="Y12" s="1467" t="e">
        <f>+S30</f>
        <v>#REF!</v>
      </c>
      <c r="Z12" s="1467"/>
      <c r="AA12" s="390"/>
      <c r="AB12" s="1230"/>
      <c r="AC12" s="1230"/>
      <c r="AD12" s="1230"/>
      <c r="AE12" s="1230"/>
      <c r="AF12" s="1230"/>
      <c r="AG12" s="1230"/>
      <c r="AH12" s="1230"/>
      <c r="AI12" s="1230"/>
      <c r="AJ12" s="390"/>
      <c r="AK12" s="390"/>
    </row>
    <row r="13" spans="1:66" ht="17.100000000000001" customHeight="1" x14ac:dyDescent="0.3">
      <c r="A13" s="384">
        <v>10</v>
      </c>
      <c r="B13" s="1219" t="s">
        <v>271</v>
      </c>
      <c r="C13" s="405" t="e">
        <f>'欣鮮-艾克爾'!G17</f>
        <v>#REF!</v>
      </c>
      <c r="D13" s="405">
        <f>'欣鮮-艾克爾'!I17</f>
        <v>0</v>
      </c>
      <c r="E13" s="405">
        <f>'欣鮮-艾克爾'!J17</f>
        <v>0</v>
      </c>
      <c r="F13" s="405">
        <f>'欣鮮-艾克爾'!K17</f>
        <v>0</v>
      </c>
      <c r="G13" s="405">
        <f>'欣鮮-艾克爾'!L17</f>
        <v>0</v>
      </c>
      <c r="H13" s="391">
        <f>'欣鮮-艾克爾'!H17</f>
        <v>0</v>
      </c>
      <c r="I13" s="405">
        <f>'欣鮮-艾克爾'!N17</f>
        <v>0</v>
      </c>
      <c r="J13" s="386" t="e">
        <f t="shared" si="4"/>
        <v>#REF!</v>
      </c>
      <c r="K13" s="1058">
        <v>0</v>
      </c>
      <c r="L13" s="391">
        <v>443</v>
      </c>
      <c r="M13" s="401">
        <v>160</v>
      </c>
      <c r="N13" s="391"/>
      <c r="O13" s="391"/>
      <c r="P13" s="387">
        <f t="shared" si="6"/>
        <v>603</v>
      </c>
      <c r="Q13" s="385" t="e">
        <f t="shared" si="2"/>
        <v>#REF!</v>
      </c>
      <c r="R13" s="406"/>
      <c r="S13" s="1248" t="e">
        <f t="shared" ref="S13:S19" si="9">Q13</f>
        <v>#REF!</v>
      </c>
      <c r="T13" s="784"/>
      <c r="U13" s="1256"/>
      <c r="V13" s="1255" t="e">
        <f>Q13</f>
        <v>#REF!</v>
      </c>
      <c r="W13" s="1224" t="e">
        <f>SUM(T13+U13+V13)</f>
        <v>#REF!</v>
      </c>
      <c r="Y13" s="1468" t="e">
        <f>SUM(Y11:Z12)-1</f>
        <v>#REF!</v>
      </c>
      <c r="Z13" s="1469"/>
      <c r="AA13" s="390"/>
      <c r="AB13" s="1230"/>
      <c r="AC13" s="1230"/>
      <c r="AD13" s="1230"/>
      <c r="AE13" s="1230"/>
      <c r="AF13" s="1230"/>
      <c r="AG13" s="1230"/>
      <c r="AH13" s="1230"/>
      <c r="AI13" s="1230"/>
      <c r="AJ13" s="390"/>
      <c r="AK13" s="390"/>
    </row>
    <row r="14" spans="1:66" ht="18.75" customHeight="1" x14ac:dyDescent="0.3">
      <c r="A14" s="384">
        <v>11</v>
      </c>
      <c r="B14" s="836" t="s">
        <v>434</v>
      </c>
      <c r="C14" s="405" t="e">
        <f>'欣鮮-艾克爾'!P16</f>
        <v>#REF!</v>
      </c>
      <c r="D14" s="405"/>
      <c r="E14" s="405"/>
      <c r="F14" s="405"/>
      <c r="G14" s="405"/>
      <c r="H14" s="391"/>
      <c r="I14" s="405"/>
      <c r="J14" s="386" t="e">
        <f>SUM(C14:I14)</f>
        <v>#REF!</v>
      </c>
      <c r="K14" s="391">
        <v>277</v>
      </c>
      <c r="L14" s="399"/>
      <c r="M14" s="391">
        <v>160</v>
      </c>
      <c r="N14" s="391"/>
      <c r="O14" s="391"/>
      <c r="P14" s="387">
        <f t="shared" si="6"/>
        <v>437</v>
      </c>
      <c r="Q14" s="391" t="e">
        <f>+J14-P14</f>
        <v>#REF!</v>
      </c>
      <c r="R14" s="742" t="s">
        <v>440</v>
      </c>
      <c r="S14" s="1248" t="e">
        <f t="shared" si="9"/>
        <v>#REF!</v>
      </c>
      <c r="T14" s="783"/>
      <c r="U14" s="1256"/>
      <c r="V14" s="1255" t="e">
        <f>Q14</f>
        <v>#REF!</v>
      </c>
      <c r="W14" s="1224" t="e">
        <f t="shared" si="5"/>
        <v>#REF!</v>
      </c>
      <c r="X14" s="407"/>
      <c r="Y14" s="408"/>
      <c r="Z14" s="407"/>
      <c r="AA14" s="390"/>
      <c r="AB14" s="1230"/>
      <c r="AC14" s="1230"/>
      <c r="AD14" s="1230"/>
      <c r="AE14" s="1230"/>
      <c r="AF14" s="1230"/>
      <c r="AG14" s="1230"/>
      <c r="AH14" s="1230"/>
      <c r="AI14" s="1230"/>
      <c r="AJ14" s="390"/>
      <c r="AK14" s="390"/>
    </row>
    <row r="15" spans="1:66" ht="17.100000000000001" customHeight="1" x14ac:dyDescent="0.3">
      <c r="A15" s="384">
        <v>12</v>
      </c>
      <c r="B15" s="836" t="s">
        <v>500</v>
      </c>
      <c r="C15" s="405">
        <f>'欣鮮-艾克爾'!G18</f>
        <v>20750</v>
      </c>
      <c r="D15" s="405"/>
      <c r="E15" s="405"/>
      <c r="F15" s="405"/>
      <c r="G15" s="405"/>
      <c r="H15" s="391">
        <f>'欣鮮-艾克爾'!H18</f>
        <v>0</v>
      </c>
      <c r="I15" s="405"/>
      <c r="J15" s="386">
        <f t="shared" ref="J15" si="10">SUM(C15:I15)</f>
        <v>20750</v>
      </c>
      <c r="K15" s="965">
        <v>476</v>
      </c>
      <c r="L15" s="399"/>
      <c r="M15" s="391">
        <v>160</v>
      </c>
      <c r="N15" s="391"/>
      <c r="O15" s="391"/>
      <c r="P15" s="387">
        <f t="shared" si="6"/>
        <v>636</v>
      </c>
      <c r="Q15" s="391">
        <f t="shared" ref="Q15:Q16" si="11">+J15-P15</f>
        <v>20114</v>
      </c>
      <c r="R15" s="1177" t="s">
        <v>604</v>
      </c>
      <c r="S15" s="1248">
        <f t="shared" si="9"/>
        <v>20114</v>
      </c>
      <c r="T15" s="783"/>
      <c r="U15" s="1256"/>
      <c r="V15" s="1255">
        <f>S15</f>
        <v>20114</v>
      </c>
      <c r="W15" s="1224">
        <f t="shared" si="5"/>
        <v>20114</v>
      </c>
      <c r="X15" s="407"/>
      <c r="Y15" s="408"/>
      <c r="Z15" s="407"/>
      <c r="AA15" s="390"/>
      <c r="AB15" s="1230"/>
      <c r="AC15" s="1230"/>
      <c r="AD15" s="1230"/>
      <c r="AE15" s="1230"/>
      <c r="AF15" s="1230"/>
      <c r="AG15" s="1230"/>
      <c r="AH15" s="1230"/>
      <c r="AI15" s="1230"/>
      <c r="AJ15" s="390"/>
      <c r="AK15" s="390"/>
    </row>
    <row r="16" spans="1:66" ht="15" customHeight="1" x14ac:dyDescent="0.3">
      <c r="A16" s="384">
        <v>13</v>
      </c>
      <c r="B16" s="836" t="s">
        <v>501</v>
      </c>
      <c r="C16" s="405" t="e">
        <f>'欣鮮-艾克爾'!G19+'欣鮮-艾克爾'!G20</f>
        <v>#REF!</v>
      </c>
      <c r="D16" s="405"/>
      <c r="E16" s="405"/>
      <c r="F16" s="405"/>
      <c r="G16" s="405"/>
      <c r="H16" s="402">
        <f>'欣鮮-艾克爾'!H19</f>
        <v>0</v>
      </c>
      <c r="I16" s="405"/>
      <c r="J16" s="386" t="e">
        <f>SUM(C16:I16)</f>
        <v>#REF!</v>
      </c>
      <c r="K16" s="391">
        <v>277</v>
      </c>
      <c r="L16" s="399"/>
      <c r="M16" s="391">
        <v>160</v>
      </c>
      <c r="N16" s="391"/>
      <c r="O16" s="391"/>
      <c r="P16" s="387">
        <f t="shared" si="6"/>
        <v>437</v>
      </c>
      <c r="Q16" s="391" t="e">
        <f t="shared" si="11"/>
        <v>#REF!</v>
      </c>
      <c r="R16" s="742" t="s">
        <v>544</v>
      </c>
      <c r="S16" s="1248" t="e">
        <f t="shared" si="9"/>
        <v>#REF!</v>
      </c>
      <c r="T16" s="783"/>
      <c r="U16" s="1256"/>
      <c r="V16" s="1255" t="e">
        <f>Q16</f>
        <v>#REF!</v>
      </c>
      <c r="W16" s="1224" t="e">
        <f t="shared" si="5"/>
        <v>#REF!</v>
      </c>
      <c r="AA16" s="390"/>
      <c r="AB16" s="1230"/>
      <c r="AC16" s="1230"/>
      <c r="AD16" s="1230"/>
      <c r="AE16" s="1230"/>
      <c r="AF16" s="1230"/>
      <c r="AG16" s="1230"/>
      <c r="AH16" s="1230"/>
      <c r="AI16" s="1230"/>
      <c r="AJ16" s="390"/>
      <c r="AK16" s="390"/>
      <c r="AL16" s="407"/>
      <c r="AM16" s="407"/>
      <c r="AN16" s="407"/>
      <c r="AO16" s="407"/>
      <c r="AP16" s="407"/>
      <c r="AQ16" s="407"/>
      <c r="AR16" s="407"/>
      <c r="AS16" s="407"/>
      <c r="AT16" s="407"/>
      <c r="AU16" s="407"/>
      <c r="AV16" s="407"/>
      <c r="AW16" s="407"/>
      <c r="AX16" s="407"/>
      <c r="AY16" s="407"/>
      <c r="AZ16" s="407"/>
      <c r="BA16" s="407"/>
      <c r="BB16" s="407"/>
      <c r="BC16" s="407"/>
      <c r="BD16" s="407"/>
      <c r="BE16" s="407"/>
      <c r="BF16" s="407"/>
      <c r="BG16" s="407"/>
      <c r="BH16" s="407"/>
      <c r="BI16" s="407"/>
      <c r="BJ16" s="407"/>
      <c r="BK16" s="407"/>
      <c r="BL16" s="407"/>
      <c r="BM16" s="407"/>
      <c r="BN16" s="407"/>
    </row>
    <row r="17" spans="1:66" s="407" customFormat="1" ht="15.75" customHeight="1" x14ac:dyDescent="0.3">
      <c r="A17" s="384">
        <v>14</v>
      </c>
      <c r="B17" s="1220" t="s">
        <v>509</v>
      </c>
      <c r="C17" s="405" t="e">
        <f>'欣鮮-艾克爾'!G21</f>
        <v>#REF!</v>
      </c>
      <c r="D17" s="405"/>
      <c r="E17" s="405"/>
      <c r="F17" s="405"/>
      <c r="G17" s="405"/>
      <c r="H17" s="405">
        <f>'欣鮮-艾克爾'!H21</f>
        <v>0</v>
      </c>
      <c r="I17" s="405">
        <f>'欣鮮-艾克爾'!N21</f>
        <v>2200</v>
      </c>
      <c r="J17" s="386" t="e">
        <f t="shared" ref="J17:J19" si="12">SUM(C17:I17)</f>
        <v>#REF!</v>
      </c>
      <c r="K17" s="965">
        <v>577</v>
      </c>
      <c r="L17" s="399"/>
      <c r="M17" s="391">
        <v>160</v>
      </c>
      <c r="N17" s="391"/>
      <c r="O17" s="391"/>
      <c r="P17" s="387">
        <f t="shared" si="6"/>
        <v>737</v>
      </c>
      <c r="Q17" s="391" t="e">
        <f t="shared" ref="Q17" si="13">+J17-P17</f>
        <v>#REF!</v>
      </c>
      <c r="R17" s="742" t="s">
        <v>603</v>
      </c>
      <c r="S17" s="1248" t="e">
        <f t="shared" si="9"/>
        <v>#REF!</v>
      </c>
      <c r="T17" s="783"/>
      <c r="U17" s="1256"/>
      <c r="V17" s="1255" t="e">
        <f>Q17</f>
        <v>#REF!</v>
      </c>
      <c r="W17" s="1224" t="e">
        <f t="shared" si="5"/>
        <v>#REF!</v>
      </c>
      <c r="X17" s="380"/>
      <c r="Y17" s="380"/>
      <c r="Z17" s="380"/>
      <c r="AA17" s="390"/>
      <c r="AB17" s="1230"/>
      <c r="AC17" s="1230"/>
      <c r="AD17" s="1230"/>
      <c r="AE17" s="1230"/>
      <c r="AF17" s="1230"/>
      <c r="AG17" s="1230"/>
      <c r="AH17" s="1230"/>
      <c r="AI17" s="1230"/>
      <c r="AJ17" s="390"/>
      <c r="AK17" s="390"/>
      <c r="AL17" s="380"/>
      <c r="AM17" s="380"/>
      <c r="AN17" s="380"/>
      <c r="AO17" s="380"/>
      <c r="AP17" s="380"/>
      <c r="AQ17" s="380"/>
      <c r="AR17" s="380"/>
      <c r="AS17" s="380"/>
      <c r="AT17" s="380"/>
      <c r="AU17" s="380"/>
      <c r="AV17" s="380"/>
      <c r="AW17" s="380"/>
      <c r="AX17" s="380"/>
      <c r="AY17" s="380"/>
      <c r="AZ17" s="380"/>
      <c r="BA17" s="380"/>
      <c r="BB17" s="380"/>
      <c r="BC17" s="380"/>
      <c r="BD17" s="380"/>
      <c r="BE17" s="380"/>
      <c r="BF17" s="380"/>
      <c r="BG17" s="380"/>
      <c r="BH17" s="380"/>
      <c r="BI17" s="380"/>
      <c r="BJ17" s="380"/>
      <c r="BK17" s="380"/>
      <c r="BL17" s="380"/>
      <c r="BM17" s="380"/>
      <c r="BN17" s="380"/>
    </row>
    <row r="18" spans="1:66" ht="17.100000000000001" customHeight="1" x14ac:dyDescent="0.3">
      <c r="A18" s="384">
        <v>15</v>
      </c>
      <c r="B18" s="923" t="s">
        <v>512</v>
      </c>
      <c r="C18" s="405">
        <f>SUM('欣鮮-艾克爾'!G22)</f>
        <v>30000</v>
      </c>
      <c r="D18" s="405"/>
      <c r="E18" s="405"/>
      <c r="F18" s="405"/>
      <c r="G18" s="405"/>
      <c r="H18" s="391"/>
      <c r="I18" s="405" t="e">
        <f>'欣鮮-艾克爾'!N22+'欣鮮-艾克爾'!G24+'欣鮮-艾克爾'!G23</f>
        <v>#REF!</v>
      </c>
      <c r="J18" s="386" t="e">
        <f t="shared" si="12"/>
        <v>#REF!</v>
      </c>
      <c r="K18" s="391">
        <v>758</v>
      </c>
      <c r="L18" s="391">
        <v>470</v>
      </c>
      <c r="M18" s="391">
        <v>160</v>
      </c>
      <c r="N18" s="402"/>
      <c r="O18" s="391"/>
      <c r="P18" s="387">
        <f t="shared" si="6"/>
        <v>1388</v>
      </c>
      <c r="Q18" s="391" t="e">
        <f t="shared" ref="Q18" si="14">+J18-P18</f>
        <v>#REF!</v>
      </c>
      <c r="R18" s="931" t="s">
        <v>538</v>
      </c>
      <c r="S18" s="1248" t="e">
        <f t="shared" si="9"/>
        <v>#REF!</v>
      </c>
      <c r="T18" s="783"/>
      <c r="U18" s="1256"/>
      <c r="V18" s="1255" t="e">
        <f>Q18</f>
        <v>#REF!</v>
      </c>
      <c r="W18" s="1224" t="e">
        <f t="shared" si="5"/>
        <v>#REF!</v>
      </c>
      <c r="AA18" s="390"/>
      <c r="AB18" s="1230"/>
      <c r="AC18" s="1230"/>
      <c r="AD18" s="1230"/>
      <c r="AE18" s="1230"/>
      <c r="AF18" s="1230"/>
      <c r="AG18" s="1230"/>
      <c r="AH18" s="1230"/>
      <c r="AI18" s="1230"/>
      <c r="AJ18" s="390"/>
      <c r="AK18" s="390"/>
    </row>
    <row r="19" spans="1:66" ht="17.100000000000001" customHeight="1" x14ac:dyDescent="0.3">
      <c r="A19" s="384">
        <v>16</v>
      </c>
      <c r="B19" s="1221" t="s">
        <v>635</v>
      </c>
      <c r="C19" s="925">
        <f>'欣鮮-艾克爾'!G26</f>
        <v>32200</v>
      </c>
      <c r="D19" s="405"/>
      <c r="E19" s="405"/>
      <c r="F19" s="405"/>
      <c r="G19" s="405"/>
      <c r="H19" s="405"/>
      <c r="I19" s="405"/>
      <c r="J19" s="386">
        <f t="shared" si="12"/>
        <v>32200</v>
      </c>
      <c r="K19" s="965">
        <f>1050/30*23</f>
        <v>805</v>
      </c>
      <c r="L19" s="965">
        <f>681/30*23</f>
        <v>522.1</v>
      </c>
      <c r="M19" s="965">
        <f>160/30*23</f>
        <v>122.66666666666666</v>
      </c>
      <c r="N19" s="965"/>
      <c r="O19" s="965"/>
      <c r="P19" s="387">
        <f t="shared" si="6"/>
        <v>1449.7666666666667</v>
      </c>
      <c r="Q19" s="391">
        <f>+J19-P19</f>
        <v>30750.233333333334</v>
      </c>
      <c r="R19" s="931" t="s">
        <v>662</v>
      </c>
      <c r="S19" s="1248">
        <f t="shared" si="9"/>
        <v>30750.233333333334</v>
      </c>
      <c r="T19" s="783"/>
      <c r="U19" s="1256"/>
      <c r="V19" s="1255">
        <f>Q19</f>
        <v>30750.233333333334</v>
      </c>
      <c r="W19" s="1224">
        <f t="shared" si="5"/>
        <v>30750.233333333334</v>
      </c>
      <c r="AA19" s="390"/>
      <c r="AB19" s="1230"/>
      <c r="AC19" s="1230"/>
      <c r="AD19" s="1230"/>
      <c r="AE19" s="1230"/>
      <c r="AF19" s="1230"/>
      <c r="AG19" s="1230"/>
      <c r="AH19" s="1230"/>
      <c r="AI19" s="1230">
        <f>AB19*1000+500*AC19+100*AD19+50*AE19+10*AF19+5*AG19+1*AH19</f>
        <v>0</v>
      </c>
      <c r="AJ19" s="390"/>
      <c r="AK19" s="390"/>
    </row>
    <row r="20" spans="1:66" ht="17.100000000000001" customHeight="1" x14ac:dyDescent="0.3">
      <c r="A20" s="384">
        <v>17</v>
      </c>
      <c r="B20" s="1240" t="s">
        <v>638</v>
      </c>
      <c r="C20" s="391">
        <v>3000</v>
      </c>
      <c r="D20" s="391"/>
      <c r="E20" s="391"/>
      <c r="F20" s="391"/>
      <c r="G20" s="391"/>
      <c r="H20" s="391"/>
      <c r="I20" s="391">
        <f>480+960</f>
        <v>1440</v>
      </c>
      <c r="J20" s="386">
        <f>SUM(C20:I20)</f>
        <v>4440</v>
      </c>
      <c r="K20" s="965"/>
      <c r="L20" s="965"/>
      <c r="M20" s="965"/>
      <c r="N20" s="965"/>
      <c r="O20" s="965"/>
      <c r="P20" s="387">
        <f t="shared" si="6"/>
        <v>0</v>
      </c>
      <c r="Q20" s="385">
        <f t="shared" ref="Q20:Q25" si="15">+J20-P20</f>
        <v>4440</v>
      </c>
      <c r="R20" s="1284" t="s">
        <v>664</v>
      </c>
      <c r="S20" s="1248">
        <v>4440</v>
      </c>
      <c r="T20" s="1225"/>
      <c r="U20" s="1252"/>
      <c r="V20" s="1255">
        <f>Q20</f>
        <v>4440</v>
      </c>
      <c r="W20" s="1224">
        <f>SUM(T20+U20+V20)</f>
        <v>4440</v>
      </c>
      <c r="AA20" s="390"/>
      <c r="AB20" s="1230"/>
      <c r="AC20" s="1230"/>
      <c r="AD20" s="1230"/>
      <c r="AE20" s="1230"/>
      <c r="AF20" s="1230"/>
      <c r="AG20" s="1230"/>
      <c r="AH20" s="1230"/>
      <c r="AI20" s="1230">
        <f>AB20*1000+500*AC20+100*AD20+50*AE20+10*AF20+5*AG20+1*AH20</f>
        <v>0</v>
      </c>
      <c r="AJ20" s="390">
        <f>T20-AI20</f>
        <v>0</v>
      </c>
      <c r="AK20" s="390"/>
    </row>
    <row r="21" spans="1:66" ht="17.100000000000001" customHeight="1" x14ac:dyDescent="0.3">
      <c r="A21" s="384">
        <v>18</v>
      </c>
      <c r="B21" s="1240" t="s">
        <v>583</v>
      </c>
      <c r="C21" s="391" t="e">
        <f>'欣鮮-艾克爾'!P31</f>
        <v>#REF!</v>
      </c>
      <c r="D21" s="391"/>
      <c r="E21" s="391"/>
      <c r="F21" s="391"/>
      <c r="G21" s="391"/>
      <c r="H21" s="391"/>
      <c r="I21" s="391"/>
      <c r="J21" s="386" t="e">
        <f>SUM(C21:I21)</f>
        <v>#REF!</v>
      </c>
      <c r="K21" s="401">
        <v>460</v>
      </c>
      <c r="L21" s="401">
        <f>443*2</f>
        <v>886</v>
      </c>
      <c r="M21" s="401">
        <v>160</v>
      </c>
      <c r="N21" s="401"/>
      <c r="O21" s="401"/>
      <c r="P21" s="387">
        <f t="shared" si="6"/>
        <v>1506</v>
      </c>
      <c r="Q21" s="385" t="e">
        <f t="shared" si="15"/>
        <v>#REF!</v>
      </c>
      <c r="R21" s="409" t="s">
        <v>585</v>
      </c>
      <c r="S21" s="1248" t="e">
        <f>Q21</f>
        <v>#REF!</v>
      </c>
      <c r="T21" s="1225"/>
      <c r="U21" s="1252"/>
      <c r="V21" s="1252" t="e">
        <f>S21</f>
        <v>#REF!</v>
      </c>
      <c r="W21" s="1224" t="e">
        <f t="shared" ref="W21" si="16">SUM(T21+U21+V21)</f>
        <v>#REF!</v>
      </c>
      <c r="AA21" s="390"/>
      <c r="AB21" s="1230"/>
      <c r="AC21" s="1230"/>
      <c r="AD21" s="1230"/>
      <c r="AE21" s="1230"/>
      <c r="AF21" s="1230"/>
      <c r="AG21" s="1230"/>
      <c r="AH21" s="1230"/>
      <c r="AI21" s="1230"/>
      <c r="AJ21" s="390"/>
      <c r="AK21" s="390"/>
    </row>
    <row r="22" spans="1:66" ht="17.100000000000001" hidden="1" customHeight="1" x14ac:dyDescent="0.3">
      <c r="A22" s="384">
        <v>19</v>
      </c>
      <c r="B22" s="1238" t="s">
        <v>432</v>
      </c>
      <c r="C22" s="391">
        <f>'欣鮮-艾克爾'!G32</f>
        <v>0</v>
      </c>
      <c r="D22" s="391"/>
      <c r="E22" s="391"/>
      <c r="F22" s="391"/>
      <c r="G22" s="391"/>
      <c r="H22" s="391"/>
      <c r="I22" s="391"/>
      <c r="J22" s="386">
        <f>SUM(C22:I22)</f>
        <v>0</v>
      </c>
      <c r="K22" s="391"/>
      <c r="L22" s="391"/>
      <c r="M22" s="391"/>
      <c r="N22" s="391"/>
      <c r="O22" s="391"/>
      <c r="P22" s="387">
        <f t="shared" si="6"/>
        <v>0</v>
      </c>
      <c r="Q22" s="385">
        <f t="shared" si="15"/>
        <v>0</v>
      </c>
      <c r="R22" s="409"/>
      <c r="S22" s="1248">
        <f>Q22</f>
        <v>0</v>
      </c>
      <c r="T22" s="1225"/>
      <c r="U22" s="1252"/>
      <c r="V22" s="1255">
        <f>S22</f>
        <v>0</v>
      </c>
      <c r="W22" s="1224">
        <f>SUM(T22+U22+V22)</f>
        <v>0</v>
      </c>
      <c r="AA22" s="390"/>
      <c r="AB22" s="1230"/>
      <c r="AC22" s="1230"/>
      <c r="AD22" s="1230"/>
      <c r="AE22" s="1230"/>
      <c r="AF22" s="1230"/>
      <c r="AG22" s="1230"/>
      <c r="AH22" s="1230"/>
      <c r="AI22" s="1230"/>
      <c r="AJ22" s="390"/>
      <c r="AK22" s="390"/>
    </row>
    <row r="23" spans="1:66" ht="17.100000000000001" customHeight="1" x14ac:dyDescent="0.3">
      <c r="A23" s="384">
        <v>19</v>
      </c>
      <c r="B23" s="1238" t="s">
        <v>263</v>
      </c>
      <c r="C23" s="391">
        <f>'欣鮮-艾克爾'!G34</f>
        <v>28590</v>
      </c>
      <c r="D23" s="391">
        <f>'欣鮮-艾克爾'!I33+'欣鮮-艾克爾'!I37</f>
        <v>0</v>
      </c>
      <c r="E23" s="391">
        <f>'欣鮮-艾克爾'!J33+'欣鮮-艾克爾'!J37</f>
        <v>0</v>
      </c>
      <c r="F23" s="391">
        <f>'欣鮮-艾克爾'!K33+'欣鮮-艾克爾'!K37</f>
        <v>0</v>
      </c>
      <c r="G23" s="391">
        <f>'欣鮮-艾克爾'!L33+'欣鮮-艾克爾'!L37</f>
        <v>0</v>
      </c>
      <c r="H23" s="391">
        <f>'欣鮮-艾克爾'!M33+'欣鮮-艾克爾'!M37</f>
        <v>0</v>
      </c>
      <c r="I23" s="391" t="e">
        <f>SUM('欣鮮-艾克爾'!G35:G37)+'欣鮮-艾克爾'!N33+'欣鮮-艾克爾'!N34+100</f>
        <v>#REF!</v>
      </c>
      <c r="J23" s="386" t="e">
        <f t="shared" ref="J23:J28" si="17">SUM(C23:I23)</f>
        <v>#REF!</v>
      </c>
      <c r="K23" s="391">
        <v>731</v>
      </c>
      <c r="L23" s="391">
        <v>493</v>
      </c>
      <c r="M23" s="391">
        <v>160</v>
      </c>
      <c r="N23" s="391"/>
      <c r="O23" s="391">
        <v>2500</v>
      </c>
      <c r="P23" s="387">
        <f t="shared" si="6"/>
        <v>3884</v>
      </c>
      <c r="Q23" s="385" t="e">
        <f t="shared" si="15"/>
        <v>#REF!</v>
      </c>
      <c r="R23" s="409"/>
      <c r="S23" s="1248"/>
      <c r="T23" s="1269" t="e">
        <f>Q23</f>
        <v>#REF!</v>
      </c>
      <c r="U23" s="1252"/>
      <c r="V23" s="1255"/>
      <c r="W23" s="1224" t="e">
        <f t="shared" ref="W23:W29" si="18">SUM(T23+U23+V23)</f>
        <v>#REF!</v>
      </c>
      <c r="AA23" s="390"/>
      <c r="AB23" s="1230">
        <v>36</v>
      </c>
      <c r="AC23" s="1230"/>
      <c r="AD23" s="1230">
        <v>3</v>
      </c>
      <c r="AE23" s="1230"/>
      <c r="AF23" s="1230">
        <v>1</v>
      </c>
      <c r="AG23" s="1230">
        <v>1</v>
      </c>
      <c r="AH23" s="1230">
        <v>1</v>
      </c>
      <c r="AI23" s="1230">
        <f t="shared" ref="AI23:AI28" si="19">AB23*1000+500*AC23+100*AD23+50*AE23+10*AF23+5*AG23+1*AH23</f>
        <v>36316</v>
      </c>
      <c r="AJ23" s="390" t="e">
        <f>T23-AI23</f>
        <v>#REF!</v>
      </c>
      <c r="AK23" s="390"/>
    </row>
    <row r="24" spans="1:66" ht="17.100000000000001" customHeight="1" x14ac:dyDescent="0.3">
      <c r="A24" s="384">
        <v>20</v>
      </c>
      <c r="B24" s="1237" t="s">
        <v>210</v>
      </c>
      <c r="C24" s="391" t="e">
        <f>'欣鮮-艾克爾'!G38</f>
        <v>#REF!</v>
      </c>
      <c r="D24" s="391">
        <f>'欣鮮-艾克爾'!I37</f>
        <v>0</v>
      </c>
      <c r="E24" s="391">
        <f>'欣鮮-艾克爾'!J37</f>
        <v>0</v>
      </c>
      <c r="F24" s="391">
        <v>500</v>
      </c>
      <c r="G24" s="391">
        <f>'欣鮮-艾克爾'!L37</f>
        <v>0</v>
      </c>
      <c r="H24" s="391">
        <f>'欣鮮-艾克爾'!M37</f>
        <v>0</v>
      </c>
      <c r="I24" s="391">
        <f>'欣鮮-艾克爾'!N38</f>
        <v>0</v>
      </c>
      <c r="J24" s="386" t="e">
        <f t="shared" si="17"/>
        <v>#REF!</v>
      </c>
      <c r="K24" s="399"/>
      <c r="L24" s="399"/>
      <c r="M24" s="410"/>
      <c r="N24" s="391"/>
      <c r="O24" s="391"/>
      <c r="P24" s="387">
        <f t="shared" si="6"/>
        <v>0</v>
      </c>
      <c r="Q24" s="385" t="e">
        <f t="shared" si="15"/>
        <v>#REF!</v>
      </c>
      <c r="S24" s="1248">
        <v>0</v>
      </c>
      <c r="T24" s="1269">
        <v>500</v>
      </c>
      <c r="U24" s="1256"/>
      <c r="V24" s="1256">
        <v>0</v>
      </c>
      <c r="W24" s="1224">
        <f t="shared" si="18"/>
        <v>500</v>
      </c>
      <c r="AA24" s="390"/>
      <c r="AB24" s="1230"/>
      <c r="AC24" s="1230">
        <v>1</v>
      </c>
      <c r="AD24" s="1230"/>
      <c r="AE24" s="1230"/>
      <c r="AF24" s="1230"/>
      <c r="AG24" s="1230"/>
      <c r="AH24" s="1230"/>
      <c r="AI24" s="1230">
        <f t="shared" si="19"/>
        <v>500</v>
      </c>
      <c r="AJ24" s="390">
        <f>T24-AI24</f>
        <v>0</v>
      </c>
      <c r="AK24" s="390"/>
    </row>
    <row r="25" spans="1:66" ht="17.100000000000001" customHeight="1" x14ac:dyDescent="0.3">
      <c r="A25" s="384">
        <v>21</v>
      </c>
      <c r="B25" s="1237" t="s">
        <v>305</v>
      </c>
      <c r="C25" s="391">
        <f>'欣鮮-艾克爾'!G39</f>
        <v>28590</v>
      </c>
      <c r="D25" s="391">
        <f>'欣鮮-艾克爾'!I38</f>
        <v>0</v>
      </c>
      <c r="E25" s="391">
        <f>'欣鮮-艾克爾'!$J$39</f>
        <v>2000</v>
      </c>
      <c r="F25" s="391">
        <v>1000</v>
      </c>
      <c r="G25" s="391">
        <f>'欣鮮-艾克爾'!L38</f>
        <v>0</v>
      </c>
      <c r="H25" s="391">
        <f>'欣鮮-艾克爾'!M38</f>
        <v>0</v>
      </c>
      <c r="I25" s="391" t="e">
        <f>SUM('欣鮮-艾克爾'!G40:G45)+'欣鮮-艾克爾'!N44+'欣鮮-艾克爾'!N45</f>
        <v>#REF!</v>
      </c>
      <c r="J25" s="386" t="e">
        <f t="shared" si="17"/>
        <v>#REF!</v>
      </c>
      <c r="K25" s="391">
        <v>731</v>
      </c>
      <c r="L25" s="391">
        <v>493</v>
      </c>
      <c r="M25" s="412">
        <v>160</v>
      </c>
      <c r="N25" s="391"/>
      <c r="O25" s="391">
        <v>2500</v>
      </c>
      <c r="P25" s="387">
        <f t="shared" si="6"/>
        <v>3884</v>
      </c>
      <c r="Q25" s="385" t="e">
        <f t="shared" si="15"/>
        <v>#REF!</v>
      </c>
      <c r="R25" s="406"/>
      <c r="S25" s="1248">
        <v>0</v>
      </c>
      <c r="T25" s="1270" t="e">
        <f>+Q25+0.4</f>
        <v>#REF!</v>
      </c>
      <c r="U25" s="1256"/>
      <c r="V25" s="1255"/>
      <c r="W25" s="1224" t="e">
        <f t="shared" si="18"/>
        <v>#REF!</v>
      </c>
      <c r="AA25" s="390"/>
      <c r="AB25" s="1230">
        <v>37</v>
      </c>
      <c r="AC25" s="1230">
        <v>1</v>
      </c>
      <c r="AD25" s="1230">
        <v>2</v>
      </c>
      <c r="AE25" s="1230"/>
      <c r="AF25" s="1230">
        <v>4</v>
      </c>
      <c r="AG25" s="1230">
        <v>1</v>
      </c>
      <c r="AH25" s="1230">
        <v>1</v>
      </c>
      <c r="AI25" s="1230">
        <f t="shared" si="19"/>
        <v>37746</v>
      </c>
      <c r="AJ25" s="390" t="e">
        <f t="shared" ref="AJ25:AJ28" si="20">T25-AI25</f>
        <v>#REF!</v>
      </c>
      <c r="AK25" s="390"/>
    </row>
    <row r="26" spans="1:66" ht="15.75" customHeight="1" x14ac:dyDescent="0.3">
      <c r="A26" s="384">
        <v>22</v>
      </c>
      <c r="B26" s="1241" t="s">
        <v>217</v>
      </c>
      <c r="C26" s="405">
        <f>'欣鮮-艾克爾'!G46</f>
        <v>26374</v>
      </c>
      <c r="D26" s="391">
        <f>'欣鮮-艾克爾'!I38+'欣鮮-艾克爾'!I39</f>
        <v>0</v>
      </c>
      <c r="E26" s="391">
        <v>0</v>
      </c>
      <c r="F26" s="391">
        <v>3929</v>
      </c>
      <c r="G26" s="391">
        <v>600</v>
      </c>
      <c r="H26" s="391">
        <f>'欣鮮-艾克爾'!M38+'欣鮮-艾克爾'!M39</f>
        <v>0</v>
      </c>
      <c r="I26" s="391" t="e">
        <f>SUM('欣鮮-艾克爾'!G47:G49)+'欣鮮-艾克爾'!N49</f>
        <v>#REF!</v>
      </c>
      <c r="J26" s="386" t="e">
        <f t="shared" si="17"/>
        <v>#REF!</v>
      </c>
      <c r="K26" s="391">
        <v>731</v>
      </c>
      <c r="L26" s="391">
        <v>493</v>
      </c>
      <c r="M26" s="391">
        <v>160</v>
      </c>
      <c r="N26" s="391"/>
      <c r="O26" s="391">
        <v>2500</v>
      </c>
      <c r="P26" s="387">
        <f t="shared" si="6"/>
        <v>3884</v>
      </c>
      <c r="Q26" s="385" t="e">
        <f>+J26-P26+0.1</f>
        <v>#REF!</v>
      </c>
      <c r="R26" s="406"/>
      <c r="S26" s="1248">
        <v>0</v>
      </c>
      <c r="T26" s="1270" t="e">
        <f>+Q26</f>
        <v>#REF!</v>
      </c>
      <c r="U26" s="1256"/>
      <c r="V26" s="1255"/>
      <c r="W26" s="1224" t="e">
        <f t="shared" si="18"/>
        <v>#REF!</v>
      </c>
      <c r="AA26" s="390"/>
      <c r="AB26" s="1230">
        <v>35</v>
      </c>
      <c r="AC26" s="1230"/>
      <c r="AD26" s="1230">
        <v>3</v>
      </c>
      <c r="AE26" s="1230"/>
      <c r="AF26" s="1230">
        <v>4</v>
      </c>
      <c r="AG26" s="1230">
        <v>1</v>
      </c>
      <c r="AH26" s="1230">
        <v>4</v>
      </c>
      <c r="AI26" s="1230">
        <f t="shared" si="19"/>
        <v>35349</v>
      </c>
      <c r="AJ26" s="390" t="e">
        <f t="shared" si="20"/>
        <v>#REF!</v>
      </c>
      <c r="AK26" s="390"/>
    </row>
    <row r="27" spans="1:66" ht="17.100000000000001" hidden="1" customHeight="1" x14ac:dyDescent="0.3">
      <c r="A27" s="384">
        <v>24</v>
      </c>
      <c r="B27" s="1241" t="s">
        <v>489</v>
      </c>
      <c r="C27" s="405"/>
      <c r="D27" s="405"/>
      <c r="E27" s="405"/>
      <c r="F27" s="405"/>
      <c r="G27" s="405"/>
      <c r="H27" s="405"/>
      <c r="I27" s="405" t="e">
        <f>'欣鮮-艾克爾'!N51+'欣鮮-艾克爾'!G51+'欣鮮-艾克爾'!N50</f>
        <v>#REF!</v>
      </c>
      <c r="J27" s="386" t="e">
        <f t="shared" si="17"/>
        <v>#REF!</v>
      </c>
      <c r="K27" s="391"/>
      <c r="L27" s="391"/>
      <c r="M27" s="410" t="s">
        <v>490</v>
      </c>
      <c r="N27" s="391"/>
      <c r="O27" s="391"/>
      <c r="P27" s="387">
        <f t="shared" si="6"/>
        <v>0</v>
      </c>
      <c r="Q27" s="385" t="e">
        <f>+J27-P27+0.1</f>
        <v>#REF!</v>
      </c>
      <c r="R27" s="406"/>
      <c r="S27" s="1248">
        <v>0</v>
      </c>
      <c r="T27" s="1270">
        <v>0</v>
      </c>
      <c r="U27" s="1256"/>
      <c r="V27" s="1255"/>
      <c r="W27" s="1224">
        <f t="shared" si="18"/>
        <v>0</v>
      </c>
      <c r="AA27" s="390"/>
      <c r="AB27" s="1230"/>
      <c r="AC27" s="1230"/>
      <c r="AD27" s="1230"/>
      <c r="AE27" s="1230"/>
      <c r="AF27" s="1230"/>
      <c r="AG27" s="1230"/>
      <c r="AH27" s="1230"/>
      <c r="AI27" s="1230">
        <f t="shared" si="19"/>
        <v>0</v>
      </c>
      <c r="AJ27" s="390">
        <f t="shared" si="20"/>
        <v>0</v>
      </c>
      <c r="AK27" s="390"/>
    </row>
    <row r="28" spans="1:66" ht="17.100000000000001" customHeight="1" x14ac:dyDescent="0.3">
      <c r="A28" s="384">
        <v>23</v>
      </c>
      <c r="B28" s="1241" t="s">
        <v>497</v>
      </c>
      <c r="C28" s="405">
        <f>'欣鮮-艾克爾'!G55</f>
        <v>28590</v>
      </c>
      <c r="D28" s="405"/>
      <c r="E28" s="405"/>
      <c r="F28" s="405"/>
      <c r="G28" s="405"/>
      <c r="H28" s="405"/>
      <c r="I28" s="405" t="e">
        <f>SUM('欣鮮-艾克爾'!G56:G59)</f>
        <v>#REF!</v>
      </c>
      <c r="J28" s="386" t="e">
        <f t="shared" si="17"/>
        <v>#REF!</v>
      </c>
      <c r="K28" s="391">
        <v>731</v>
      </c>
      <c r="L28" s="391">
        <v>493</v>
      </c>
      <c r="M28" s="412">
        <v>160</v>
      </c>
      <c r="N28" s="391"/>
      <c r="O28" s="391">
        <v>2500</v>
      </c>
      <c r="P28" s="387">
        <f t="shared" si="6"/>
        <v>3884</v>
      </c>
      <c r="Q28" s="385" t="e">
        <f>+J28-P28+0.1</f>
        <v>#REF!</v>
      </c>
      <c r="R28" s="406"/>
      <c r="S28" s="1248">
        <v>0</v>
      </c>
      <c r="T28" s="1270" t="e">
        <f>+Q28</f>
        <v>#REF!</v>
      </c>
      <c r="U28" s="1256"/>
      <c r="V28" s="1255"/>
      <c r="W28" s="1224" t="e">
        <f t="shared" si="18"/>
        <v>#REF!</v>
      </c>
      <c r="AA28" s="390"/>
      <c r="AB28" s="1230">
        <v>39</v>
      </c>
      <c r="AC28" s="1230">
        <v>1</v>
      </c>
      <c r="AD28" s="1230"/>
      <c r="AE28" s="1230">
        <v>1</v>
      </c>
      <c r="AF28" s="1230">
        <v>1</v>
      </c>
      <c r="AG28" s="1230"/>
      <c r="AH28" s="1230">
        <v>1</v>
      </c>
      <c r="AI28" s="1230">
        <f t="shared" si="19"/>
        <v>39561</v>
      </c>
      <c r="AJ28" s="390" t="e">
        <f t="shared" si="20"/>
        <v>#REF!</v>
      </c>
      <c r="AK28" s="390"/>
    </row>
    <row r="29" spans="1:66" ht="17.100000000000001" customHeight="1" x14ac:dyDescent="0.3">
      <c r="A29" s="384">
        <v>24</v>
      </c>
      <c r="B29" s="1242" t="s">
        <v>654</v>
      </c>
      <c r="C29" s="405">
        <v>2859</v>
      </c>
      <c r="D29" s="405"/>
      <c r="E29" s="405"/>
      <c r="F29" s="405"/>
      <c r="G29" s="405"/>
      <c r="H29" s="405"/>
      <c r="I29" s="405"/>
      <c r="J29" s="386">
        <v>3000</v>
      </c>
      <c r="K29" s="1245"/>
      <c r="L29" s="1245"/>
      <c r="M29" s="1246"/>
      <c r="N29" s="1245"/>
      <c r="O29" s="1245"/>
      <c r="P29" s="387">
        <f t="shared" si="6"/>
        <v>0</v>
      </c>
      <c r="Q29" s="385">
        <f>+J29-P29+0.1</f>
        <v>3000.1</v>
      </c>
      <c r="R29" s="409" t="s">
        <v>661</v>
      </c>
      <c r="S29" s="1248">
        <f>Q29</f>
        <v>3000.1</v>
      </c>
      <c r="T29" s="783"/>
      <c r="U29" s="1256"/>
      <c r="V29" s="1255">
        <f>S29</f>
        <v>3000.1</v>
      </c>
      <c r="W29" s="1224">
        <f t="shared" si="18"/>
        <v>3000.1</v>
      </c>
      <c r="AA29" s="390"/>
      <c r="AJ29" s="390"/>
      <c r="AK29" s="390"/>
    </row>
    <row r="30" spans="1:66" ht="17.100000000000001" customHeight="1" thickBot="1" x14ac:dyDescent="0.35">
      <c r="A30" s="415"/>
      <c r="B30" s="1243" t="s">
        <v>306</v>
      </c>
      <c r="C30" s="883" t="e">
        <f>SUM(C4:C29)</f>
        <v>#REF!</v>
      </c>
      <c r="D30" s="883">
        <f t="shared" ref="D30:Q30" si="21">SUM(D4:D29)</f>
        <v>1000</v>
      </c>
      <c r="E30" s="883">
        <f t="shared" si="21"/>
        <v>2500</v>
      </c>
      <c r="F30" s="883">
        <f t="shared" si="21"/>
        <v>15429</v>
      </c>
      <c r="G30" s="883">
        <f t="shared" si="21"/>
        <v>4600</v>
      </c>
      <c r="H30" s="883">
        <f t="shared" si="21"/>
        <v>0</v>
      </c>
      <c r="I30" s="883" t="e">
        <f t="shared" si="21"/>
        <v>#REF!</v>
      </c>
      <c r="J30" s="883" t="e">
        <f t="shared" si="21"/>
        <v>#REF!</v>
      </c>
      <c r="K30" s="883">
        <f t="shared" si="21"/>
        <v>8729</v>
      </c>
      <c r="L30" s="883">
        <f t="shared" si="21"/>
        <v>6159.1</v>
      </c>
      <c r="M30" s="883">
        <f t="shared" si="21"/>
        <v>2682.666666666667</v>
      </c>
      <c r="N30" s="883">
        <f t="shared" si="21"/>
        <v>20000</v>
      </c>
      <c r="O30" s="883">
        <f t="shared" si="21"/>
        <v>10000</v>
      </c>
      <c r="P30" s="883">
        <f t="shared" si="21"/>
        <v>47570.766666666663</v>
      </c>
      <c r="Q30" s="883" t="e">
        <f t="shared" si="21"/>
        <v>#REF!</v>
      </c>
      <c r="R30" s="1285" t="s">
        <v>663</v>
      </c>
      <c r="S30" s="1227" t="e">
        <f>SUM(S4:S29)</f>
        <v>#REF!</v>
      </c>
      <c r="T30" s="1228" t="e">
        <f>SUM(T4:T29)</f>
        <v>#REF!</v>
      </c>
      <c r="U30" s="1258">
        <f>SUM(U4:U29)</f>
        <v>6000</v>
      </c>
      <c r="V30" s="1259" t="e">
        <f>SUM(V4:V29)</f>
        <v>#REF!</v>
      </c>
      <c r="W30" s="1229" t="e">
        <f>SUM(W4:W29)-1</f>
        <v>#REF!</v>
      </c>
      <c r="AA30" s="390"/>
      <c r="AJ30" s="390"/>
      <c r="AK30" s="390"/>
    </row>
    <row r="31" spans="1:66" ht="17.100000000000001" customHeight="1" thickBot="1" x14ac:dyDescent="0.35">
      <c r="A31" s="417"/>
      <c r="B31" s="1232"/>
      <c r="C31" s="418"/>
      <c r="D31" s="418"/>
      <c r="E31" s="418"/>
      <c r="F31" s="418"/>
      <c r="G31" s="418"/>
      <c r="H31" s="418"/>
      <c r="I31" s="418"/>
      <c r="J31" s="419"/>
      <c r="K31" s="1020"/>
      <c r="L31" s="1020"/>
      <c r="M31" s="418"/>
      <c r="N31" s="418"/>
      <c r="O31" s="418"/>
      <c r="P31" s="1470" t="e">
        <f>SUM(P30:Q30)-1</f>
        <v>#REF!</v>
      </c>
      <c r="Q31" s="1471"/>
      <c r="R31" s="420"/>
      <c r="S31" s="1472" t="e">
        <f>SUM(S30:T30)-1</f>
        <v>#REF!</v>
      </c>
      <c r="T31" s="1473"/>
      <c r="U31" s="1474" t="e">
        <f>SUM(U30:V30)</f>
        <v>#REF!</v>
      </c>
      <c r="V31" s="1475"/>
      <c r="W31" s="421"/>
      <c r="AA31" s="390"/>
      <c r="AJ31" s="390"/>
      <c r="AK31" s="390"/>
    </row>
    <row r="32" spans="1:66" ht="17.100000000000001" customHeight="1" x14ac:dyDescent="0.3">
      <c r="A32" s="422"/>
      <c r="C32" s="740"/>
      <c r="D32" s="740"/>
      <c r="E32" s="740"/>
      <c r="F32" s="740"/>
      <c r="G32" s="740"/>
      <c r="H32" s="740"/>
      <c r="I32" s="740"/>
      <c r="J32" s="741"/>
      <c r="K32" s="421"/>
      <c r="L32" s="421"/>
      <c r="M32" s="418"/>
      <c r="N32" s="418"/>
      <c r="O32" s="421"/>
      <c r="P32" s="418"/>
      <c r="Q32" s="418"/>
      <c r="R32" s="423"/>
      <c r="S32" s="424"/>
      <c r="T32" s="418"/>
      <c r="U32" s="418"/>
      <c r="V32" s="418"/>
      <c r="W32" s="421"/>
      <c r="AA32" s="390"/>
      <c r="AJ32" s="390"/>
      <c r="AK32" s="390"/>
    </row>
    <row r="33" spans="1:37" ht="17.100000000000001" customHeight="1" x14ac:dyDescent="0.3">
      <c r="A33" s="422"/>
      <c r="C33" s="739"/>
      <c r="D33" s="416"/>
      <c r="E33" s="416"/>
      <c r="F33" s="416"/>
      <c r="G33" s="416"/>
      <c r="H33" s="416"/>
      <c r="I33" s="380"/>
      <c r="J33" s="430" t="e">
        <f>J30-'欣鮮-艾克爾'!P60</f>
        <v>#REF!</v>
      </c>
      <c r="K33" s="1020"/>
      <c r="L33" s="1020"/>
      <c r="M33" s="418"/>
      <c r="N33" s="418"/>
      <c r="O33" s="418"/>
      <c r="P33" s="418"/>
      <c r="Q33" s="418"/>
      <c r="R33" s="425"/>
      <c r="S33" s="734" t="s">
        <v>595</v>
      </c>
      <c r="T33" s="735" t="e">
        <f>Q24</f>
        <v>#REF!</v>
      </c>
      <c r="U33" s="418"/>
      <c r="V33" s="418"/>
      <c r="W33" s="421"/>
      <c r="AA33" s="390"/>
      <c r="AJ33" s="390"/>
      <c r="AK33" s="390"/>
    </row>
    <row r="34" spans="1:37" ht="17.100000000000001" customHeight="1" x14ac:dyDescent="0.3">
      <c r="A34" s="422"/>
      <c r="B34" s="1232"/>
      <c r="C34" s="426"/>
      <c r="D34" s="417"/>
      <c r="E34" s="417"/>
      <c r="F34" s="417"/>
      <c r="G34" s="417"/>
      <c r="H34" s="417"/>
      <c r="I34" s="421"/>
      <c r="J34" s="419"/>
      <c r="K34" s="1020"/>
      <c r="L34" s="1020"/>
      <c r="M34" s="418"/>
      <c r="N34" s="418"/>
      <c r="O34" s="418"/>
      <c r="P34" s="418"/>
      <c r="Q34" s="418"/>
      <c r="R34" s="425"/>
      <c r="S34" s="418"/>
      <c r="T34" s="424"/>
      <c r="U34" s="418"/>
      <c r="V34" s="418"/>
      <c r="W34" s="421"/>
      <c r="AA34" s="390"/>
      <c r="AK34" s="390"/>
    </row>
    <row r="35" spans="1:37" ht="17.100000000000001" customHeight="1" x14ac:dyDescent="0.3">
      <c r="C35" s="429"/>
      <c r="J35" s="419"/>
      <c r="P35" s="719"/>
      <c r="S35" s="418"/>
      <c r="T35" s="735"/>
      <c r="U35" s="418"/>
      <c r="V35" s="418"/>
      <c r="W35" s="417"/>
      <c r="AA35" s="390"/>
    </row>
    <row r="36" spans="1:37" ht="17.100000000000001" customHeight="1" x14ac:dyDescent="0.3">
      <c r="J36" s="419"/>
      <c r="S36" s="740"/>
      <c r="W36" s="417"/>
    </row>
    <row r="37" spans="1:37" ht="17.100000000000001" customHeight="1" x14ac:dyDescent="0.3">
      <c r="J37" s="419"/>
      <c r="X37" s="416"/>
      <c r="Y37" s="416"/>
      <c r="Z37" s="416"/>
    </row>
    <row r="38" spans="1:37" ht="17.100000000000001" customHeight="1" x14ac:dyDescent="0.3">
      <c r="J38" s="419"/>
      <c r="X38" s="416"/>
      <c r="Y38" s="416"/>
      <c r="Z38" s="416"/>
    </row>
    <row r="39" spans="1:37" ht="17.100000000000001" customHeight="1" x14ac:dyDescent="0.3">
      <c r="J39" s="419"/>
      <c r="X39" s="416"/>
      <c r="Y39" s="872"/>
      <c r="Z39" s="416"/>
    </row>
    <row r="40" spans="1:37" ht="18" customHeight="1" x14ac:dyDescent="0.3">
      <c r="J40" s="419"/>
      <c r="X40" s="416"/>
      <c r="Y40" s="416"/>
      <c r="Z40" s="416"/>
    </row>
    <row r="41" spans="1:37" ht="18" customHeight="1" x14ac:dyDescent="0.3">
      <c r="J41" s="419"/>
      <c r="X41" s="416"/>
      <c r="Y41" s="416"/>
      <c r="Z41" s="416"/>
    </row>
    <row r="42" spans="1:37" ht="18" customHeight="1" x14ac:dyDescent="0.3">
      <c r="J42" s="419"/>
    </row>
    <row r="43" spans="1:37" x14ac:dyDescent="0.3">
      <c r="J43" s="419"/>
    </row>
    <row r="44" spans="1:37" x14ac:dyDescent="0.3">
      <c r="J44" s="419"/>
    </row>
    <row r="45" spans="1:37" x14ac:dyDescent="0.3">
      <c r="J45" s="419"/>
    </row>
    <row r="46" spans="1:37" x14ac:dyDescent="0.3">
      <c r="J46" s="419"/>
    </row>
    <row r="47" spans="1:37" x14ac:dyDescent="0.3">
      <c r="J47" s="419"/>
    </row>
    <row r="48" spans="1:37" x14ac:dyDescent="0.3">
      <c r="J48" s="419"/>
    </row>
    <row r="49" spans="1:66" x14ac:dyDescent="0.3">
      <c r="J49" s="419"/>
    </row>
    <row r="50" spans="1:66" x14ac:dyDescent="0.3">
      <c r="A50" s="416"/>
      <c r="B50" s="1244"/>
      <c r="C50" s="416"/>
      <c r="D50" s="416"/>
      <c r="E50" s="416"/>
      <c r="F50" s="416"/>
      <c r="G50" s="416"/>
      <c r="H50" s="416"/>
      <c r="I50" s="416"/>
      <c r="J50" s="419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6"/>
      <c r="V50" s="416"/>
      <c r="W50" s="416"/>
    </row>
    <row r="51" spans="1:66" x14ac:dyDescent="0.3">
      <c r="A51" s="416"/>
      <c r="B51" s="1244"/>
      <c r="C51" s="416"/>
      <c r="D51" s="416"/>
      <c r="E51" s="416"/>
      <c r="F51" s="416"/>
      <c r="G51" s="416"/>
      <c r="H51" s="416"/>
      <c r="I51" s="416"/>
      <c r="J51" s="419"/>
      <c r="K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</row>
    <row r="52" spans="1:66" x14ac:dyDescent="0.3">
      <c r="J52" s="419"/>
      <c r="L52" s="1021"/>
    </row>
    <row r="53" spans="1:66" x14ac:dyDescent="0.3">
      <c r="A53" s="416"/>
      <c r="B53" s="1244"/>
      <c r="C53" s="416"/>
      <c r="D53" s="416"/>
      <c r="E53" s="416"/>
      <c r="F53" s="416"/>
      <c r="G53" s="416"/>
      <c r="H53" s="416"/>
      <c r="I53" s="416"/>
      <c r="J53" s="419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6"/>
      <c r="V53" s="416"/>
      <c r="W53" s="416"/>
      <c r="AB53" s="416"/>
      <c r="AC53" s="416"/>
      <c r="AD53" s="416"/>
      <c r="AE53" s="416"/>
      <c r="AF53" s="416"/>
      <c r="AG53" s="416"/>
      <c r="AH53" s="416"/>
      <c r="AI53" s="416"/>
      <c r="AJ53" s="416"/>
    </row>
    <row r="54" spans="1:66" x14ac:dyDescent="0.3">
      <c r="A54" s="416"/>
      <c r="B54" s="1244"/>
      <c r="C54" s="416"/>
      <c r="D54" s="416"/>
      <c r="E54" s="416"/>
      <c r="F54" s="416"/>
      <c r="G54" s="416"/>
      <c r="H54" s="416"/>
      <c r="I54" s="416"/>
      <c r="J54" s="419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AB54" s="416"/>
      <c r="AC54" s="416"/>
      <c r="AD54" s="416"/>
      <c r="AE54" s="416"/>
      <c r="AF54" s="416"/>
      <c r="AG54" s="416"/>
      <c r="AH54" s="416"/>
      <c r="AI54" s="416"/>
      <c r="AJ54" s="416"/>
      <c r="AK54" s="416"/>
    </row>
    <row r="55" spans="1:66" x14ac:dyDescent="0.3">
      <c r="X55" s="416"/>
      <c r="Y55" s="416"/>
      <c r="Z55" s="416"/>
      <c r="AA55" s="416"/>
      <c r="AK55" s="416"/>
      <c r="AL55" s="416"/>
      <c r="AM55" s="416"/>
      <c r="AN55" s="416"/>
      <c r="AO55" s="416"/>
      <c r="AP55" s="416"/>
      <c r="AQ55" s="416"/>
      <c r="AR55" s="416"/>
      <c r="AS55" s="416"/>
      <c r="AT55" s="416"/>
      <c r="AU55" s="416"/>
      <c r="AV55" s="416"/>
      <c r="AW55" s="416"/>
      <c r="AX55" s="416"/>
      <c r="AY55" s="416"/>
      <c r="AZ55" s="416"/>
      <c r="BA55" s="416"/>
      <c r="BB55" s="416"/>
      <c r="BC55" s="416"/>
      <c r="BD55" s="416"/>
      <c r="BE55" s="416"/>
      <c r="BF55" s="416"/>
      <c r="BG55" s="416"/>
      <c r="BH55" s="416"/>
      <c r="BI55" s="416"/>
      <c r="BJ55" s="416"/>
      <c r="BK55" s="416"/>
      <c r="BL55" s="416"/>
      <c r="BM55" s="416"/>
      <c r="BN55" s="416"/>
    </row>
    <row r="56" spans="1:66" s="416" customFormat="1" ht="17.100000000000001" customHeight="1" x14ac:dyDescent="0.3">
      <c r="A56" s="427"/>
      <c r="B56" s="1233"/>
      <c r="C56" s="428"/>
      <c r="D56" s="428"/>
      <c r="E56" s="428"/>
      <c r="F56" s="428"/>
      <c r="G56" s="428"/>
      <c r="H56" s="428"/>
      <c r="I56" s="428"/>
      <c r="J56" s="430"/>
      <c r="K56" s="739"/>
      <c r="L56" s="739"/>
      <c r="M56" s="428"/>
      <c r="N56" s="428"/>
      <c r="O56" s="428"/>
      <c r="P56" s="428"/>
      <c r="Q56" s="428"/>
      <c r="R56" s="411"/>
      <c r="S56" s="428"/>
      <c r="T56" s="428"/>
      <c r="U56" s="428"/>
      <c r="V56" s="428"/>
      <c r="W56" s="380"/>
      <c r="AK56" s="380"/>
    </row>
    <row r="57" spans="1:66" s="416" customFormat="1" ht="17.100000000000001" customHeight="1" x14ac:dyDescent="0.3">
      <c r="A57" s="427"/>
      <c r="B57" s="1233"/>
      <c r="C57" s="428"/>
      <c r="D57" s="428"/>
      <c r="E57" s="428"/>
      <c r="F57" s="428"/>
      <c r="G57" s="428"/>
      <c r="H57" s="428"/>
      <c r="I57" s="428"/>
      <c r="J57" s="430"/>
      <c r="K57" s="739"/>
      <c r="L57" s="739"/>
      <c r="M57" s="428"/>
      <c r="N57" s="428"/>
      <c r="O57" s="428"/>
      <c r="P57" s="428"/>
      <c r="Q57" s="428"/>
      <c r="R57" s="411"/>
      <c r="S57" s="428"/>
      <c r="T57" s="428"/>
      <c r="U57" s="428"/>
      <c r="V57" s="428"/>
      <c r="W57" s="380"/>
      <c r="X57" s="380"/>
      <c r="Y57" s="380"/>
      <c r="Z57" s="380"/>
      <c r="AA57" s="380"/>
      <c r="AL57" s="380"/>
      <c r="AM57" s="380"/>
      <c r="AN57" s="380"/>
      <c r="AO57" s="380"/>
      <c r="AP57" s="380"/>
      <c r="AQ57" s="380"/>
      <c r="AR57" s="380"/>
      <c r="AS57" s="380"/>
      <c r="AT57" s="380"/>
      <c r="AU57" s="380"/>
      <c r="AV57" s="380"/>
      <c r="AW57" s="380"/>
      <c r="AX57" s="380"/>
      <c r="AY57" s="380"/>
      <c r="AZ57" s="380"/>
      <c r="BA57" s="380"/>
      <c r="BB57" s="380"/>
      <c r="BC57" s="380"/>
      <c r="BD57" s="380"/>
      <c r="BE57" s="380"/>
      <c r="BF57" s="380"/>
      <c r="BG57" s="380"/>
      <c r="BH57" s="380"/>
      <c r="BI57" s="380"/>
      <c r="BJ57" s="380"/>
      <c r="BK57" s="380"/>
      <c r="BL57" s="380"/>
      <c r="BM57" s="380"/>
      <c r="BN57" s="380"/>
    </row>
    <row r="58" spans="1:66" x14ac:dyDescent="0.3">
      <c r="X58" s="416"/>
      <c r="Y58" s="416"/>
      <c r="Z58" s="416"/>
      <c r="AA58" s="416"/>
      <c r="AK58" s="416"/>
      <c r="AL58" s="416"/>
      <c r="AM58" s="416"/>
      <c r="AN58" s="416"/>
      <c r="AO58" s="416"/>
      <c r="AP58" s="416"/>
      <c r="AQ58" s="416"/>
      <c r="AR58" s="416"/>
      <c r="AS58" s="416"/>
      <c r="AT58" s="416"/>
      <c r="AU58" s="416"/>
      <c r="AV58" s="416"/>
      <c r="AW58" s="416"/>
      <c r="AX58" s="416"/>
      <c r="AY58" s="416"/>
      <c r="AZ58" s="416"/>
      <c r="BA58" s="416"/>
      <c r="BB58" s="416"/>
      <c r="BC58" s="416"/>
      <c r="BD58" s="416"/>
      <c r="BE58" s="416"/>
      <c r="BF58" s="416"/>
      <c r="BG58" s="416"/>
      <c r="BH58" s="416"/>
      <c r="BI58" s="416"/>
      <c r="BJ58" s="416"/>
      <c r="BK58" s="416"/>
      <c r="BL58" s="416"/>
      <c r="BM58" s="416"/>
      <c r="BN58" s="416"/>
    </row>
    <row r="59" spans="1:66" s="416" customFormat="1" ht="17.100000000000001" customHeight="1" x14ac:dyDescent="0.3">
      <c r="A59" s="427"/>
      <c r="B59" s="1233"/>
      <c r="C59" s="428"/>
      <c r="D59" s="428"/>
      <c r="E59" s="428"/>
      <c r="F59" s="428"/>
      <c r="G59" s="428"/>
      <c r="H59" s="428"/>
      <c r="I59" s="428"/>
      <c r="J59" s="430"/>
      <c r="K59" s="739"/>
      <c r="L59" s="739"/>
      <c r="M59" s="428"/>
      <c r="N59" s="428"/>
      <c r="O59" s="428"/>
      <c r="P59" s="428"/>
      <c r="Q59" s="428"/>
      <c r="R59" s="411"/>
      <c r="S59" s="428"/>
      <c r="T59" s="428"/>
      <c r="U59" s="428"/>
      <c r="V59" s="428"/>
      <c r="W59" s="380"/>
      <c r="AB59" s="380"/>
      <c r="AC59" s="380"/>
      <c r="AD59" s="380"/>
      <c r="AE59" s="380"/>
      <c r="AF59" s="380"/>
      <c r="AG59" s="380"/>
      <c r="AH59" s="380"/>
      <c r="AI59" s="380"/>
      <c r="AJ59" s="380"/>
      <c r="AK59" s="380"/>
    </row>
    <row r="60" spans="1:66" s="416" customFormat="1" ht="17.100000000000001" customHeight="1" x14ac:dyDescent="0.3">
      <c r="A60" s="427"/>
      <c r="B60" s="1233"/>
      <c r="C60" s="428"/>
      <c r="D60" s="428"/>
      <c r="E60" s="428"/>
      <c r="F60" s="428"/>
      <c r="G60" s="428"/>
      <c r="H60" s="428"/>
      <c r="I60" s="428"/>
      <c r="J60" s="430"/>
      <c r="K60" s="739"/>
      <c r="L60" s="739"/>
      <c r="M60" s="428"/>
      <c r="N60" s="428"/>
      <c r="O60" s="428"/>
      <c r="P60" s="428"/>
      <c r="Q60" s="428"/>
      <c r="R60" s="411"/>
      <c r="S60" s="428"/>
      <c r="T60" s="428"/>
      <c r="U60" s="428"/>
      <c r="V60" s="428"/>
      <c r="W60" s="380"/>
      <c r="X60" s="380"/>
      <c r="Y60" s="380"/>
      <c r="Z60" s="380"/>
      <c r="AA60" s="380"/>
      <c r="AB60" s="380"/>
      <c r="AC60" s="380"/>
      <c r="AD60" s="380"/>
      <c r="AE60" s="380"/>
      <c r="AF60" s="380"/>
      <c r="AG60" s="380"/>
      <c r="AH60" s="380"/>
      <c r="AI60" s="380"/>
      <c r="AJ60" s="380"/>
      <c r="AK60" s="380"/>
      <c r="AL60" s="380"/>
      <c r="AM60" s="380"/>
      <c r="AN60" s="380"/>
      <c r="AO60" s="380"/>
      <c r="AP60" s="380"/>
      <c r="AQ60" s="380"/>
      <c r="AR60" s="380"/>
      <c r="AS60" s="380"/>
      <c r="AT60" s="380"/>
      <c r="AU60" s="380"/>
      <c r="AV60" s="380"/>
      <c r="AW60" s="380"/>
      <c r="AX60" s="380"/>
      <c r="AY60" s="380"/>
      <c r="AZ60" s="380"/>
      <c r="BA60" s="380"/>
      <c r="BB60" s="380"/>
      <c r="BC60" s="380"/>
      <c r="BD60" s="380"/>
      <c r="BE60" s="380"/>
      <c r="BF60" s="380"/>
      <c r="BG60" s="380"/>
      <c r="BH60" s="380"/>
      <c r="BI60" s="380"/>
      <c r="BJ60" s="380"/>
      <c r="BK60" s="380"/>
      <c r="BL60" s="380"/>
      <c r="BM60" s="380"/>
      <c r="BN60" s="380"/>
    </row>
  </sheetData>
  <mergeCells count="23">
    <mergeCell ref="Y12:Z12"/>
    <mergeCell ref="Y13:Z13"/>
    <mergeCell ref="P31:Q31"/>
    <mergeCell ref="S31:T31"/>
    <mergeCell ref="U31:V31"/>
    <mergeCell ref="Y11:Z11"/>
    <mergeCell ref="H2:H3"/>
    <mergeCell ref="I2:I3"/>
    <mergeCell ref="J2:J3"/>
    <mergeCell ref="K2:K3"/>
    <mergeCell ref="L2:L3"/>
    <mergeCell ref="M2:M3"/>
    <mergeCell ref="N2:N3"/>
    <mergeCell ref="O2:O3"/>
    <mergeCell ref="R2:R3"/>
    <mergeCell ref="S2:S3"/>
    <mergeCell ref="T2:T3"/>
    <mergeCell ref="G2:G3"/>
    <mergeCell ref="B2:B3"/>
    <mergeCell ref="C2:C3"/>
    <mergeCell ref="D2:D3"/>
    <mergeCell ref="E2:E3"/>
    <mergeCell ref="F2:F3"/>
  </mergeCells>
  <phoneticPr fontId="2" type="noConversion"/>
  <pageMargins left="0.11811023622047245" right="0.11811023622047245" top="0.15748031496062992" bottom="0.74803149606299213" header="0.31496062992125984" footer="0.31496062992125984"/>
  <pageSetup paperSize="9" scale="53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343F-8F50-4CD2-9C6F-5E5C45AEC74B}">
  <dimension ref="A1:EH31"/>
  <sheetViews>
    <sheetView topLeftCell="DK1" zoomScale="40" zoomScaleNormal="40" workbookViewId="0">
      <selection activeCell="EE28" sqref="ED1:EH28"/>
    </sheetView>
  </sheetViews>
  <sheetFormatPr defaultRowHeight="22.2" x14ac:dyDescent="0.3"/>
  <cols>
    <col min="1" max="1" width="2.6640625" style="434" customWidth="1"/>
    <col min="2" max="2" width="22.33203125" style="434" customWidth="1"/>
    <col min="3" max="6" width="16.6640625" style="434" customWidth="1"/>
    <col min="7" max="7" width="2.6640625" style="434" customWidth="1"/>
    <col min="8" max="8" width="20.6640625" style="434" customWidth="1"/>
    <col min="9" max="11" width="16.6640625" style="434" customWidth="1"/>
    <col min="12" max="12" width="18.6640625" style="434" customWidth="1"/>
    <col min="13" max="13" width="2.6640625" style="434" customWidth="1"/>
    <col min="14" max="14" width="21.88671875" style="434" customWidth="1"/>
    <col min="15" max="17" width="16.6640625" style="434" customWidth="1"/>
    <col min="18" max="18" width="17.21875" style="434" customWidth="1"/>
    <col min="19" max="19" width="2.6640625" style="434" customWidth="1"/>
    <col min="20" max="20" width="21.6640625" style="434" customWidth="1"/>
    <col min="21" max="23" width="16.6640625" style="434" customWidth="1"/>
    <col min="24" max="24" width="17.77734375" style="434" customWidth="1"/>
    <col min="25" max="25" width="2.6640625" style="434" customWidth="1"/>
    <col min="26" max="26" width="20.6640625" style="434" customWidth="1"/>
    <col min="27" max="29" width="16.6640625" style="434" customWidth="1"/>
    <col min="30" max="30" width="18.44140625" style="434" customWidth="1"/>
    <col min="31" max="31" width="2.6640625" style="434" customWidth="1"/>
    <col min="32" max="32" width="24.88671875" style="434" customWidth="1"/>
    <col min="33" max="34" width="16.6640625" style="434" customWidth="1"/>
    <col min="35" max="35" width="14.109375" style="434" customWidth="1"/>
    <col min="36" max="36" width="14.88671875" style="434" customWidth="1"/>
    <col min="37" max="37" width="2.6640625" style="434" customWidth="1"/>
    <col min="38" max="38" width="20.6640625" style="434" customWidth="1"/>
    <col min="39" max="41" width="16.6640625" style="434" customWidth="1"/>
    <col min="42" max="42" width="16.88671875" style="434" customWidth="1"/>
    <col min="43" max="43" width="2.6640625" style="434" customWidth="1"/>
    <col min="44" max="44" width="21.6640625" style="434" customWidth="1"/>
    <col min="45" max="48" width="16.6640625" style="434" customWidth="1"/>
    <col min="49" max="49" width="2.6640625" style="434" customWidth="1"/>
    <col min="50" max="50" width="21.77734375" style="434" customWidth="1"/>
    <col min="51" max="53" width="16.6640625" style="434" customWidth="1"/>
    <col min="54" max="54" width="16.88671875" style="434" customWidth="1"/>
    <col min="55" max="55" width="2.6640625" style="434" customWidth="1"/>
    <col min="56" max="56" width="22" style="434" customWidth="1"/>
    <col min="57" max="58" width="16.6640625" style="434" customWidth="1"/>
    <col min="59" max="59" width="14.88671875" style="434" customWidth="1"/>
    <col min="60" max="60" width="18.21875" style="434" customWidth="1"/>
    <col min="61" max="61" width="2.6640625" style="434" customWidth="1"/>
    <col min="62" max="62" width="20.6640625" style="434" customWidth="1"/>
    <col min="63" max="65" width="16.6640625" style="434" customWidth="1"/>
    <col min="66" max="66" width="17.44140625" style="434" customWidth="1"/>
    <col min="67" max="67" width="2.6640625" style="434" customWidth="1"/>
    <col min="68" max="68" width="20.6640625" style="434" customWidth="1"/>
    <col min="69" max="71" width="16.6640625" style="434" customWidth="1"/>
    <col min="72" max="72" width="17.77734375" style="434" customWidth="1"/>
    <col min="73" max="73" width="2.6640625" style="434" customWidth="1"/>
    <col min="74" max="74" width="20.6640625" style="434" customWidth="1"/>
    <col min="75" max="77" width="16.6640625" style="434" customWidth="1"/>
    <col min="78" max="78" width="17.44140625" style="434" customWidth="1"/>
    <col min="79" max="79" width="2.6640625" style="434" customWidth="1"/>
    <col min="80" max="80" width="20.6640625" style="434" customWidth="1"/>
    <col min="81" max="83" width="16.6640625" style="434" customWidth="1"/>
    <col min="84" max="84" width="18.44140625" style="434" customWidth="1"/>
    <col min="85" max="85" width="2.6640625" style="434" customWidth="1"/>
    <col min="86" max="86" width="2.6640625" style="438" customWidth="1"/>
    <col min="87" max="87" width="20.6640625" style="434" customWidth="1"/>
    <col min="88" max="91" width="16.6640625" style="434" customWidth="1"/>
    <col min="92" max="92" width="2.6640625" style="434" customWidth="1"/>
    <col min="93" max="93" width="20.6640625" style="434" customWidth="1"/>
    <col min="94" max="97" width="16.6640625" style="434" customWidth="1"/>
    <col min="98" max="98" width="2.6640625" style="434" customWidth="1"/>
    <col min="99" max="99" width="20.6640625" style="434" customWidth="1"/>
    <col min="100" max="103" width="16.6640625" style="434" customWidth="1"/>
    <col min="104" max="104" width="2.6640625" style="434" customWidth="1"/>
    <col min="105" max="105" width="20.6640625" style="434" customWidth="1"/>
    <col min="106" max="109" width="16.6640625" style="434" customWidth="1"/>
    <col min="110" max="110" width="2.77734375" style="437" customWidth="1"/>
    <col min="111" max="111" width="2.6640625" style="434" customWidth="1"/>
    <col min="112" max="112" width="20.6640625" style="434" customWidth="1"/>
    <col min="113" max="116" width="16.6640625" style="434" customWidth="1"/>
    <col min="117" max="117" width="2.6640625" style="434" customWidth="1"/>
    <col min="118" max="120" width="9" style="434" customWidth="1"/>
    <col min="121" max="121" width="9" style="437"/>
    <col min="122" max="122" width="20.6640625" style="434" customWidth="1"/>
    <col min="123" max="126" width="16.6640625" style="434" customWidth="1"/>
    <col min="127" max="127" width="4.88671875" style="437" customWidth="1"/>
    <col min="128" max="128" width="20.6640625" style="434" customWidth="1"/>
    <col min="129" max="130" width="16.6640625" style="434" customWidth="1"/>
    <col min="131" max="131" width="14.6640625" style="434" customWidth="1"/>
    <col min="132" max="132" width="16.6640625" style="434" customWidth="1"/>
    <col min="133" max="133" width="5.109375" style="437" customWidth="1"/>
    <col min="134" max="134" width="20.6640625" style="434" customWidth="1"/>
    <col min="135" max="136" width="16.6640625" style="434" customWidth="1"/>
    <col min="137" max="137" width="14.6640625" style="434" customWidth="1"/>
    <col min="138" max="138" width="16.6640625" style="434" customWidth="1"/>
    <col min="139" max="213" width="9" style="437"/>
    <col min="214" max="214" width="2.6640625" style="437" customWidth="1"/>
    <col min="215" max="215" width="20.6640625" style="437" customWidth="1"/>
    <col min="216" max="219" width="16.6640625" style="437" customWidth="1"/>
    <col min="220" max="220" width="2.6640625" style="437" customWidth="1"/>
    <col min="221" max="221" width="20.6640625" style="437" customWidth="1"/>
    <col min="222" max="225" width="16.6640625" style="437" customWidth="1"/>
    <col min="226" max="226" width="4" style="437" customWidth="1"/>
    <col min="227" max="227" width="20.6640625" style="437" customWidth="1"/>
    <col min="228" max="231" width="16.6640625" style="437" customWidth="1"/>
    <col min="232" max="232" width="2.6640625" style="437" customWidth="1"/>
    <col min="233" max="233" width="20.6640625" style="437" customWidth="1"/>
    <col min="234" max="237" width="16.6640625" style="437" customWidth="1"/>
    <col min="238" max="238" width="2.6640625" style="437" customWidth="1"/>
    <col min="239" max="239" width="20.6640625" style="437" customWidth="1"/>
    <col min="240" max="243" width="16.6640625" style="437" customWidth="1"/>
    <col min="244" max="244" width="2.6640625" style="437" customWidth="1"/>
    <col min="245" max="245" width="20.6640625" style="437" customWidth="1"/>
    <col min="246" max="249" width="16.6640625" style="437" customWidth="1"/>
    <col min="250" max="250" width="2.6640625" style="437" customWidth="1"/>
    <col min="251" max="251" width="20.6640625" style="437" customWidth="1"/>
    <col min="252" max="255" width="16.6640625" style="437" customWidth="1"/>
    <col min="256" max="256" width="2.6640625" style="437" customWidth="1"/>
    <col min="257" max="257" width="20.6640625" style="437" customWidth="1"/>
    <col min="258" max="261" width="16.6640625" style="437" customWidth="1"/>
    <col min="262" max="262" width="2.6640625" style="437" customWidth="1"/>
    <col min="263" max="263" width="20.6640625" style="437" customWidth="1"/>
    <col min="264" max="267" width="16.6640625" style="437" customWidth="1"/>
    <col min="268" max="268" width="3.77734375" style="437" customWidth="1"/>
    <col min="269" max="269" width="20.6640625" style="437" customWidth="1"/>
    <col min="270" max="273" width="16.6640625" style="437" customWidth="1"/>
    <col min="274" max="274" width="2.6640625" style="437" customWidth="1"/>
    <col min="275" max="275" width="20.6640625" style="437" customWidth="1"/>
    <col min="276" max="279" width="16.6640625" style="437" customWidth="1"/>
    <col min="280" max="280" width="4" style="437" customWidth="1"/>
    <col min="281" max="281" width="20.6640625" style="437" customWidth="1"/>
    <col min="282" max="285" width="16.6640625" style="437" customWidth="1"/>
    <col min="286" max="286" width="2.6640625" style="437" customWidth="1"/>
    <col min="287" max="287" width="20.6640625" style="437" customWidth="1"/>
    <col min="288" max="291" width="16.6640625" style="437" customWidth="1"/>
    <col min="292" max="292" width="2.6640625" style="437" customWidth="1"/>
    <col min="293" max="293" width="20.6640625" style="437" customWidth="1"/>
    <col min="294" max="297" width="16.6640625" style="437" customWidth="1"/>
    <col min="298" max="298" width="2.6640625" style="437" customWidth="1"/>
    <col min="299" max="299" width="20.6640625" style="437" customWidth="1"/>
    <col min="300" max="303" width="16.6640625" style="437" customWidth="1"/>
    <col min="304" max="304" width="2.6640625" style="437" customWidth="1"/>
    <col min="305" max="305" width="20.6640625" style="437" customWidth="1"/>
    <col min="306" max="309" width="16.6640625" style="437" customWidth="1"/>
    <col min="310" max="310" width="2.6640625" style="437" customWidth="1"/>
    <col min="311" max="311" width="20.6640625" style="437" customWidth="1"/>
    <col min="312" max="315" width="16.6640625" style="437" customWidth="1"/>
    <col min="316" max="316" width="2.6640625" style="437" customWidth="1"/>
    <col min="317" max="317" width="20.6640625" style="437" customWidth="1"/>
    <col min="318" max="321" width="16.6640625" style="437" customWidth="1"/>
    <col min="322" max="322" width="2.6640625" style="437" customWidth="1"/>
    <col min="323" max="323" width="20.6640625" style="437" customWidth="1"/>
    <col min="324" max="327" width="16.6640625" style="437" customWidth="1"/>
    <col min="328" max="328" width="2.6640625" style="437" customWidth="1"/>
    <col min="329" max="329" width="20.6640625" style="437" customWidth="1"/>
    <col min="330" max="333" width="16.6640625" style="437" customWidth="1"/>
    <col min="334" max="334" width="2.6640625" style="437" customWidth="1"/>
    <col min="335" max="335" width="20.6640625" style="437" customWidth="1"/>
    <col min="336" max="339" width="16.6640625" style="437" customWidth="1"/>
    <col min="340" max="340" width="2.6640625" style="437" customWidth="1"/>
    <col min="341" max="341" width="20.6640625" style="437" customWidth="1"/>
    <col min="342" max="345" width="16.6640625" style="437" customWidth="1"/>
    <col min="346" max="346" width="2.77734375" style="437" customWidth="1"/>
    <col min="347" max="347" width="20.6640625" style="437" customWidth="1"/>
    <col min="348" max="351" width="16.6640625" style="437" customWidth="1"/>
    <col min="352" max="352" width="2.6640625" style="437" customWidth="1"/>
    <col min="353" max="353" width="20.6640625" style="437" customWidth="1"/>
    <col min="354" max="357" width="16.6640625" style="437" customWidth="1"/>
    <col min="358" max="358" width="2.6640625" style="437" customWidth="1"/>
    <col min="359" max="359" width="20.6640625" style="437" customWidth="1"/>
    <col min="360" max="363" width="16.6640625" style="437" customWidth="1"/>
    <col min="364" max="364" width="2.6640625" style="437" customWidth="1"/>
    <col min="365" max="365" width="20.6640625" style="437" customWidth="1"/>
    <col min="366" max="369" width="16.6640625" style="437" customWidth="1"/>
    <col min="370" max="370" width="2.77734375" style="437" customWidth="1"/>
    <col min="371" max="469" width="9" style="437"/>
    <col min="470" max="470" width="2.6640625" style="437" customWidth="1"/>
    <col min="471" max="471" width="20.6640625" style="437" customWidth="1"/>
    <col min="472" max="475" width="16.6640625" style="437" customWidth="1"/>
    <col min="476" max="476" width="2.6640625" style="437" customWidth="1"/>
    <col min="477" max="477" width="20.6640625" style="437" customWidth="1"/>
    <col min="478" max="481" width="16.6640625" style="437" customWidth="1"/>
    <col min="482" max="482" width="4" style="437" customWidth="1"/>
    <col min="483" max="483" width="20.6640625" style="437" customWidth="1"/>
    <col min="484" max="487" width="16.6640625" style="437" customWidth="1"/>
    <col min="488" max="488" width="2.6640625" style="437" customWidth="1"/>
    <col min="489" max="489" width="20.6640625" style="437" customWidth="1"/>
    <col min="490" max="493" width="16.6640625" style="437" customWidth="1"/>
    <col min="494" max="494" width="2.6640625" style="437" customWidth="1"/>
    <col min="495" max="495" width="20.6640625" style="437" customWidth="1"/>
    <col min="496" max="499" width="16.6640625" style="437" customWidth="1"/>
    <col min="500" max="500" width="2.6640625" style="437" customWidth="1"/>
    <col min="501" max="501" width="20.6640625" style="437" customWidth="1"/>
    <col min="502" max="505" width="16.6640625" style="437" customWidth="1"/>
    <col min="506" max="506" width="2.6640625" style="437" customWidth="1"/>
    <col min="507" max="507" width="20.6640625" style="437" customWidth="1"/>
    <col min="508" max="511" width="16.6640625" style="437" customWidth="1"/>
    <col min="512" max="512" width="2.6640625" style="437" customWidth="1"/>
    <col min="513" max="513" width="20.6640625" style="437" customWidth="1"/>
    <col min="514" max="517" width="16.6640625" style="437" customWidth="1"/>
    <col min="518" max="518" width="2.6640625" style="437" customWidth="1"/>
    <col min="519" max="519" width="20.6640625" style="437" customWidth="1"/>
    <col min="520" max="523" width="16.6640625" style="437" customWidth="1"/>
    <col min="524" max="524" width="3.77734375" style="437" customWidth="1"/>
    <col min="525" max="525" width="20.6640625" style="437" customWidth="1"/>
    <col min="526" max="529" width="16.6640625" style="437" customWidth="1"/>
    <col min="530" max="530" width="2.6640625" style="437" customWidth="1"/>
    <col min="531" max="531" width="20.6640625" style="437" customWidth="1"/>
    <col min="532" max="535" width="16.6640625" style="437" customWidth="1"/>
    <col min="536" max="536" width="4" style="437" customWidth="1"/>
    <col min="537" max="537" width="20.6640625" style="437" customWidth="1"/>
    <col min="538" max="541" width="16.6640625" style="437" customWidth="1"/>
    <col min="542" max="542" width="2.6640625" style="437" customWidth="1"/>
    <col min="543" max="543" width="20.6640625" style="437" customWidth="1"/>
    <col min="544" max="547" width="16.6640625" style="437" customWidth="1"/>
    <col min="548" max="548" width="2.6640625" style="437" customWidth="1"/>
    <col min="549" max="549" width="20.6640625" style="437" customWidth="1"/>
    <col min="550" max="553" width="16.6640625" style="437" customWidth="1"/>
    <col min="554" max="554" width="2.6640625" style="437" customWidth="1"/>
    <col min="555" max="555" width="20.6640625" style="437" customWidth="1"/>
    <col min="556" max="559" width="16.6640625" style="437" customWidth="1"/>
    <col min="560" max="560" width="2.6640625" style="437" customWidth="1"/>
    <col min="561" max="561" width="20.6640625" style="437" customWidth="1"/>
    <col min="562" max="565" width="16.6640625" style="437" customWidth="1"/>
    <col min="566" max="566" width="2.6640625" style="437" customWidth="1"/>
    <col min="567" max="567" width="20.6640625" style="437" customWidth="1"/>
    <col min="568" max="571" width="16.6640625" style="437" customWidth="1"/>
    <col min="572" max="572" width="2.6640625" style="437" customWidth="1"/>
    <col min="573" max="573" width="20.6640625" style="437" customWidth="1"/>
    <col min="574" max="577" width="16.6640625" style="437" customWidth="1"/>
    <col min="578" max="578" width="2.6640625" style="437" customWidth="1"/>
    <col min="579" max="579" width="20.6640625" style="437" customWidth="1"/>
    <col min="580" max="583" width="16.6640625" style="437" customWidth="1"/>
    <col min="584" max="584" width="2.6640625" style="437" customWidth="1"/>
    <col min="585" max="585" width="20.6640625" style="437" customWidth="1"/>
    <col min="586" max="589" width="16.6640625" style="437" customWidth="1"/>
    <col min="590" max="590" width="2.6640625" style="437" customWidth="1"/>
    <col min="591" max="591" width="20.6640625" style="437" customWidth="1"/>
    <col min="592" max="595" width="16.6640625" style="437" customWidth="1"/>
    <col min="596" max="596" width="2.6640625" style="437" customWidth="1"/>
    <col min="597" max="597" width="20.6640625" style="437" customWidth="1"/>
    <col min="598" max="601" width="16.6640625" style="437" customWidth="1"/>
    <col min="602" max="602" width="2.77734375" style="437" customWidth="1"/>
    <col min="603" max="603" width="20.6640625" style="437" customWidth="1"/>
    <col min="604" max="607" width="16.6640625" style="437" customWidth="1"/>
    <col min="608" max="608" width="2.6640625" style="437" customWidth="1"/>
    <col min="609" max="609" width="20.6640625" style="437" customWidth="1"/>
    <col min="610" max="613" width="16.6640625" style="437" customWidth="1"/>
    <col min="614" max="614" width="2.6640625" style="437" customWidth="1"/>
    <col min="615" max="615" width="20.6640625" style="437" customWidth="1"/>
    <col min="616" max="619" width="16.6640625" style="437" customWidth="1"/>
    <col min="620" max="620" width="2.6640625" style="437" customWidth="1"/>
    <col min="621" max="621" width="20.6640625" style="437" customWidth="1"/>
    <col min="622" max="625" width="16.6640625" style="437" customWidth="1"/>
    <col min="626" max="626" width="2.77734375" style="437" customWidth="1"/>
    <col min="627" max="725" width="9" style="437"/>
    <col min="726" max="726" width="2.6640625" style="437" customWidth="1"/>
    <col min="727" max="727" width="20.6640625" style="437" customWidth="1"/>
    <col min="728" max="731" width="16.6640625" style="437" customWidth="1"/>
    <col min="732" max="732" width="2.6640625" style="437" customWidth="1"/>
    <col min="733" max="733" width="20.6640625" style="437" customWidth="1"/>
    <col min="734" max="737" width="16.6640625" style="437" customWidth="1"/>
    <col min="738" max="738" width="4" style="437" customWidth="1"/>
    <col min="739" max="739" width="20.6640625" style="437" customWidth="1"/>
    <col min="740" max="743" width="16.6640625" style="437" customWidth="1"/>
    <col min="744" max="744" width="2.6640625" style="437" customWidth="1"/>
    <col min="745" max="745" width="20.6640625" style="437" customWidth="1"/>
    <col min="746" max="749" width="16.6640625" style="437" customWidth="1"/>
    <col min="750" max="750" width="2.6640625" style="437" customWidth="1"/>
    <col min="751" max="751" width="20.6640625" style="437" customWidth="1"/>
    <col min="752" max="755" width="16.6640625" style="437" customWidth="1"/>
    <col min="756" max="756" width="2.6640625" style="437" customWidth="1"/>
    <col min="757" max="757" width="20.6640625" style="437" customWidth="1"/>
    <col min="758" max="761" width="16.6640625" style="437" customWidth="1"/>
    <col min="762" max="762" width="2.6640625" style="437" customWidth="1"/>
    <col min="763" max="763" width="20.6640625" style="437" customWidth="1"/>
    <col min="764" max="767" width="16.6640625" style="437" customWidth="1"/>
    <col min="768" max="768" width="2.6640625" style="437" customWidth="1"/>
    <col min="769" max="769" width="20.6640625" style="437" customWidth="1"/>
    <col min="770" max="773" width="16.6640625" style="437" customWidth="1"/>
    <col min="774" max="774" width="2.6640625" style="437" customWidth="1"/>
    <col min="775" max="775" width="20.6640625" style="437" customWidth="1"/>
    <col min="776" max="779" width="16.6640625" style="437" customWidth="1"/>
    <col min="780" max="780" width="3.77734375" style="437" customWidth="1"/>
    <col min="781" max="781" width="20.6640625" style="437" customWidth="1"/>
    <col min="782" max="785" width="16.6640625" style="437" customWidth="1"/>
    <col min="786" max="786" width="2.6640625" style="437" customWidth="1"/>
    <col min="787" max="787" width="20.6640625" style="437" customWidth="1"/>
    <col min="788" max="791" width="16.6640625" style="437" customWidth="1"/>
    <col min="792" max="792" width="4" style="437" customWidth="1"/>
    <col min="793" max="793" width="20.6640625" style="437" customWidth="1"/>
    <col min="794" max="797" width="16.6640625" style="437" customWidth="1"/>
    <col min="798" max="798" width="2.6640625" style="437" customWidth="1"/>
    <col min="799" max="799" width="20.6640625" style="437" customWidth="1"/>
    <col min="800" max="803" width="16.6640625" style="437" customWidth="1"/>
    <col min="804" max="804" width="2.6640625" style="437" customWidth="1"/>
    <col min="805" max="805" width="20.6640625" style="437" customWidth="1"/>
    <col min="806" max="809" width="16.6640625" style="437" customWidth="1"/>
    <col min="810" max="810" width="2.6640625" style="437" customWidth="1"/>
    <col min="811" max="811" width="20.6640625" style="437" customWidth="1"/>
    <col min="812" max="815" width="16.6640625" style="437" customWidth="1"/>
    <col min="816" max="816" width="2.6640625" style="437" customWidth="1"/>
    <col min="817" max="817" width="20.6640625" style="437" customWidth="1"/>
    <col min="818" max="821" width="16.6640625" style="437" customWidth="1"/>
    <col min="822" max="822" width="2.6640625" style="437" customWidth="1"/>
    <col min="823" max="823" width="20.6640625" style="437" customWidth="1"/>
    <col min="824" max="827" width="16.6640625" style="437" customWidth="1"/>
    <col min="828" max="828" width="2.6640625" style="437" customWidth="1"/>
    <col min="829" max="829" width="20.6640625" style="437" customWidth="1"/>
    <col min="830" max="833" width="16.6640625" style="437" customWidth="1"/>
    <col min="834" max="834" width="2.6640625" style="437" customWidth="1"/>
    <col min="835" max="835" width="20.6640625" style="437" customWidth="1"/>
    <col min="836" max="839" width="16.6640625" style="437" customWidth="1"/>
    <col min="840" max="840" width="2.6640625" style="437" customWidth="1"/>
    <col min="841" max="841" width="20.6640625" style="437" customWidth="1"/>
    <col min="842" max="845" width="16.6640625" style="437" customWidth="1"/>
    <col min="846" max="846" width="2.6640625" style="437" customWidth="1"/>
    <col min="847" max="847" width="20.6640625" style="437" customWidth="1"/>
    <col min="848" max="851" width="16.6640625" style="437" customWidth="1"/>
    <col min="852" max="852" width="2.6640625" style="437" customWidth="1"/>
    <col min="853" max="853" width="20.6640625" style="437" customWidth="1"/>
    <col min="854" max="857" width="16.6640625" style="437" customWidth="1"/>
    <col min="858" max="858" width="2.77734375" style="437" customWidth="1"/>
    <col min="859" max="859" width="20.6640625" style="437" customWidth="1"/>
    <col min="860" max="863" width="16.6640625" style="437" customWidth="1"/>
    <col min="864" max="864" width="2.6640625" style="437" customWidth="1"/>
    <col min="865" max="865" width="20.6640625" style="437" customWidth="1"/>
    <col min="866" max="869" width="16.6640625" style="437" customWidth="1"/>
    <col min="870" max="870" width="2.6640625" style="437" customWidth="1"/>
    <col min="871" max="871" width="20.6640625" style="437" customWidth="1"/>
    <col min="872" max="875" width="16.6640625" style="437" customWidth="1"/>
    <col min="876" max="876" width="2.6640625" style="437" customWidth="1"/>
    <col min="877" max="877" width="20.6640625" style="437" customWidth="1"/>
    <col min="878" max="881" width="16.6640625" style="437" customWidth="1"/>
    <col min="882" max="882" width="2.77734375" style="437" customWidth="1"/>
    <col min="883" max="981" width="9" style="437"/>
    <col min="982" max="982" width="2.6640625" style="437" customWidth="1"/>
    <col min="983" max="983" width="20.6640625" style="437" customWidth="1"/>
    <col min="984" max="987" width="16.6640625" style="437" customWidth="1"/>
    <col min="988" max="988" width="2.6640625" style="437" customWidth="1"/>
    <col min="989" max="989" width="20.6640625" style="437" customWidth="1"/>
    <col min="990" max="993" width="16.6640625" style="437" customWidth="1"/>
    <col min="994" max="994" width="4" style="437" customWidth="1"/>
    <col min="995" max="995" width="20.6640625" style="437" customWidth="1"/>
    <col min="996" max="999" width="16.6640625" style="437" customWidth="1"/>
    <col min="1000" max="1000" width="2.6640625" style="437" customWidth="1"/>
    <col min="1001" max="1001" width="20.6640625" style="437" customWidth="1"/>
    <col min="1002" max="1005" width="16.6640625" style="437" customWidth="1"/>
    <col min="1006" max="1006" width="2.6640625" style="437" customWidth="1"/>
    <col min="1007" max="1007" width="20.6640625" style="437" customWidth="1"/>
    <col min="1008" max="1011" width="16.6640625" style="437" customWidth="1"/>
    <col min="1012" max="1012" width="2.6640625" style="437" customWidth="1"/>
    <col min="1013" max="1013" width="20.6640625" style="437" customWidth="1"/>
    <col min="1014" max="1017" width="16.6640625" style="437" customWidth="1"/>
    <col min="1018" max="1018" width="2.6640625" style="437" customWidth="1"/>
    <col min="1019" max="1019" width="20.6640625" style="437" customWidth="1"/>
    <col min="1020" max="1023" width="16.6640625" style="437" customWidth="1"/>
    <col min="1024" max="1024" width="2.6640625" style="437" customWidth="1"/>
    <col min="1025" max="1025" width="20.6640625" style="437" customWidth="1"/>
    <col min="1026" max="1029" width="16.6640625" style="437" customWidth="1"/>
    <col min="1030" max="1030" width="2.6640625" style="437" customWidth="1"/>
    <col min="1031" max="1031" width="20.6640625" style="437" customWidth="1"/>
    <col min="1032" max="1035" width="16.6640625" style="437" customWidth="1"/>
    <col min="1036" max="1036" width="3.77734375" style="437" customWidth="1"/>
    <col min="1037" max="1037" width="20.6640625" style="437" customWidth="1"/>
    <col min="1038" max="1041" width="16.6640625" style="437" customWidth="1"/>
    <col min="1042" max="1042" width="2.6640625" style="437" customWidth="1"/>
    <col min="1043" max="1043" width="20.6640625" style="437" customWidth="1"/>
    <col min="1044" max="1047" width="16.6640625" style="437" customWidth="1"/>
    <col min="1048" max="1048" width="4" style="437" customWidth="1"/>
    <col min="1049" max="1049" width="20.6640625" style="437" customWidth="1"/>
    <col min="1050" max="1053" width="16.6640625" style="437" customWidth="1"/>
    <col min="1054" max="1054" width="2.6640625" style="437" customWidth="1"/>
    <col min="1055" max="1055" width="20.6640625" style="437" customWidth="1"/>
    <col min="1056" max="1059" width="16.6640625" style="437" customWidth="1"/>
    <col min="1060" max="1060" width="2.6640625" style="437" customWidth="1"/>
    <col min="1061" max="1061" width="20.6640625" style="437" customWidth="1"/>
    <col min="1062" max="1065" width="16.6640625" style="437" customWidth="1"/>
    <col min="1066" max="1066" width="2.6640625" style="437" customWidth="1"/>
    <col min="1067" max="1067" width="20.6640625" style="437" customWidth="1"/>
    <col min="1068" max="1071" width="16.6640625" style="437" customWidth="1"/>
    <col min="1072" max="1072" width="2.6640625" style="437" customWidth="1"/>
    <col min="1073" max="1073" width="20.6640625" style="437" customWidth="1"/>
    <col min="1074" max="1077" width="16.6640625" style="437" customWidth="1"/>
    <col min="1078" max="1078" width="2.6640625" style="437" customWidth="1"/>
    <col min="1079" max="1079" width="20.6640625" style="437" customWidth="1"/>
    <col min="1080" max="1083" width="16.6640625" style="437" customWidth="1"/>
    <col min="1084" max="1084" width="2.6640625" style="437" customWidth="1"/>
    <col min="1085" max="1085" width="20.6640625" style="437" customWidth="1"/>
    <col min="1086" max="1089" width="16.6640625" style="437" customWidth="1"/>
    <col min="1090" max="1090" width="2.6640625" style="437" customWidth="1"/>
    <col min="1091" max="1091" width="20.6640625" style="437" customWidth="1"/>
    <col min="1092" max="1095" width="16.6640625" style="437" customWidth="1"/>
    <col min="1096" max="1096" width="2.6640625" style="437" customWidth="1"/>
    <col min="1097" max="1097" width="20.6640625" style="437" customWidth="1"/>
    <col min="1098" max="1101" width="16.6640625" style="437" customWidth="1"/>
    <col min="1102" max="1102" width="2.6640625" style="437" customWidth="1"/>
    <col min="1103" max="1103" width="20.6640625" style="437" customWidth="1"/>
    <col min="1104" max="1107" width="16.6640625" style="437" customWidth="1"/>
    <col min="1108" max="1108" width="2.6640625" style="437" customWidth="1"/>
    <col min="1109" max="1109" width="20.6640625" style="437" customWidth="1"/>
    <col min="1110" max="1113" width="16.6640625" style="437" customWidth="1"/>
    <col min="1114" max="1114" width="2.77734375" style="437" customWidth="1"/>
    <col min="1115" max="1115" width="20.6640625" style="437" customWidth="1"/>
    <col min="1116" max="1119" width="16.6640625" style="437" customWidth="1"/>
    <col min="1120" max="1120" width="2.6640625" style="437" customWidth="1"/>
    <col min="1121" max="1121" width="20.6640625" style="437" customWidth="1"/>
    <col min="1122" max="1125" width="16.6640625" style="437" customWidth="1"/>
    <col min="1126" max="1126" width="2.6640625" style="437" customWidth="1"/>
    <col min="1127" max="1127" width="20.6640625" style="437" customWidth="1"/>
    <col min="1128" max="1131" width="16.6640625" style="437" customWidth="1"/>
    <col min="1132" max="1132" width="2.6640625" style="437" customWidth="1"/>
    <col min="1133" max="1133" width="20.6640625" style="437" customWidth="1"/>
    <col min="1134" max="1137" width="16.6640625" style="437" customWidth="1"/>
    <col min="1138" max="1138" width="2.77734375" style="437" customWidth="1"/>
    <col min="1139" max="1237" width="9" style="437"/>
    <col min="1238" max="1238" width="2.6640625" style="437" customWidth="1"/>
    <col min="1239" max="1239" width="20.6640625" style="437" customWidth="1"/>
    <col min="1240" max="1243" width="16.6640625" style="437" customWidth="1"/>
    <col min="1244" max="1244" width="2.6640625" style="437" customWidth="1"/>
    <col min="1245" max="1245" width="20.6640625" style="437" customWidth="1"/>
    <col min="1246" max="1249" width="16.6640625" style="437" customWidth="1"/>
    <col min="1250" max="1250" width="4" style="437" customWidth="1"/>
    <col min="1251" max="1251" width="20.6640625" style="437" customWidth="1"/>
    <col min="1252" max="1255" width="16.6640625" style="437" customWidth="1"/>
    <col min="1256" max="1256" width="2.6640625" style="437" customWidth="1"/>
    <col min="1257" max="1257" width="20.6640625" style="437" customWidth="1"/>
    <col min="1258" max="1261" width="16.6640625" style="437" customWidth="1"/>
    <col min="1262" max="1262" width="2.6640625" style="437" customWidth="1"/>
    <col min="1263" max="1263" width="20.6640625" style="437" customWidth="1"/>
    <col min="1264" max="1267" width="16.6640625" style="437" customWidth="1"/>
    <col min="1268" max="1268" width="2.6640625" style="437" customWidth="1"/>
    <col min="1269" max="1269" width="20.6640625" style="437" customWidth="1"/>
    <col min="1270" max="1273" width="16.6640625" style="437" customWidth="1"/>
    <col min="1274" max="1274" width="2.6640625" style="437" customWidth="1"/>
    <col min="1275" max="1275" width="20.6640625" style="437" customWidth="1"/>
    <col min="1276" max="1279" width="16.6640625" style="437" customWidth="1"/>
    <col min="1280" max="1280" width="2.6640625" style="437" customWidth="1"/>
    <col min="1281" max="1281" width="20.6640625" style="437" customWidth="1"/>
    <col min="1282" max="1285" width="16.6640625" style="437" customWidth="1"/>
    <col min="1286" max="1286" width="2.6640625" style="437" customWidth="1"/>
    <col min="1287" max="1287" width="20.6640625" style="437" customWidth="1"/>
    <col min="1288" max="1291" width="16.6640625" style="437" customWidth="1"/>
    <col min="1292" max="1292" width="3.77734375" style="437" customWidth="1"/>
    <col min="1293" max="1293" width="20.6640625" style="437" customWidth="1"/>
    <col min="1294" max="1297" width="16.6640625" style="437" customWidth="1"/>
    <col min="1298" max="1298" width="2.6640625" style="437" customWidth="1"/>
    <col min="1299" max="1299" width="20.6640625" style="437" customWidth="1"/>
    <col min="1300" max="1303" width="16.6640625" style="437" customWidth="1"/>
    <col min="1304" max="1304" width="4" style="437" customWidth="1"/>
    <col min="1305" max="1305" width="20.6640625" style="437" customWidth="1"/>
    <col min="1306" max="1309" width="16.6640625" style="437" customWidth="1"/>
    <col min="1310" max="1310" width="2.6640625" style="437" customWidth="1"/>
    <col min="1311" max="1311" width="20.6640625" style="437" customWidth="1"/>
    <col min="1312" max="1315" width="16.6640625" style="437" customWidth="1"/>
    <col min="1316" max="1316" width="2.6640625" style="437" customWidth="1"/>
    <col min="1317" max="1317" width="20.6640625" style="437" customWidth="1"/>
    <col min="1318" max="1321" width="16.6640625" style="437" customWidth="1"/>
    <col min="1322" max="1322" width="2.6640625" style="437" customWidth="1"/>
    <col min="1323" max="1323" width="20.6640625" style="437" customWidth="1"/>
    <col min="1324" max="1327" width="16.6640625" style="437" customWidth="1"/>
    <col min="1328" max="1328" width="2.6640625" style="437" customWidth="1"/>
    <col min="1329" max="1329" width="20.6640625" style="437" customWidth="1"/>
    <col min="1330" max="1333" width="16.6640625" style="437" customWidth="1"/>
    <col min="1334" max="1334" width="2.6640625" style="437" customWidth="1"/>
    <col min="1335" max="1335" width="20.6640625" style="437" customWidth="1"/>
    <col min="1336" max="1339" width="16.6640625" style="437" customWidth="1"/>
    <col min="1340" max="1340" width="2.6640625" style="437" customWidth="1"/>
    <col min="1341" max="1341" width="20.6640625" style="437" customWidth="1"/>
    <col min="1342" max="1345" width="16.6640625" style="437" customWidth="1"/>
    <col min="1346" max="1346" width="2.6640625" style="437" customWidth="1"/>
    <col min="1347" max="1347" width="20.6640625" style="437" customWidth="1"/>
    <col min="1348" max="1351" width="16.6640625" style="437" customWidth="1"/>
    <col min="1352" max="1352" width="2.6640625" style="437" customWidth="1"/>
    <col min="1353" max="1353" width="20.6640625" style="437" customWidth="1"/>
    <col min="1354" max="1357" width="16.6640625" style="437" customWidth="1"/>
    <col min="1358" max="1358" width="2.6640625" style="437" customWidth="1"/>
    <col min="1359" max="1359" width="20.6640625" style="437" customWidth="1"/>
    <col min="1360" max="1363" width="16.6640625" style="437" customWidth="1"/>
    <col min="1364" max="1364" width="2.6640625" style="437" customWidth="1"/>
    <col min="1365" max="1365" width="20.6640625" style="437" customWidth="1"/>
    <col min="1366" max="1369" width="16.6640625" style="437" customWidth="1"/>
    <col min="1370" max="1370" width="2.77734375" style="437" customWidth="1"/>
    <col min="1371" max="1371" width="20.6640625" style="437" customWidth="1"/>
    <col min="1372" max="1375" width="16.6640625" style="437" customWidth="1"/>
    <col min="1376" max="1376" width="2.6640625" style="437" customWidth="1"/>
    <col min="1377" max="1377" width="20.6640625" style="437" customWidth="1"/>
    <col min="1378" max="1381" width="16.6640625" style="437" customWidth="1"/>
    <col min="1382" max="1382" width="2.6640625" style="437" customWidth="1"/>
    <col min="1383" max="1383" width="20.6640625" style="437" customWidth="1"/>
    <col min="1384" max="1387" width="16.6640625" style="437" customWidth="1"/>
    <col min="1388" max="1388" width="2.6640625" style="437" customWidth="1"/>
    <col min="1389" max="1389" width="20.6640625" style="437" customWidth="1"/>
    <col min="1390" max="1393" width="16.6640625" style="437" customWidth="1"/>
    <col min="1394" max="1394" width="2.77734375" style="437" customWidth="1"/>
    <col min="1395" max="1493" width="9" style="437"/>
    <col min="1494" max="1494" width="2.6640625" style="437" customWidth="1"/>
    <col min="1495" max="1495" width="20.6640625" style="437" customWidth="1"/>
    <col min="1496" max="1499" width="16.6640625" style="437" customWidth="1"/>
    <col min="1500" max="1500" width="2.6640625" style="437" customWidth="1"/>
    <col min="1501" max="1501" width="20.6640625" style="437" customWidth="1"/>
    <col min="1502" max="1505" width="16.6640625" style="437" customWidth="1"/>
    <col min="1506" max="1506" width="4" style="437" customWidth="1"/>
    <col min="1507" max="1507" width="20.6640625" style="437" customWidth="1"/>
    <col min="1508" max="1511" width="16.6640625" style="437" customWidth="1"/>
    <col min="1512" max="1512" width="2.6640625" style="437" customWidth="1"/>
    <col min="1513" max="1513" width="20.6640625" style="437" customWidth="1"/>
    <col min="1514" max="1517" width="16.6640625" style="437" customWidth="1"/>
    <col min="1518" max="1518" width="2.6640625" style="437" customWidth="1"/>
    <col min="1519" max="1519" width="20.6640625" style="437" customWidth="1"/>
    <col min="1520" max="1523" width="16.6640625" style="437" customWidth="1"/>
    <col min="1524" max="1524" width="2.6640625" style="437" customWidth="1"/>
    <col min="1525" max="1525" width="20.6640625" style="437" customWidth="1"/>
    <col min="1526" max="1529" width="16.6640625" style="437" customWidth="1"/>
    <col min="1530" max="1530" width="2.6640625" style="437" customWidth="1"/>
    <col min="1531" max="1531" width="20.6640625" style="437" customWidth="1"/>
    <col min="1532" max="1535" width="16.6640625" style="437" customWidth="1"/>
    <col min="1536" max="1536" width="2.6640625" style="437" customWidth="1"/>
    <col min="1537" max="1537" width="20.6640625" style="437" customWidth="1"/>
    <col min="1538" max="1541" width="16.6640625" style="437" customWidth="1"/>
    <col min="1542" max="1542" width="2.6640625" style="437" customWidth="1"/>
    <col min="1543" max="1543" width="20.6640625" style="437" customWidth="1"/>
    <col min="1544" max="1547" width="16.6640625" style="437" customWidth="1"/>
    <col min="1548" max="1548" width="3.77734375" style="437" customWidth="1"/>
    <col min="1549" max="1549" width="20.6640625" style="437" customWidth="1"/>
    <col min="1550" max="1553" width="16.6640625" style="437" customWidth="1"/>
    <col min="1554" max="1554" width="2.6640625" style="437" customWidth="1"/>
    <col min="1555" max="1555" width="20.6640625" style="437" customWidth="1"/>
    <col min="1556" max="1559" width="16.6640625" style="437" customWidth="1"/>
    <col min="1560" max="1560" width="4" style="437" customWidth="1"/>
    <col min="1561" max="1561" width="20.6640625" style="437" customWidth="1"/>
    <col min="1562" max="1565" width="16.6640625" style="437" customWidth="1"/>
    <col min="1566" max="1566" width="2.6640625" style="437" customWidth="1"/>
    <col min="1567" max="1567" width="20.6640625" style="437" customWidth="1"/>
    <col min="1568" max="1571" width="16.6640625" style="437" customWidth="1"/>
    <col min="1572" max="1572" width="2.6640625" style="437" customWidth="1"/>
    <col min="1573" max="1573" width="20.6640625" style="437" customWidth="1"/>
    <col min="1574" max="1577" width="16.6640625" style="437" customWidth="1"/>
    <col min="1578" max="1578" width="2.6640625" style="437" customWidth="1"/>
    <col min="1579" max="1579" width="20.6640625" style="437" customWidth="1"/>
    <col min="1580" max="1583" width="16.6640625" style="437" customWidth="1"/>
    <col min="1584" max="1584" width="2.6640625" style="437" customWidth="1"/>
    <col min="1585" max="1585" width="20.6640625" style="437" customWidth="1"/>
    <col min="1586" max="1589" width="16.6640625" style="437" customWidth="1"/>
    <col min="1590" max="1590" width="2.6640625" style="437" customWidth="1"/>
    <col min="1591" max="1591" width="20.6640625" style="437" customWidth="1"/>
    <col min="1592" max="1595" width="16.6640625" style="437" customWidth="1"/>
    <col min="1596" max="1596" width="2.6640625" style="437" customWidth="1"/>
    <col min="1597" max="1597" width="20.6640625" style="437" customWidth="1"/>
    <col min="1598" max="1601" width="16.6640625" style="437" customWidth="1"/>
    <col min="1602" max="1602" width="2.6640625" style="437" customWidth="1"/>
    <col min="1603" max="1603" width="20.6640625" style="437" customWidth="1"/>
    <col min="1604" max="1607" width="16.6640625" style="437" customWidth="1"/>
    <col min="1608" max="1608" width="2.6640625" style="437" customWidth="1"/>
    <col min="1609" max="1609" width="20.6640625" style="437" customWidth="1"/>
    <col min="1610" max="1613" width="16.6640625" style="437" customWidth="1"/>
    <col min="1614" max="1614" width="2.6640625" style="437" customWidth="1"/>
    <col min="1615" max="1615" width="20.6640625" style="437" customWidth="1"/>
    <col min="1616" max="1619" width="16.6640625" style="437" customWidth="1"/>
    <col min="1620" max="1620" width="2.6640625" style="437" customWidth="1"/>
    <col min="1621" max="1621" width="20.6640625" style="437" customWidth="1"/>
    <col min="1622" max="1625" width="16.6640625" style="437" customWidth="1"/>
    <col min="1626" max="1626" width="2.77734375" style="437" customWidth="1"/>
    <col min="1627" max="1627" width="20.6640625" style="437" customWidth="1"/>
    <col min="1628" max="1631" width="16.6640625" style="437" customWidth="1"/>
    <col min="1632" max="1632" width="2.6640625" style="437" customWidth="1"/>
    <col min="1633" max="1633" width="20.6640625" style="437" customWidth="1"/>
    <col min="1634" max="1637" width="16.6640625" style="437" customWidth="1"/>
    <col min="1638" max="1638" width="2.6640625" style="437" customWidth="1"/>
    <col min="1639" max="1639" width="20.6640625" style="437" customWidth="1"/>
    <col min="1640" max="1643" width="16.6640625" style="437" customWidth="1"/>
    <col min="1644" max="1644" width="2.6640625" style="437" customWidth="1"/>
    <col min="1645" max="1645" width="20.6640625" style="437" customWidth="1"/>
    <col min="1646" max="1649" width="16.6640625" style="437" customWidth="1"/>
    <col min="1650" max="1650" width="2.77734375" style="437" customWidth="1"/>
    <col min="1651" max="1749" width="9" style="437"/>
    <col min="1750" max="1750" width="2.6640625" style="437" customWidth="1"/>
    <col min="1751" max="1751" width="20.6640625" style="437" customWidth="1"/>
    <col min="1752" max="1755" width="16.6640625" style="437" customWidth="1"/>
    <col min="1756" max="1756" width="2.6640625" style="437" customWidth="1"/>
    <col min="1757" max="1757" width="20.6640625" style="437" customWidth="1"/>
    <col min="1758" max="1761" width="16.6640625" style="437" customWidth="1"/>
    <col min="1762" max="1762" width="4" style="437" customWidth="1"/>
    <col min="1763" max="1763" width="20.6640625" style="437" customWidth="1"/>
    <col min="1764" max="1767" width="16.6640625" style="437" customWidth="1"/>
    <col min="1768" max="1768" width="2.6640625" style="437" customWidth="1"/>
    <col min="1769" max="1769" width="20.6640625" style="437" customWidth="1"/>
    <col min="1770" max="1773" width="16.6640625" style="437" customWidth="1"/>
    <col min="1774" max="1774" width="2.6640625" style="437" customWidth="1"/>
    <col min="1775" max="1775" width="20.6640625" style="437" customWidth="1"/>
    <col min="1776" max="1779" width="16.6640625" style="437" customWidth="1"/>
    <col min="1780" max="1780" width="2.6640625" style="437" customWidth="1"/>
    <col min="1781" max="1781" width="20.6640625" style="437" customWidth="1"/>
    <col min="1782" max="1785" width="16.6640625" style="437" customWidth="1"/>
    <col min="1786" max="1786" width="2.6640625" style="437" customWidth="1"/>
    <col min="1787" max="1787" width="20.6640625" style="437" customWidth="1"/>
    <col min="1788" max="1791" width="16.6640625" style="437" customWidth="1"/>
    <col min="1792" max="1792" width="2.6640625" style="437" customWidth="1"/>
    <col min="1793" max="1793" width="20.6640625" style="437" customWidth="1"/>
    <col min="1794" max="1797" width="16.6640625" style="437" customWidth="1"/>
    <col min="1798" max="1798" width="2.6640625" style="437" customWidth="1"/>
    <col min="1799" max="1799" width="20.6640625" style="437" customWidth="1"/>
    <col min="1800" max="1803" width="16.6640625" style="437" customWidth="1"/>
    <col min="1804" max="1804" width="3.77734375" style="437" customWidth="1"/>
    <col min="1805" max="1805" width="20.6640625" style="437" customWidth="1"/>
    <col min="1806" max="1809" width="16.6640625" style="437" customWidth="1"/>
    <col min="1810" max="1810" width="2.6640625" style="437" customWidth="1"/>
    <col min="1811" max="1811" width="20.6640625" style="437" customWidth="1"/>
    <col min="1812" max="1815" width="16.6640625" style="437" customWidth="1"/>
    <col min="1816" max="1816" width="4" style="437" customWidth="1"/>
    <col min="1817" max="1817" width="20.6640625" style="437" customWidth="1"/>
    <col min="1818" max="1821" width="16.6640625" style="437" customWidth="1"/>
    <col min="1822" max="1822" width="2.6640625" style="437" customWidth="1"/>
    <col min="1823" max="1823" width="20.6640625" style="437" customWidth="1"/>
    <col min="1824" max="1827" width="16.6640625" style="437" customWidth="1"/>
    <col min="1828" max="1828" width="2.6640625" style="437" customWidth="1"/>
    <col min="1829" max="1829" width="20.6640625" style="437" customWidth="1"/>
    <col min="1830" max="1833" width="16.6640625" style="437" customWidth="1"/>
    <col min="1834" max="1834" width="2.6640625" style="437" customWidth="1"/>
    <col min="1835" max="1835" width="20.6640625" style="437" customWidth="1"/>
    <col min="1836" max="1839" width="16.6640625" style="437" customWidth="1"/>
    <col min="1840" max="1840" width="2.6640625" style="437" customWidth="1"/>
    <col min="1841" max="1841" width="20.6640625" style="437" customWidth="1"/>
    <col min="1842" max="1845" width="16.6640625" style="437" customWidth="1"/>
    <col min="1846" max="1846" width="2.6640625" style="437" customWidth="1"/>
    <col min="1847" max="1847" width="20.6640625" style="437" customWidth="1"/>
    <col min="1848" max="1851" width="16.6640625" style="437" customWidth="1"/>
    <col min="1852" max="1852" width="2.6640625" style="437" customWidth="1"/>
    <col min="1853" max="1853" width="20.6640625" style="437" customWidth="1"/>
    <col min="1854" max="1857" width="16.6640625" style="437" customWidth="1"/>
    <col min="1858" max="1858" width="2.6640625" style="437" customWidth="1"/>
    <col min="1859" max="1859" width="20.6640625" style="437" customWidth="1"/>
    <col min="1860" max="1863" width="16.6640625" style="437" customWidth="1"/>
    <col min="1864" max="1864" width="2.6640625" style="437" customWidth="1"/>
    <col min="1865" max="1865" width="20.6640625" style="437" customWidth="1"/>
    <col min="1866" max="1869" width="16.6640625" style="437" customWidth="1"/>
    <col min="1870" max="1870" width="2.6640625" style="437" customWidth="1"/>
    <col min="1871" max="1871" width="20.6640625" style="437" customWidth="1"/>
    <col min="1872" max="1875" width="16.6640625" style="437" customWidth="1"/>
    <col min="1876" max="1876" width="2.6640625" style="437" customWidth="1"/>
    <col min="1877" max="1877" width="20.6640625" style="437" customWidth="1"/>
    <col min="1878" max="1881" width="16.6640625" style="437" customWidth="1"/>
    <col min="1882" max="1882" width="2.77734375" style="437" customWidth="1"/>
    <col min="1883" max="1883" width="20.6640625" style="437" customWidth="1"/>
    <col min="1884" max="1887" width="16.6640625" style="437" customWidth="1"/>
    <col min="1888" max="1888" width="2.6640625" style="437" customWidth="1"/>
    <col min="1889" max="1889" width="20.6640625" style="437" customWidth="1"/>
    <col min="1890" max="1893" width="16.6640625" style="437" customWidth="1"/>
    <col min="1894" max="1894" width="2.6640625" style="437" customWidth="1"/>
    <col min="1895" max="1895" width="20.6640625" style="437" customWidth="1"/>
    <col min="1896" max="1899" width="16.6640625" style="437" customWidth="1"/>
    <col min="1900" max="1900" width="2.6640625" style="437" customWidth="1"/>
    <col min="1901" max="1901" width="20.6640625" style="437" customWidth="1"/>
    <col min="1902" max="1905" width="16.6640625" style="437" customWidth="1"/>
    <col min="1906" max="1906" width="2.77734375" style="437" customWidth="1"/>
    <col min="1907" max="2005" width="9" style="437"/>
    <col min="2006" max="2006" width="2.6640625" style="437" customWidth="1"/>
    <col min="2007" max="2007" width="20.6640625" style="437" customWidth="1"/>
    <col min="2008" max="2011" width="16.6640625" style="437" customWidth="1"/>
    <col min="2012" max="2012" width="2.6640625" style="437" customWidth="1"/>
    <col min="2013" max="2013" width="20.6640625" style="437" customWidth="1"/>
    <col min="2014" max="2017" width="16.6640625" style="437" customWidth="1"/>
    <col min="2018" max="2018" width="4" style="437" customWidth="1"/>
    <col min="2019" max="2019" width="20.6640625" style="437" customWidth="1"/>
    <col min="2020" max="2023" width="16.6640625" style="437" customWidth="1"/>
    <col min="2024" max="2024" width="2.6640625" style="437" customWidth="1"/>
    <col min="2025" max="2025" width="20.6640625" style="437" customWidth="1"/>
    <col min="2026" max="2029" width="16.6640625" style="437" customWidth="1"/>
    <col min="2030" max="2030" width="2.6640625" style="437" customWidth="1"/>
    <col min="2031" max="2031" width="20.6640625" style="437" customWidth="1"/>
    <col min="2032" max="2035" width="16.6640625" style="437" customWidth="1"/>
    <col min="2036" max="2036" width="2.6640625" style="437" customWidth="1"/>
    <col min="2037" max="2037" width="20.6640625" style="437" customWidth="1"/>
    <col min="2038" max="2041" width="16.6640625" style="437" customWidth="1"/>
    <col min="2042" max="2042" width="2.6640625" style="437" customWidth="1"/>
    <col min="2043" max="2043" width="20.6640625" style="437" customWidth="1"/>
    <col min="2044" max="2047" width="16.6640625" style="437" customWidth="1"/>
    <col min="2048" max="2048" width="2.6640625" style="437" customWidth="1"/>
    <col min="2049" max="2049" width="20.6640625" style="437" customWidth="1"/>
    <col min="2050" max="2053" width="16.6640625" style="437" customWidth="1"/>
    <col min="2054" max="2054" width="2.6640625" style="437" customWidth="1"/>
    <col min="2055" max="2055" width="20.6640625" style="437" customWidth="1"/>
    <col min="2056" max="2059" width="16.6640625" style="437" customWidth="1"/>
    <col min="2060" max="2060" width="3.77734375" style="437" customWidth="1"/>
    <col min="2061" max="2061" width="20.6640625" style="437" customWidth="1"/>
    <col min="2062" max="2065" width="16.6640625" style="437" customWidth="1"/>
    <col min="2066" max="2066" width="2.6640625" style="437" customWidth="1"/>
    <col min="2067" max="2067" width="20.6640625" style="437" customWidth="1"/>
    <col min="2068" max="2071" width="16.6640625" style="437" customWidth="1"/>
    <col min="2072" max="2072" width="4" style="437" customWidth="1"/>
    <col min="2073" max="2073" width="20.6640625" style="437" customWidth="1"/>
    <col min="2074" max="2077" width="16.6640625" style="437" customWidth="1"/>
    <col min="2078" max="2078" width="2.6640625" style="437" customWidth="1"/>
    <col min="2079" max="2079" width="20.6640625" style="437" customWidth="1"/>
    <col min="2080" max="2083" width="16.6640625" style="437" customWidth="1"/>
    <col min="2084" max="2084" width="2.6640625" style="437" customWidth="1"/>
    <col min="2085" max="2085" width="20.6640625" style="437" customWidth="1"/>
    <col min="2086" max="2089" width="16.6640625" style="437" customWidth="1"/>
    <col min="2090" max="2090" width="2.6640625" style="437" customWidth="1"/>
    <col min="2091" max="2091" width="20.6640625" style="437" customWidth="1"/>
    <col min="2092" max="2095" width="16.6640625" style="437" customWidth="1"/>
    <col min="2096" max="2096" width="2.6640625" style="437" customWidth="1"/>
    <col min="2097" max="2097" width="20.6640625" style="437" customWidth="1"/>
    <col min="2098" max="2101" width="16.6640625" style="437" customWidth="1"/>
    <col min="2102" max="2102" width="2.6640625" style="437" customWidth="1"/>
    <col min="2103" max="2103" width="20.6640625" style="437" customWidth="1"/>
    <col min="2104" max="2107" width="16.6640625" style="437" customWidth="1"/>
    <col min="2108" max="2108" width="2.6640625" style="437" customWidth="1"/>
    <col min="2109" max="2109" width="20.6640625" style="437" customWidth="1"/>
    <col min="2110" max="2113" width="16.6640625" style="437" customWidth="1"/>
    <col min="2114" max="2114" width="2.6640625" style="437" customWidth="1"/>
    <col min="2115" max="2115" width="20.6640625" style="437" customWidth="1"/>
    <col min="2116" max="2119" width="16.6640625" style="437" customWidth="1"/>
    <col min="2120" max="2120" width="2.6640625" style="437" customWidth="1"/>
    <col min="2121" max="2121" width="20.6640625" style="437" customWidth="1"/>
    <col min="2122" max="2125" width="16.6640625" style="437" customWidth="1"/>
    <col min="2126" max="2126" width="2.6640625" style="437" customWidth="1"/>
    <col min="2127" max="2127" width="20.6640625" style="437" customWidth="1"/>
    <col min="2128" max="2131" width="16.6640625" style="437" customWidth="1"/>
    <col min="2132" max="2132" width="2.6640625" style="437" customWidth="1"/>
    <col min="2133" max="2133" width="20.6640625" style="437" customWidth="1"/>
    <col min="2134" max="2137" width="16.6640625" style="437" customWidth="1"/>
    <col min="2138" max="2138" width="2.77734375" style="437" customWidth="1"/>
    <col min="2139" max="2139" width="20.6640625" style="437" customWidth="1"/>
    <col min="2140" max="2143" width="16.6640625" style="437" customWidth="1"/>
    <col min="2144" max="2144" width="2.6640625" style="437" customWidth="1"/>
    <col min="2145" max="2145" width="20.6640625" style="437" customWidth="1"/>
    <col min="2146" max="2149" width="16.6640625" style="437" customWidth="1"/>
    <col min="2150" max="2150" width="2.6640625" style="437" customWidth="1"/>
    <col min="2151" max="2151" width="20.6640625" style="437" customWidth="1"/>
    <col min="2152" max="2155" width="16.6640625" style="437" customWidth="1"/>
    <col min="2156" max="2156" width="2.6640625" style="437" customWidth="1"/>
    <col min="2157" max="2157" width="20.6640625" style="437" customWidth="1"/>
    <col min="2158" max="2161" width="16.6640625" style="437" customWidth="1"/>
    <col min="2162" max="2162" width="2.77734375" style="437" customWidth="1"/>
    <col min="2163" max="2261" width="9" style="437"/>
    <col min="2262" max="2262" width="2.6640625" style="437" customWidth="1"/>
    <col min="2263" max="2263" width="20.6640625" style="437" customWidth="1"/>
    <col min="2264" max="2267" width="16.6640625" style="437" customWidth="1"/>
    <col min="2268" max="2268" width="2.6640625" style="437" customWidth="1"/>
    <col min="2269" max="2269" width="20.6640625" style="437" customWidth="1"/>
    <col min="2270" max="2273" width="16.6640625" style="437" customWidth="1"/>
    <col min="2274" max="2274" width="4" style="437" customWidth="1"/>
    <col min="2275" max="2275" width="20.6640625" style="437" customWidth="1"/>
    <col min="2276" max="2279" width="16.6640625" style="437" customWidth="1"/>
    <col min="2280" max="2280" width="2.6640625" style="437" customWidth="1"/>
    <col min="2281" max="2281" width="20.6640625" style="437" customWidth="1"/>
    <col min="2282" max="2285" width="16.6640625" style="437" customWidth="1"/>
    <col min="2286" max="2286" width="2.6640625" style="437" customWidth="1"/>
    <col min="2287" max="2287" width="20.6640625" style="437" customWidth="1"/>
    <col min="2288" max="2291" width="16.6640625" style="437" customWidth="1"/>
    <col min="2292" max="2292" width="2.6640625" style="437" customWidth="1"/>
    <col min="2293" max="2293" width="20.6640625" style="437" customWidth="1"/>
    <col min="2294" max="2297" width="16.6640625" style="437" customWidth="1"/>
    <col min="2298" max="2298" width="2.6640625" style="437" customWidth="1"/>
    <col min="2299" max="2299" width="20.6640625" style="437" customWidth="1"/>
    <col min="2300" max="2303" width="16.6640625" style="437" customWidth="1"/>
    <col min="2304" max="2304" width="2.6640625" style="437" customWidth="1"/>
    <col min="2305" max="2305" width="20.6640625" style="437" customWidth="1"/>
    <col min="2306" max="2309" width="16.6640625" style="437" customWidth="1"/>
    <col min="2310" max="2310" width="2.6640625" style="437" customWidth="1"/>
    <col min="2311" max="2311" width="20.6640625" style="437" customWidth="1"/>
    <col min="2312" max="2315" width="16.6640625" style="437" customWidth="1"/>
    <col min="2316" max="2316" width="3.77734375" style="437" customWidth="1"/>
    <col min="2317" max="2317" width="20.6640625" style="437" customWidth="1"/>
    <col min="2318" max="2321" width="16.6640625" style="437" customWidth="1"/>
    <col min="2322" max="2322" width="2.6640625" style="437" customWidth="1"/>
    <col min="2323" max="2323" width="20.6640625" style="437" customWidth="1"/>
    <col min="2324" max="2327" width="16.6640625" style="437" customWidth="1"/>
    <col min="2328" max="2328" width="4" style="437" customWidth="1"/>
    <col min="2329" max="2329" width="20.6640625" style="437" customWidth="1"/>
    <col min="2330" max="2333" width="16.6640625" style="437" customWidth="1"/>
    <col min="2334" max="2334" width="2.6640625" style="437" customWidth="1"/>
    <col min="2335" max="2335" width="20.6640625" style="437" customWidth="1"/>
    <col min="2336" max="2339" width="16.6640625" style="437" customWidth="1"/>
    <col min="2340" max="2340" width="2.6640625" style="437" customWidth="1"/>
    <col min="2341" max="2341" width="20.6640625" style="437" customWidth="1"/>
    <col min="2342" max="2345" width="16.6640625" style="437" customWidth="1"/>
    <col min="2346" max="2346" width="2.6640625" style="437" customWidth="1"/>
    <col min="2347" max="2347" width="20.6640625" style="437" customWidth="1"/>
    <col min="2348" max="2351" width="16.6640625" style="437" customWidth="1"/>
    <col min="2352" max="2352" width="2.6640625" style="437" customWidth="1"/>
    <col min="2353" max="2353" width="20.6640625" style="437" customWidth="1"/>
    <col min="2354" max="2357" width="16.6640625" style="437" customWidth="1"/>
    <col min="2358" max="2358" width="2.6640625" style="437" customWidth="1"/>
    <col min="2359" max="2359" width="20.6640625" style="437" customWidth="1"/>
    <col min="2360" max="2363" width="16.6640625" style="437" customWidth="1"/>
    <col min="2364" max="2364" width="2.6640625" style="437" customWidth="1"/>
    <col min="2365" max="2365" width="20.6640625" style="437" customWidth="1"/>
    <col min="2366" max="2369" width="16.6640625" style="437" customWidth="1"/>
    <col min="2370" max="2370" width="2.6640625" style="437" customWidth="1"/>
    <col min="2371" max="2371" width="20.6640625" style="437" customWidth="1"/>
    <col min="2372" max="2375" width="16.6640625" style="437" customWidth="1"/>
    <col min="2376" max="2376" width="2.6640625" style="437" customWidth="1"/>
    <col min="2377" max="2377" width="20.6640625" style="437" customWidth="1"/>
    <col min="2378" max="2381" width="16.6640625" style="437" customWidth="1"/>
    <col min="2382" max="2382" width="2.6640625" style="437" customWidth="1"/>
    <col min="2383" max="2383" width="20.6640625" style="437" customWidth="1"/>
    <col min="2384" max="2387" width="16.6640625" style="437" customWidth="1"/>
    <col min="2388" max="2388" width="2.6640625" style="437" customWidth="1"/>
    <col min="2389" max="2389" width="20.6640625" style="437" customWidth="1"/>
    <col min="2390" max="2393" width="16.6640625" style="437" customWidth="1"/>
    <col min="2394" max="2394" width="2.77734375" style="437" customWidth="1"/>
    <col min="2395" max="2395" width="20.6640625" style="437" customWidth="1"/>
    <col min="2396" max="2399" width="16.6640625" style="437" customWidth="1"/>
    <col min="2400" max="2400" width="2.6640625" style="437" customWidth="1"/>
    <col min="2401" max="2401" width="20.6640625" style="437" customWidth="1"/>
    <col min="2402" max="2405" width="16.6640625" style="437" customWidth="1"/>
    <col min="2406" max="2406" width="2.6640625" style="437" customWidth="1"/>
    <col min="2407" max="2407" width="20.6640625" style="437" customWidth="1"/>
    <col min="2408" max="2411" width="16.6640625" style="437" customWidth="1"/>
    <col min="2412" max="2412" width="2.6640625" style="437" customWidth="1"/>
    <col min="2413" max="2413" width="20.6640625" style="437" customWidth="1"/>
    <col min="2414" max="2417" width="16.6640625" style="437" customWidth="1"/>
    <col min="2418" max="2418" width="2.77734375" style="437" customWidth="1"/>
    <col min="2419" max="2517" width="9" style="437"/>
    <col min="2518" max="2518" width="2.6640625" style="437" customWidth="1"/>
    <col min="2519" max="2519" width="20.6640625" style="437" customWidth="1"/>
    <col min="2520" max="2523" width="16.6640625" style="437" customWidth="1"/>
    <col min="2524" max="2524" width="2.6640625" style="437" customWidth="1"/>
    <col min="2525" max="2525" width="20.6640625" style="437" customWidth="1"/>
    <col min="2526" max="2529" width="16.6640625" style="437" customWidth="1"/>
    <col min="2530" max="2530" width="4" style="437" customWidth="1"/>
    <col min="2531" max="2531" width="20.6640625" style="437" customWidth="1"/>
    <col min="2532" max="2535" width="16.6640625" style="437" customWidth="1"/>
    <col min="2536" max="2536" width="2.6640625" style="437" customWidth="1"/>
    <col min="2537" max="2537" width="20.6640625" style="437" customWidth="1"/>
    <col min="2538" max="2541" width="16.6640625" style="437" customWidth="1"/>
    <col min="2542" max="2542" width="2.6640625" style="437" customWidth="1"/>
    <col min="2543" max="2543" width="20.6640625" style="437" customWidth="1"/>
    <col min="2544" max="2547" width="16.6640625" style="437" customWidth="1"/>
    <col min="2548" max="2548" width="2.6640625" style="437" customWidth="1"/>
    <col min="2549" max="2549" width="20.6640625" style="437" customWidth="1"/>
    <col min="2550" max="2553" width="16.6640625" style="437" customWidth="1"/>
    <col min="2554" max="2554" width="2.6640625" style="437" customWidth="1"/>
    <col min="2555" max="2555" width="20.6640625" style="437" customWidth="1"/>
    <col min="2556" max="2559" width="16.6640625" style="437" customWidth="1"/>
    <col min="2560" max="2560" width="2.6640625" style="437" customWidth="1"/>
    <col min="2561" max="2561" width="20.6640625" style="437" customWidth="1"/>
    <col min="2562" max="2565" width="16.6640625" style="437" customWidth="1"/>
    <col min="2566" max="2566" width="2.6640625" style="437" customWidth="1"/>
    <col min="2567" max="2567" width="20.6640625" style="437" customWidth="1"/>
    <col min="2568" max="2571" width="16.6640625" style="437" customWidth="1"/>
    <col min="2572" max="2572" width="3.77734375" style="437" customWidth="1"/>
    <col min="2573" max="2573" width="20.6640625" style="437" customWidth="1"/>
    <col min="2574" max="2577" width="16.6640625" style="437" customWidth="1"/>
    <col min="2578" max="2578" width="2.6640625" style="437" customWidth="1"/>
    <col min="2579" max="2579" width="20.6640625" style="437" customWidth="1"/>
    <col min="2580" max="2583" width="16.6640625" style="437" customWidth="1"/>
    <col min="2584" max="2584" width="4" style="437" customWidth="1"/>
    <col min="2585" max="2585" width="20.6640625" style="437" customWidth="1"/>
    <col min="2586" max="2589" width="16.6640625" style="437" customWidth="1"/>
    <col min="2590" max="2590" width="2.6640625" style="437" customWidth="1"/>
    <col min="2591" max="2591" width="20.6640625" style="437" customWidth="1"/>
    <col min="2592" max="2595" width="16.6640625" style="437" customWidth="1"/>
    <col min="2596" max="2596" width="2.6640625" style="437" customWidth="1"/>
    <col min="2597" max="2597" width="20.6640625" style="437" customWidth="1"/>
    <col min="2598" max="2601" width="16.6640625" style="437" customWidth="1"/>
    <col min="2602" max="2602" width="2.6640625" style="437" customWidth="1"/>
    <col min="2603" max="2603" width="20.6640625" style="437" customWidth="1"/>
    <col min="2604" max="2607" width="16.6640625" style="437" customWidth="1"/>
    <col min="2608" max="2608" width="2.6640625" style="437" customWidth="1"/>
    <col min="2609" max="2609" width="20.6640625" style="437" customWidth="1"/>
    <col min="2610" max="2613" width="16.6640625" style="437" customWidth="1"/>
    <col min="2614" max="2614" width="2.6640625" style="437" customWidth="1"/>
    <col min="2615" max="2615" width="20.6640625" style="437" customWidth="1"/>
    <col min="2616" max="2619" width="16.6640625" style="437" customWidth="1"/>
    <col min="2620" max="2620" width="2.6640625" style="437" customWidth="1"/>
    <col min="2621" max="2621" width="20.6640625" style="437" customWidth="1"/>
    <col min="2622" max="2625" width="16.6640625" style="437" customWidth="1"/>
    <col min="2626" max="2626" width="2.6640625" style="437" customWidth="1"/>
    <col min="2627" max="2627" width="20.6640625" style="437" customWidth="1"/>
    <col min="2628" max="2631" width="16.6640625" style="437" customWidth="1"/>
    <col min="2632" max="2632" width="2.6640625" style="437" customWidth="1"/>
    <col min="2633" max="2633" width="20.6640625" style="437" customWidth="1"/>
    <col min="2634" max="2637" width="16.6640625" style="437" customWidth="1"/>
    <col min="2638" max="2638" width="2.6640625" style="437" customWidth="1"/>
    <col min="2639" max="2639" width="20.6640625" style="437" customWidth="1"/>
    <col min="2640" max="2643" width="16.6640625" style="437" customWidth="1"/>
    <col min="2644" max="2644" width="2.6640625" style="437" customWidth="1"/>
    <col min="2645" max="2645" width="20.6640625" style="437" customWidth="1"/>
    <col min="2646" max="2649" width="16.6640625" style="437" customWidth="1"/>
    <col min="2650" max="2650" width="2.77734375" style="437" customWidth="1"/>
    <col min="2651" max="2651" width="20.6640625" style="437" customWidth="1"/>
    <col min="2652" max="2655" width="16.6640625" style="437" customWidth="1"/>
    <col min="2656" max="2656" width="2.6640625" style="437" customWidth="1"/>
    <col min="2657" max="2657" width="20.6640625" style="437" customWidth="1"/>
    <col min="2658" max="2661" width="16.6640625" style="437" customWidth="1"/>
    <col min="2662" max="2662" width="2.6640625" style="437" customWidth="1"/>
    <col min="2663" max="2663" width="20.6640625" style="437" customWidth="1"/>
    <col min="2664" max="2667" width="16.6640625" style="437" customWidth="1"/>
    <col min="2668" max="2668" width="2.6640625" style="437" customWidth="1"/>
    <col min="2669" max="2669" width="20.6640625" style="437" customWidth="1"/>
    <col min="2670" max="2673" width="16.6640625" style="437" customWidth="1"/>
    <col min="2674" max="2674" width="2.77734375" style="437" customWidth="1"/>
    <col min="2675" max="2773" width="9" style="437"/>
    <col min="2774" max="2774" width="2.6640625" style="437" customWidth="1"/>
    <col min="2775" max="2775" width="20.6640625" style="437" customWidth="1"/>
    <col min="2776" max="2779" width="16.6640625" style="437" customWidth="1"/>
    <col min="2780" max="2780" width="2.6640625" style="437" customWidth="1"/>
    <col min="2781" max="2781" width="20.6640625" style="437" customWidth="1"/>
    <col min="2782" max="2785" width="16.6640625" style="437" customWidth="1"/>
    <col min="2786" max="2786" width="4" style="437" customWidth="1"/>
    <col min="2787" max="2787" width="20.6640625" style="437" customWidth="1"/>
    <col min="2788" max="2791" width="16.6640625" style="437" customWidth="1"/>
    <col min="2792" max="2792" width="2.6640625" style="437" customWidth="1"/>
    <col min="2793" max="2793" width="20.6640625" style="437" customWidth="1"/>
    <col min="2794" max="2797" width="16.6640625" style="437" customWidth="1"/>
    <col min="2798" max="2798" width="2.6640625" style="437" customWidth="1"/>
    <col min="2799" max="2799" width="20.6640625" style="437" customWidth="1"/>
    <col min="2800" max="2803" width="16.6640625" style="437" customWidth="1"/>
    <col min="2804" max="2804" width="2.6640625" style="437" customWidth="1"/>
    <col min="2805" max="2805" width="20.6640625" style="437" customWidth="1"/>
    <col min="2806" max="2809" width="16.6640625" style="437" customWidth="1"/>
    <col min="2810" max="2810" width="2.6640625" style="437" customWidth="1"/>
    <col min="2811" max="2811" width="20.6640625" style="437" customWidth="1"/>
    <col min="2812" max="2815" width="16.6640625" style="437" customWidth="1"/>
    <col min="2816" max="2816" width="2.6640625" style="437" customWidth="1"/>
    <col min="2817" max="2817" width="20.6640625" style="437" customWidth="1"/>
    <col min="2818" max="2821" width="16.6640625" style="437" customWidth="1"/>
    <col min="2822" max="2822" width="2.6640625" style="437" customWidth="1"/>
    <col min="2823" max="2823" width="20.6640625" style="437" customWidth="1"/>
    <col min="2824" max="2827" width="16.6640625" style="437" customWidth="1"/>
    <col min="2828" max="2828" width="3.77734375" style="437" customWidth="1"/>
    <col min="2829" max="2829" width="20.6640625" style="437" customWidth="1"/>
    <col min="2830" max="2833" width="16.6640625" style="437" customWidth="1"/>
    <col min="2834" max="2834" width="2.6640625" style="437" customWidth="1"/>
    <col min="2835" max="2835" width="20.6640625" style="437" customWidth="1"/>
    <col min="2836" max="2839" width="16.6640625" style="437" customWidth="1"/>
    <col min="2840" max="2840" width="4" style="437" customWidth="1"/>
    <col min="2841" max="2841" width="20.6640625" style="437" customWidth="1"/>
    <col min="2842" max="2845" width="16.6640625" style="437" customWidth="1"/>
    <col min="2846" max="2846" width="2.6640625" style="437" customWidth="1"/>
    <col min="2847" max="2847" width="20.6640625" style="437" customWidth="1"/>
    <col min="2848" max="2851" width="16.6640625" style="437" customWidth="1"/>
    <col min="2852" max="2852" width="2.6640625" style="437" customWidth="1"/>
    <col min="2853" max="2853" width="20.6640625" style="437" customWidth="1"/>
    <col min="2854" max="2857" width="16.6640625" style="437" customWidth="1"/>
    <col min="2858" max="2858" width="2.6640625" style="437" customWidth="1"/>
    <col min="2859" max="2859" width="20.6640625" style="437" customWidth="1"/>
    <col min="2860" max="2863" width="16.6640625" style="437" customWidth="1"/>
    <col min="2864" max="2864" width="2.6640625" style="437" customWidth="1"/>
    <col min="2865" max="2865" width="20.6640625" style="437" customWidth="1"/>
    <col min="2866" max="2869" width="16.6640625" style="437" customWidth="1"/>
    <col min="2870" max="2870" width="2.6640625" style="437" customWidth="1"/>
    <col min="2871" max="2871" width="20.6640625" style="437" customWidth="1"/>
    <col min="2872" max="2875" width="16.6640625" style="437" customWidth="1"/>
    <col min="2876" max="2876" width="2.6640625" style="437" customWidth="1"/>
    <col min="2877" max="2877" width="20.6640625" style="437" customWidth="1"/>
    <col min="2878" max="2881" width="16.6640625" style="437" customWidth="1"/>
    <col min="2882" max="2882" width="2.6640625" style="437" customWidth="1"/>
    <col min="2883" max="2883" width="20.6640625" style="437" customWidth="1"/>
    <col min="2884" max="2887" width="16.6640625" style="437" customWidth="1"/>
    <col min="2888" max="2888" width="2.6640625" style="437" customWidth="1"/>
    <col min="2889" max="2889" width="20.6640625" style="437" customWidth="1"/>
    <col min="2890" max="2893" width="16.6640625" style="437" customWidth="1"/>
    <col min="2894" max="2894" width="2.6640625" style="437" customWidth="1"/>
    <col min="2895" max="2895" width="20.6640625" style="437" customWidth="1"/>
    <col min="2896" max="2899" width="16.6640625" style="437" customWidth="1"/>
    <col min="2900" max="2900" width="2.6640625" style="437" customWidth="1"/>
    <col min="2901" max="2901" width="20.6640625" style="437" customWidth="1"/>
    <col min="2902" max="2905" width="16.6640625" style="437" customWidth="1"/>
    <col min="2906" max="2906" width="2.77734375" style="437" customWidth="1"/>
    <col min="2907" max="2907" width="20.6640625" style="437" customWidth="1"/>
    <col min="2908" max="2911" width="16.6640625" style="437" customWidth="1"/>
    <col min="2912" max="2912" width="2.6640625" style="437" customWidth="1"/>
    <col min="2913" max="2913" width="20.6640625" style="437" customWidth="1"/>
    <col min="2914" max="2917" width="16.6640625" style="437" customWidth="1"/>
    <col min="2918" max="2918" width="2.6640625" style="437" customWidth="1"/>
    <col min="2919" max="2919" width="20.6640625" style="437" customWidth="1"/>
    <col min="2920" max="2923" width="16.6640625" style="437" customWidth="1"/>
    <col min="2924" max="2924" width="2.6640625" style="437" customWidth="1"/>
    <col min="2925" max="2925" width="20.6640625" style="437" customWidth="1"/>
    <col min="2926" max="2929" width="16.6640625" style="437" customWidth="1"/>
    <col min="2930" max="2930" width="2.77734375" style="437" customWidth="1"/>
    <col min="2931" max="3029" width="9" style="437"/>
    <col min="3030" max="3030" width="2.6640625" style="437" customWidth="1"/>
    <col min="3031" max="3031" width="20.6640625" style="437" customWidth="1"/>
    <col min="3032" max="3035" width="16.6640625" style="437" customWidth="1"/>
    <col min="3036" max="3036" width="2.6640625" style="437" customWidth="1"/>
    <col min="3037" max="3037" width="20.6640625" style="437" customWidth="1"/>
    <col min="3038" max="3041" width="16.6640625" style="437" customWidth="1"/>
    <col min="3042" max="3042" width="4" style="437" customWidth="1"/>
    <col min="3043" max="3043" width="20.6640625" style="437" customWidth="1"/>
    <col min="3044" max="3047" width="16.6640625" style="437" customWidth="1"/>
    <col min="3048" max="3048" width="2.6640625" style="437" customWidth="1"/>
    <col min="3049" max="3049" width="20.6640625" style="437" customWidth="1"/>
    <col min="3050" max="3053" width="16.6640625" style="437" customWidth="1"/>
    <col min="3054" max="3054" width="2.6640625" style="437" customWidth="1"/>
    <col min="3055" max="3055" width="20.6640625" style="437" customWidth="1"/>
    <col min="3056" max="3059" width="16.6640625" style="437" customWidth="1"/>
    <col min="3060" max="3060" width="2.6640625" style="437" customWidth="1"/>
    <col min="3061" max="3061" width="20.6640625" style="437" customWidth="1"/>
    <col min="3062" max="3065" width="16.6640625" style="437" customWidth="1"/>
    <col min="3066" max="3066" width="2.6640625" style="437" customWidth="1"/>
    <col min="3067" max="3067" width="20.6640625" style="437" customWidth="1"/>
    <col min="3068" max="3071" width="16.6640625" style="437" customWidth="1"/>
    <col min="3072" max="3072" width="2.6640625" style="437" customWidth="1"/>
    <col min="3073" max="3073" width="20.6640625" style="437" customWidth="1"/>
    <col min="3074" max="3077" width="16.6640625" style="437" customWidth="1"/>
    <col min="3078" max="3078" width="2.6640625" style="437" customWidth="1"/>
    <col min="3079" max="3079" width="20.6640625" style="437" customWidth="1"/>
    <col min="3080" max="3083" width="16.6640625" style="437" customWidth="1"/>
    <col min="3084" max="3084" width="3.77734375" style="437" customWidth="1"/>
    <col min="3085" max="3085" width="20.6640625" style="437" customWidth="1"/>
    <col min="3086" max="3089" width="16.6640625" style="437" customWidth="1"/>
    <col min="3090" max="3090" width="2.6640625" style="437" customWidth="1"/>
    <col min="3091" max="3091" width="20.6640625" style="437" customWidth="1"/>
    <col min="3092" max="3095" width="16.6640625" style="437" customWidth="1"/>
    <col min="3096" max="3096" width="4" style="437" customWidth="1"/>
    <col min="3097" max="3097" width="20.6640625" style="437" customWidth="1"/>
    <col min="3098" max="3101" width="16.6640625" style="437" customWidth="1"/>
    <col min="3102" max="3102" width="2.6640625" style="437" customWidth="1"/>
    <col min="3103" max="3103" width="20.6640625" style="437" customWidth="1"/>
    <col min="3104" max="3107" width="16.6640625" style="437" customWidth="1"/>
    <col min="3108" max="3108" width="2.6640625" style="437" customWidth="1"/>
    <col min="3109" max="3109" width="20.6640625" style="437" customWidth="1"/>
    <col min="3110" max="3113" width="16.6640625" style="437" customWidth="1"/>
    <col min="3114" max="3114" width="2.6640625" style="437" customWidth="1"/>
    <col min="3115" max="3115" width="20.6640625" style="437" customWidth="1"/>
    <col min="3116" max="3119" width="16.6640625" style="437" customWidth="1"/>
    <col min="3120" max="3120" width="2.6640625" style="437" customWidth="1"/>
    <col min="3121" max="3121" width="20.6640625" style="437" customWidth="1"/>
    <col min="3122" max="3125" width="16.6640625" style="437" customWidth="1"/>
    <col min="3126" max="3126" width="2.6640625" style="437" customWidth="1"/>
    <col min="3127" max="3127" width="20.6640625" style="437" customWidth="1"/>
    <col min="3128" max="3131" width="16.6640625" style="437" customWidth="1"/>
    <col min="3132" max="3132" width="2.6640625" style="437" customWidth="1"/>
    <col min="3133" max="3133" width="20.6640625" style="437" customWidth="1"/>
    <col min="3134" max="3137" width="16.6640625" style="437" customWidth="1"/>
    <col min="3138" max="3138" width="2.6640625" style="437" customWidth="1"/>
    <col min="3139" max="3139" width="20.6640625" style="437" customWidth="1"/>
    <col min="3140" max="3143" width="16.6640625" style="437" customWidth="1"/>
    <col min="3144" max="3144" width="2.6640625" style="437" customWidth="1"/>
    <col min="3145" max="3145" width="20.6640625" style="437" customWidth="1"/>
    <col min="3146" max="3149" width="16.6640625" style="437" customWidth="1"/>
    <col min="3150" max="3150" width="2.6640625" style="437" customWidth="1"/>
    <col min="3151" max="3151" width="20.6640625" style="437" customWidth="1"/>
    <col min="3152" max="3155" width="16.6640625" style="437" customWidth="1"/>
    <col min="3156" max="3156" width="2.6640625" style="437" customWidth="1"/>
    <col min="3157" max="3157" width="20.6640625" style="437" customWidth="1"/>
    <col min="3158" max="3161" width="16.6640625" style="437" customWidth="1"/>
    <col min="3162" max="3162" width="2.77734375" style="437" customWidth="1"/>
    <col min="3163" max="3163" width="20.6640625" style="437" customWidth="1"/>
    <col min="3164" max="3167" width="16.6640625" style="437" customWidth="1"/>
    <col min="3168" max="3168" width="2.6640625" style="437" customWidth="1"/>
    <col min="3169" max="3169" width="20.6640625" style="437" customWidth="1"/>
    <col min="3170" max="3173" width="16.6640625" style="437" customWidth="1"/>
    <col min="3174" max="3174" width="2.6640625" style="437" customWidth="1"/>
    <col min="3175" max="3175" width="20.6640625" style="437" customWidth="1"/>
    <col min="3176" max="3179" width="16.6640625" style="437" customWidth="1"/>
    <col min="3180" max="3180" width="2.6640625" style="437" customWidth="1"/>
    <col min="3181" max="3181" width="20.6640625" style="437" customWidth="1"/>
    <col min="3182" max="3185" width="16.6640625" style="437" customWidth="1"/>
    <col min="3186" max="3186" width="2.77734375" style="437" customWidth="1"/>
    <col min="3187" max="3285" width="9" style="437"/>
    <col min="3286" max="3286" width="2.6640625" style="437" customWidth="1"/>
    <col min="3287" max="3287" width="20.6640625" style="437" customWidth="1"/>
    <col min="3288" max="3291" width="16.6640625" style="437" customWidth="1"/>
    <col min="3292" max="3292" width="2.6640625" style="437" customWidth="1"/>
    <col min="3293" max="3293" width="20.6640625" style="437" customWidth="1"/>
    <col min="3294" max="3297" width="16.6640625" style="437" customWidth="1"/>
    <col min="3298" max="3298" width="4" style="437" customWidth="1"/>
    <col min="3299" max="3299" width="20.6640625" style="437" customWidth="1"/>
    <col min="3300" max="3303" width="16.6640625" style="437" customWidth="1"/>
    <col min="3304" max="3304" width="2.6640625" style="437" customWidth="1"/>
    <col min="3305" max="3305" width="20.6640625" style="437" customWidth="1"/>
    <col min="3306" max="3309" width="16.6640625" style="437" customWidth="1"/>
    <col min="3310" max="3310" width="2.6640625" style="437" customWidth="1"/>
    <col min="3311" max="3311" width="20.6640625" style="437" customWidth="1"/>
    <col min="3312" max="3315" width="16.6640625" style="437" customWidth="1"/>
    <col min="3316" max="3316" width="2.6640625" style="437" customWidth="1"/>
    <col min="3317" max="3317" width="20.6640625" style="437" customWidth="1"/>
    <col min="3318" max="3321" width="16.6640625" style="437" customWidth="1"/>
    <col min="3322" max="3322" width="2.6640625" style="437" customWidth="1"/>
    <col min="3323" max="3323" width="20.6640625" style="437" customWidth="1"/>
    <col min="3324" max="3327" width="16.6640625" style="437" customWidth="1"/>
    <col min="3328" max="3328" width="2.6640625" style="437" customWidth="1"/>
    <col min="3329" max="3329" width="20.6640625" style="437" customWidth="1"/>
    <col min="3330" max="3333" width="16.6640625" style="437" customWidth="1"/>
    <col min="3334" max="3334" width="2.6640625" style="437" customWidth="1"/>
    <col min="3335" max="3335" width="20.6640625" style="437" customWidth="1"/>
    <col min="3336" max="3339" width="16.6640625" style="437" customWidth="1"/>
    <col min="3340" max="3340" width="3.77734375" style="437" customWidth="1"/>
    <col min="3341" max="3341" width="20.6640625" style="437" customWidth="1"/>
    <col min="3342" max="3345" width="16.6640625" style="437" customWidth="1"/>
    <col min="3346" max="3346" width="2.6640625" style="437" customWidth="1"/>
    <col min="3347" max="3347" width="20.6640625" style="437" customWidth="1"/>
    <col min="3348" max="3351" width="16.6640625" style="437" customWidth="1"/>
    <col min="3352" max="3352" width="4" style="437" customWidth="1"/>
    <col min="3353" max="3353" width="20.6640625" style="437" customWidth="1"/>
    <col min="3354" max="3357" width="16.6640625" style="437" customWidth="1"/>
    <col min="3358" max="3358" width="2.6640625" style="437" customWidth="1"/>
    <col min="3359" max="3359" width="20.6640625" style="437" customWidth="1"/>
    <col min="3360" max="3363" width="16.6640625" style="437" customWidth="1"/>
    <col min="3364" max="3364" width="2.6640625" style="437" customWidth="1"/>
    <col min="3365" max="3365" width="20.6640625" style="437" customWidth="1"/>
    <col min="3366" max="3369" width="16.6640625" style="437" customWidth="1"/>
    <col min="3370" max="3370" width="2.6640625" style="437" customWidth="1"/>
    <col min="3371" max="3371" width="20.6640625" style="437" customWidth="1"/>
    <col min="3372" max="3375" width="16.6640625" style="437" customWidth="1"/>
    <col min="3376" max="3376" width="2.6640625" style="437" customWidth="1"/>
    <col min="3377" max="3377" width="20.6640625" style="437" customWidth="1"/>
    <col min="3378" max="3381" width="16.6640625" style="437" customWidth="1"/>
    <col min="3382" max="3382" width="2.6640625" style="437" customWidth="1"/>
    <col min="3383" max="3383" width="20.6640625" style="437" customWidth="1"/>
    <col min="3384" max="3387" width="16.6640625" style="437" customWidth="1"/>
    <col min="3388" max="3388" width="2.6640625" style="437" customWidth="1"/>
    <col min="3389" max="3389" width="20.6640625" style="437" customWidth="1"/>
    <col min="3390" max="3393" width="16.6640625" style="437" customWidth="1"/>
    <col min="3394" max="3394" width="2.6640625" style="437" customWidth="1"/>
    <col min="3395" max="3395" width="20.6640625" style="437" customWidth="1"/>
    <col min="3396" max="3399" width="16.6640625" style="437" customWidth="1"/>
    <col min="3400" max="3400" width="2.6640625" style="437" customWidth="1"/>
    <col min="3401" max="3401" width="20.6640625" style="437" customWidth="1"/>
    <col min="3402" max="3405" width="16.6640625" style="437" customWidth="1"/>
    <col min="3406" max="3406" width="2.6640625" style="437" customWidth="1"/>
    <col min="3407" max="3407" width="20.6640625" style="437" customWidth="1"/>
    <col min="3408" max="3411" width="16.6640625" style="437" customWidth="1"/>
    <col min="3412" max="3412" width="2.6640625" style="437" customWidth="1"/>
    <col min="3413" max="3413" width="20.6640625" style="437" customWidth="1"/>
    <col min="3414" max="3417" width="16.6640625" style="437" customWidth="1"/>
    <col min="3418" max="3418" width="2.77734375" style="437" customWidth="1"/>
    <col min="3419" max="3419" width="20.6640625" style="437" customWidth="1"/>
    <col min="3420" max="3423" width="16.6640625" style="437" customWidth="1"/>
    <col min="3424" max="3424" width="2.6640625" style="437" customWidth="1"/>
    <col min="3425" max="3425" width="20.6640625" style="437" customWidth="1"/>
    <col min="3426" max="3429" width="16.6640625" style="437" customWidth="1"/>
    <col min="3430" max="3430" width="2.6640625" style="437" customWidth="1"/>
    <col min="3431" max="3431" width="20.6640625" style="437" customWidth="1"/>
    <col min="3432" max="3435" width="16.6640625" style="437" customWidth="1"/>
    <col min="3436" max="3436" width="2.6640625" style="437" customWidth="1"/>
    <col min="3437" max="3437" width="20.6640625" style="437" customWidth="1"/>
    <col min="3438" max="3441" width="16.6640625" style="437" customWidth="1"/>
    <col min="3442" max="3442" width="2.77734375" style="437" customWidth="1"/>
    <col min="3443" max="3541" width="9" style="437"/>
    <col min="3542" max="3542" width="2.6640625" style="437" customWidth="1"/>
    <col min="3543" max="3543" width="20.6640625" style="437" customWidth="1"/>
    <col min="3544" max="3547" width="16.6640625" style="437" customWidth="1"/>
    <col min="3548" max="3548" width="2.6640625" style="437" customWidth="1"/>
    <col min="3549" max="3549" width="20.6640625" style="437" customWidth="1"/>
    <col min="3550" max="3553" width="16.6640625" style="437" customWidth="1"/>
    <col min="3554" max="3554" width="4" style="437" customWidth="1"/>
    <col min="3555" max="3555" width="20.6640625" style="437" customWidth="1"/>
    <col min="3556" max="3559" width="16.6640625" style="437" customWidth="1"/>
    <col min="3560" max="3560" width="2.6640625" style="437" customWidth="1"/>
    <col min="3561" max="3561" width="20.6640625" style="437" customWidth="1"/>
    <col min="3562" max="3565" width="16.6640625" style="437" customWidth="1"/>
    <col min="3566" max="3566" width="2.6640625" style="437" customWidth="1"/>
    <col min="3567" max="3567" width="20.6640625" style="437" customWidth="1"/>
    <col min="3568" max="3571" width="16.6640625" style="437" customWidth="1"/>
    <col min="3572" max="3572" width="2.6640625" style="437" customWidth="1"/>
    <col min="3573" max="3573" width="20.6640625" style="437" customWidth="1"/>
    <col min="3574" max="3577" width="16.6640625" style="437" customWidth="1"/>
    <col min="3578" max="3578" width="2.6640625" style="437" customWidth="1"/>
    <col min="3579" max="3579" width="20.6640625" style="437" customWidth="1"/>
    <col min="3580" max="3583" width="16.6640625" style="437" customWidth="1"/>
    <col min="3584" max="3584" width="2.6640625" style="437" customWidth="1"/>
    <col min="3585" max="3585" width="20.6640625" style="437" customWidth="1"/>
    <col min="3586" max="3589" width="16.6640625" style="437" customWidth="1"/>
    <col min="3590" max="3590" width="2.6640625" style="437" customWidth="1"/>
    <col min="3591" max="3591" width="20.6640625" style="437" customWidth="1"/>
    <col min="3592" max="3595" width="16.6640625" style="437" customWidth="1"/>
    <col min="3596" max="3596" width="3.77734375" style="437" customWidth="1"/>
    <col min="3597" max="3597" width="20.6640625" style="437" customWidth="1"/>
    <col min="3598" max="3601" width="16.6640625" style="437" customWidth="1"/>
    <col min="3602" max="3602" width="2.6640625" style="437" customWidth="1"/>
    <col min="3603" max="3603" width="20.6640625" style="437" customWidth="1"/>
    <col min="3604" max="3607" width="16.6640625" style="437" customWidth="1"/>
    <col min="3608" max="3608" width="4" style="437" customWidth="1"/>
    <col min="3609" max="3609" width="20.6640625" style="437" customWidth="1"/>
    <col min="3610" max="3613" width="16.6640625" style="437" customWidth="1"/>
    <col min="3614" max="3614" width="2.6640625" style="437" customWidth="1"/>
    <col min="3615" max="3615" width="20.6640625" style="437" customWidth="1"/>
    <col min="3616" max="3619" width="16.6640625" style="437" customWidth="1"/>
    <col min="3620" max="3620" width="2.6640625" style="437" customWidth="1"/>
    <col min="3621" max="3621" width="20.6640625" style="437" customWidth="1"/>
    <col min="3622" max="3625" width="16.6640625" style="437" customWidth="1"/>
    <col min="3626" max="3626" width="2.6640625" style="437" customWidth="1"/>
    <col min="3627" max="3627" width="20.6640625" style="437" customWidth="1"/>
    <col min="3628" max="3631" width="16.6640625" style="437" customWidth="1"/>
    <col min="3632" max="3632" width="2.6640625" style="437" customWidth="1"/>
    <col min="3633" max="3633" width="20.6640625" style="437" customWidth="1"/>
    <col min="3634" max="3637" width="16.6640625" style="437" customWidth="1"/>
    <col min="3638" max="3638" width="2.6640625" style="437" customWidth="1"/>
    <col min="3639" max="3639" width="20.6640625" style="437" customWidth="1"/>
    <col min="3640" max="3643" width="16.6640625" style="437" customWidth="1"/>
    <col min="3644" max="3644" width="2.6640625" style="437" customWidth="1"/>
    <col min="3645" max="3645" width="20.6640625" style="437" customWidth="1"/>
    <col min="3646" max="3649" width="16.6640625" style="437" customWidth="1"/>
    <col min="3650" max="3650" width="2.6640625" style="437" customWidth="1"/>
    <col min="3651" max="3651" width="20.6640625" style="437" customWidth="1"/>
    <col min="3652" max="3655" width="16.6640625" style="437" customWidth="1"/>
    <col min="3656" max="3656" width="2.6640625" style="437" customWidth="1"/>
    <col min="3657" max="3657" width="20.6640625" style="437" customWidth="1"/>
    <col min="3658" max="3661" width="16.6640625" style="437" customWidth="1"/>
    <col min="3662" max="3662" width="2.6640625" style="437" customWidth="1"/>
    <col min="3663" max="3663" width="20.6640625" style="437" customWidth="1"/>
    <col min="3664" max="3667" width="16.6640625" style="437" customWidth="1"/>
    <col min="3668" max="3668" width="2.6640625" style="437" customWidth="1"/>
    <col min="3669" max="3669" width="20.6640625" style="437" customWidth="1"/>
    <col min="3670" max="3673" width="16.6640625" style="437" customWidth="1"/>
    <col min="3674" max="3674" width="2.77734375" style="437" customWidth="1"/>
    <col min="3675" max="3675" width="20.6640625" style="437" customWidth="1"/>
    <col min="3676" max="3679" width="16.6640625" style="437" customWidth="1"/>
    <col min="3680" max="3680" width="2.6640625" style="437" customWidth="1"/>
    <col min="3681" max="3681" width="20.6640625" style="437" customWidth="1"/>
    <col min="3682" max="3685" width="16.6640625" style="437" customWidth="1"/>
    <col min="3686" max="3686" width="2.6640625" style="437" customWidth="1"/>
    <col min="3687" max="3687" width="20.6640625" style="437" customWidth="1"/>
    <col min="3688" max="3691" width="16.6640625" style="437" customWidth="1"/>
    <col min="3692" max="3692" width="2.6640625" style="437" customWidth="1"/>
    <col min="3693" max="3693" width="20.6640625" style="437" customWidth="1"/>
    <col min="3694" max="3697" width="16.6640625" style="437" customWidth="1"/>
    <col min="3698" max="3698" width="2.77734375" style="437" customWidth="1"/>
    <col min="3699" max="3797" width="9" style="437"/>
    <col min="3798" max="3798" width="2.6640625" style="437" customWidth="1"/>
    <col min="3799" max="3799" width="20.6640625" style="437" customWidth="1"/>
    <col min="3800" max="3803" width="16.6640625" style="437" customWidth="1"/>
    <col min="3804" max="3804" width="2.6640625" style="437" customWidth="1"/>
    <col min="3805" max="3805" width="20.6640625" style="437" customWidth="1"/>
    <col min="3806" max="3809" width="16.6640625" style="437" customWidth="1"/>
    <col min="3810" max="3810" width="4" style="437" customWidth="1"/>
    <col min="3811" max="3811" width="20.6640625" style="437" customWidth="1"/>
    <col min="3812" max="3815" width="16.6640625" style="437" customWidth="1"/>
    <col min="3816" max="3816" width="2.6640625" style="437" customWidth="1"/>
    <col min="3817" max="3817" width="20.6640625" style="437" customWidth="1"/>
    <col min="3818" max="3821" width="16.6640625" style="437" customWidth="1"/>
    <col min="3822" max="3822" width="2.6640625" style="437" customWidth="1"/>
    <col min="3823" max="3823" width="20.6640625" style="437" customWidth="1"/>
    <col min="3824" max="3827" width="16.6640625" style="437" customWidth="1"/>
    <col min="3828" max="3828" width="2.6640625" style="437" customWidth="1"/>
    <col min="3829" max="3829" width="20.6640625" style="437" customWidth="1"/>
    <col min="3830" max="3833" width="16.6640625" style="437" customWidth="1"/>
    <col min="3834" max="3834" width="2.6640625" style="437" customWidth="1"/>
    <col min="3835" max="3835" width="20.6640625" style="437" customWidth="1"/>
    <col min="3836" max="3839" width="16.6640625" style="437" customWidth="1"/>
    <col min="3840" max="3840" width="2.6640625" style="437" customWidth="1"/>
    <col min="3841" max="3841" width="20.6640625" style="437" customWidth="1"/>
    <col min="3842" max="3845" width="16.6640625" style="437" customWidth="1"/>
    <col min="3846" max="3846" width="2.6640625" style="437" customWidth="1"/>
    <col min="3847" max="3847" width="20.6640625" style="437" customWidth="1"/>
    <col min="3848" max="3851" width="16.6640625" style="437" customWidth="1"/>
    <col min="3852" max="3852" width="3.77734375" style="437" customWidth="1"/>
    <col min="3853" max="3853" width="20.6640625" style="437" customWidth="1"/>
    <col min="3854" max="3857" width="16.6640625" style="437" customWidth="1"/>
    <col min="3858" max="3858" width="2.6640625" style="437" customWidth="1"/>
    <col min="3859" max="3859" width="20.6640625" style="437" customWidth="1"/>
    <col min="3860" max="3863" width="16.6640625" style="437" customWidth="1"/>
    <col min="3864" max="3864" width="4" style="437" customWidth="1"/>
    <col min="3865" max="3865" width="20.6640625" style="437" customWidth="1"/>
    <col min="3866" max="3869" width="16.6640625" style="437" customWidth="1"/>
    <col min="3870" max="3870" width="2.6640625" style="437" customWidth="1"/>
    <col min="3871" max="3871" width="20.6640625" style="437" customWidth="1"/>
    <col min="3872" max="3875" width="16.6640625" style="437" customWidth="1"/>
    <col min="3876" max="3876" width="2.6640625" style="437" customWidth="1"/>
    <col min="3877" max="3877" width="20.6640625" style="437" customWidth="1"/>
    <col min="3878" max="3881" width="16.6640625" style="437" customWidth="1"/>
    <col min="3882" max="3882" width="2.6640625" style="437" customWidth="1"/>
    <col min="3883" max="3883" width="20.6640625" style="437" customWidth="1"/>
    <col min="3884" max="3887" width="16.6640625" style="437" customWidth="1"/>
    <col min="3888" max="3888" width="2.6640625" style="437" customWidth="1"/>
    <col min="3889" max="3889" width="20.6640625" style="437" customWidth="1"/>
    <col min="3890" max="3893" width="16.6640625" style="437" customWidth="1"/>
    <col min="3894" max="3894" width="2.6640625" style="437" customWidth="1"/>
    <col min="3895" max="3895" width="20.6640625" style="437" customWidth="1"/>
    <col min="3896" max="3899" width="16.6640625" style="437" customWidth="1"/>
    <col min="3900" max="3900" width="2.6640625" style="437" customWidth="1"/>
    <col min="3901" max="3901" width="20.6640625" style="437" customWidth="1"/>
    <col min="3902" max="3905" width="16.6640625" style="437" customWidth="1"/>
    <col min="3906" max="3906" width="2.6640625" style="437" customWidth="1"/>
    <col min="3907" max="3907" width="20.6640625" style="437" customWidth="1"/>
    <col min="3908" max="3911" width="16.6640625" style="437" customWidth="1"/>
    <col min="3912" max="3912" width="2.6640625" style="437" customWidth="1"/>
    <col min="3913" max="3913" width="20.6640625" style="437" customWidth="1"/>
    <col min="3914" max="3917" width="16.6640625" style="437" customWidth="1"/>
    <col min="3918" max="3918" width="2.6640625" style="437" customWidth="1"/>
    <col min="3919" max="3919" width="20.6640625" style="437" customWidth="1"/>
    <col min="3920" max="3923" width="16.6640625" style="437" customWidth="1"/>
    <col min="3924" max="3924" width="2.6640625" style="437" customWidth="1"/>
    <col min="3925" max="3925" width="20.6640625" style="437" customWidth="1"/>
    <col min="3926" max="3929" width="16.6640625" style="437" customWidth="1"/>
    <col min="3930" max="3930" width="2.77734375" style="437" customWidth="1"/>
    <col min="3931" max="3931" width="20.6640625" style="437" customWidth="1"/>
    <col min="3932" max="3935" width="16.6640625" style="437" customWidth="1"/>
    <col min="3936" max="3936" width="2.6640625" style="437" customWidth="1"/>
    <col min="3937" max="3937" width="20.6640625" style="437" customWidth="1"/>
    <col min="3938" max="3941" width="16.6640625" style="437" customWidth="1"/>
    <col min="3942" max="3942" width="2.6640625" style="437" customWidth="1"/>
    <col min="3943" max="3943" width="20.6640625" style="437" customWidth="1"/>
    <col min="3944" max="3947" width="16.6640625" style="437" customWidth="1"/>
    <col min="3948" max="3948" width="2.6640625" style="437" customWidth="1"/>
    <col min="3949" max="3949" width="20.6640625" style="437" customWidth="1"/>
    <col min="3950" max="3953" width="16.6640625" style="437" customWidth="1"/>
    <col min="3954" max="3954" width="2.77734375" style="437" customWidth="1"/>
    <col min="3955" max="4053" width="9" style="437"/>
    <col min="4054" max="4054" width="2.6640625" style="437" customWidth="1"/>
    <col min="4055" max="4055" width="20.6640625" style="437" customWidth="1"/>
    <col min="4056" max="4059" width="16.6640625" style="437" customWidth="1"/>
    <col min="4060" max="4060" width="2.6640625" style="437" customWidth="1"/>
    <col min="4061" max="4061" width="20.6640625" style="437" customWidth="1"/>
    <col min="4062" max="4065" width="16.6640625" style="437" customWidth="1"/>
    <col min="4066" max="4066" width="4" style="437" customWidth="1"/>
    <col min="4067" max="4067" width="20.6640625" style="437" customWidth="1"/>
    <col min="4068" max="4071" width="16.6640625" style="437" customWidth="1"/>
    <col min="4072" max="4072" width="2.6640625" style="437" customWidth="1"/>
    <col min="4073" max="4073" width="20.6640625" style="437" customWidth="1"/>
    <col min="4074" max="4077" width="16.6640625" style="437" customWidth="1"/>
    <col min="4078" max="4078" width="2.6640625" style="437" customWidth="1"/>
    <col min="4079" max="4079" width="20.6640625" style="437" customWidth="1"/>
    <col min="4080" max="4083" width="16.6640625" style="437" customWidth="1"/>
    <col min="4084" max="4084" width="2.6640625" style="437" customWidth="1"/>
    <col min="4085" max="4085" width="20.6640625" style="437" customWidth="1"/>
    <col min="4086" max="4089" width="16.6640625" style="437" customWidth="1"/>
    <col min="4090" max="4090" width="2.6640625" style="437" customWidth="1"/>
    <col min="4091" max="4091" width="20.6640625" style="437" customWidth="1"/>
    <col min="4092" max="4095" width="16.6640625" style="437" customWidth="1"/>
    <col min="4096" max="4096" width="2.6640625" style="437" customWidth="1"/>
    <col min="4097" max="4097" width="20.6640625" style="437" customWidth="1"/>
    <col min="4098" max="4101" width="16.6640625" style="437" customWidth="1"/>
    <col min="4102" max="4102" width="2.6640625" style="437" customWidth="1"/>
    <col min="4103" max="4103" width="20.6640625" style="437" customWidth="1"/>
    <col min="4104" max="4107" width="16.6640625" style="437" customWidth="1"/>
    <col min="4108" max="4108" width="3.77734375" style="437" customWidth="1"/>
    <col min="4109" max="4109" width="20.6640625" style="437" customWidth="1"/>
    <col min="4110" max="4113" width="16.6640625" style="437" customWidth="1"/>
    <col min="4114" max="4114" width="2.6640625" style="437" customWidth="1"/>
    <col min="4115" max="4115" width="20.6640625" style="437" customWidth="1"/>
    <col min="4116" max="4119" width="16.6640625" style="437" customWidth="1"/>
    <col min="4120" max="4120" width="4" style="437" customWidth="1"/>
    <col min="4121" max="4121" width="20.6640625" style="437" customWidth="1"/>
    <col min="4122" max="4125" width="16.6640625" style="437" customWidth="1"/>
    <col min="4126" max="4126" width="2.6640625" style="437" customWidth="1"/>
    <col min="4127" max="4127" width="20.6640625" style="437" customWidth="1"/>
    <col min="4128" max="4131" width="16.6640625" style="437" customWidth="1"/>
    <col min="4132" max="4132" width="2.6640625" style="437" customWidth="1"/>
    <col min="4133" max="4133" width="20.6640625" style="437" customWidth="1"/>
    <col min="4134" max="4137" width="16.6640625" style="437" customWidth="1"/>
    <col min="4138" max="4138" width="2.6640625" style="437" customWidth="1"/>
    <col min="4139" max="4139" width="20.6640625" style="437" customWidth="1"/>
    <col min="4140" max="4143" width="16.6640625" style="437" customWidth="1"/>
    <col min="4144" max="4144" width="2.6640625" style="437" customWidth="1"/>
    <col min="4145" max="4145" width="20.6640625" style="437" customWidth="1"/>
    <col min="4146" max="4149" width="16.6640625" style="437" customWidth="1"/>
    <col min="4150" max="4150" width="2.6640625" style="437" customWidth="1"/>
    <col min="4151" max="4151" width="20.6640625" style="437" customWidth="1"/>
    <col min="4152" max="4155" width="16.6640625" style="437" customWidth="1"/>
    <col min="4156" max="4156" width="2.6640625" style="437" customWidth="1"/>
    <col min="4157" max="4157" width="20.6640625" style="437" customWidth="1"/>
    <col min="4158" max="4161" width="16.6640625" style="437" customWidth="1"/>
    <col min="4162" max="4162" width="2.6640625" style="437" customWidth="1"/>
    <col min="4163" max="4163" width="20.6640625" style="437" customWidth="1"/>
    <col min="4164" max="4167" width="16.6640625" style="437" customWidth="1"/>
    <col min="4168" max="4168" width="2.6640625" style="437" customWidth="1"/>
    <col min="4169" max="4169" width="20.6640625" style="437" customWidth="1"/>
    <col min="4170" max="4173" width="16.6640625" style="437" customWidth="1"/>
    <col min="4174" max="4174" width="2.6640625" style="437" customWidth="1"/>
    <col min="4175" max="4175" width="20.6640625" style="437" customWidth="1"/>
    <col min="4176" max="4179" width="16.6640625" style="437" customWidth="1"/>
    <col min="4180" max="4180" width="2.6640625" style="437" customWidth="1"/>
    <col min="4181" max="4181" width="20.6640625" style="437" customWidth="1"/>
    <col min="4182" max="4185" width="16.6640625" style="437" customWidth="1"/>
    <col min="4186" max="4186" width="2.77734375" style="437" customWidth="1"/>
    <col min="4187" max="4187" width="20.6640625" style="437" customWidth="1"/>
    <col min="4188" max="4191" width="16.6640625" style="437" customWidth="1"/>
    <col min="4192" max="4192" width="2.6640625" style="437" customWidth="1"/>
    <col min="4193" max="4193" width="20.6640625" style="437" customWidth="1"/>
    <col min="4194" max="4197" width="16.6640625" style="437" customWidth="1"/>
    <col min="4198" max="4198" width="2.6640625" style="437" customWidth="1"/>
    <col min="4199" max="4199" width="20.6640625" style="437" customWidth="1"/>
    <col min="4200" max="4203" width="16.6640625" style="437" customWidth="1"/>
    <col min="4204" max="4204" width="2.6640625" style="437" customWidth="1"/>
    <col min="4205" max="4205" width="20.6640625" style="437" customWidth="1"/>
    <col min="4206" max="4209" width="16.6640625" style="437" customWidth="1"/>
    <col min="4210" max="4210" width="2.77734375" style="437" customWidth="1"/>
    <col min="4211" max="4309" width="9" style="437"/>
    <col min="4310" max="4310" width="2.6640625" style="437" customWidth="1"/>
    <col min="4311" max="4311" width="20.6640625" style="437" customWidth="1"/>
    <col min="4312" max="4315" width="16.6640625" style="437" customWidth="1"/>
    <col min="4316" max="4316" width="2.6640625" style="437" customWidth="1"/>
    <col min="4317" max="4317" width="20.6640625" style="437" customWidth="1"/>
    <col min="4318" max="4321" width="16.6640625" style="437" customWidth="1"/>
    <col min="4322" max="4322" width="4" style="437" customWidth="1"/>
    <col min="4323" max="4323" width="20.6640625" style="437" customWidth="1"/>
    <col min="4324" max="4327" width="16.6640625" style="437" customWidth="1"/>
    <col min="4328" max="4328" width="2.6640625" style="437" customWidth="1"/>
    <col min="4329" max="4329" width="20.6640625" style="437" customWidth="1"/>
    <col min="4330" max="4333" width="16.6640625" style="437" customWidth="1"/>
    <col min="4334" max="4334" width="2.6640625" style="437" customWidth="1"/>
    <col min="4335" max="4335" width="20.6640625" style="437" customWidth="1"/>
    <col min="4336" max="4339" width="16.6640625" style="437" customWidth="1"/>
    <col min="4340" max="4340" width="2.6640625" style="437" customWidth="1"/>
    <col min="4341" max="4341" width="20.6640625" style="437" customWidth="1"/>
    <col min="4342" max="4345" width="16.6640625" style="437" customWidth="1"/>
    <col min="4346" max="4346" width="2.6640625" style="437" customWidth="1"/>
    <col min="4347" max="4347" width="20.6640625" style="437" customWidth="1"/>
    <col min="4348" max="4351" width="16.6640625" style="437" customWidth="1"/>
    <col min="4352" max="4352" width="2.6640625" style="437" customWidth="1"/>
    <col min="4353" max="4353" width="20.6640625" style="437" customWidth="1"/>
    <col min="4354" max="4357" width="16.6640625" style="437" customWidth="1"/>
    <col min="4358" max="4358" width="2.6640625" style="437" customWidth="1"/>
    <col min="4359" max="4359" width="20.6640625" style="437" customWidth="1"/>
    <col min="4360" max="4363" width="16.6640625" style="437" customWidth="1"/>
    <col min="4364" max="4364" width="3.77734375" style="437" customWidth="1"/>
    <col min="4365" max="4365" width="20.6640625" style="437" customWidth="1"/>
    <col min="4366" max="4369" width="16.6640625" style="437" customWidth="1"/>
    <col min="4370" max="4370" width="2.6640625" style="437" customWidth="1"/>
    <col min="4371" max="4371" width="20.6640625" style="437" customWidth="1"/>
    <col min="4372" max="4375" width="16.6640625" style="437" customWidth="1"/>
    <col min="4376" max="4376" width="4" style="437" customWidth="1"/>
    <col min="4377" max="4377" width="20.6640625" style="437" customWidth="1"/>
    <col min="4378" max="4381" width="16.6640625" style="437" customWidth="1"/>
    <col min="4382" max="4382" width="2.6640625" style="437" customWidth="1"/>
    <col min="4383" max="4383" width="20.6640625" style="437" customWidth="1"/>
    <col min="4384" max="4387" width="16.6640625" style="437" customWidth="1"/>
    <col min="4388" max="4388" width="2.6640625" style="437" customWidth="1"/>
    <col min="4389" max="4389" width="20.6640625" style="437" customWidth="1"/>
    <col min="4390" max="4393" width="16.6640625" style="437" customWidth="1"/>
    <col min="4394" max="4394" width="2.6640625" style="437" customWidth="1"/>
    <col min="4395" max="4395" width="20.6640625" style="437" customWidth="1"/>
    <col min="4396" max="4399" width="16.6640625" style="437" customWidth="1"/>
    <col min="4400" max="4400" width="2.6640625" style="437" customWidth="1"/>
    <col min="4401" max="4401" width="20.6640625" style="437" customWidth="1"/>
    <col min="4402" max="4405" width="16.6640625" style="437" customWidth="1"/>
    <col min="4406" max="4406" width="2.6640625" style="437" customWidth="1"/>
    <col min="4407" max="4407" width="20.6640625" style="437" customWidth="1"/>
    <col min="4408" max="4411" width="16.6640625" style="437" customWidth="1"/>
    <col min="4412" max="4412" width="2.6640625" style="437" customWidth="1"/>
    <col min="4413" max="4413" width="20.6640625" style="437" customWidth="1"/>
    <col min="4414" max="4417" width="16.6640625" style="437" customWidth="1"/>
    <col min="4418" max="4418" width="2.6640625" style="437" customWidth="1"/>
    <col min="4419" max="4419" width="20.6640625" style="437" customWidth="1"/>
    <col min="4420" max="4423" width="16.6640625" style="437" customWidth="1"/>
    <col min="4424" max="4424" width="2.6640625" style="437" customWidth="1"/>
    <col min="4425" max="4425" width="20.6640625" style="437" customWidth="1"/>
    <col min="4426" max="4429" width="16.6640625" style="437" customWidth="1"/>
    <col min="4430" max="4430" width="2.6640625" style="437" customWidth="1"/>
    <col min="4431" max="4431" width="20.6640625" style="437" customWidth="1"/>
    <col min="4432" max="4435" width="16.6640625" style="437" customWidth="1"/>
    <col min="4436" max="4436" width="2.6640625" style="437" customWidth="1"/>
    <col min="4437" max="4437" width="20.6640625" style="437" customWidth="1"/>
    <col min="4438" max="4441" width="16.6640625" style="437" customWidth="1"/>
    <col min="4442" max="4442" width="2.77734375" style="437" customWidth="1"/>
    <col min="4443" max="4443" width="20.6640625" style="437" customWidth="1"/>
    <col min="4444" max="4447" width="16.6640625" style="437" customWidth="1"/>
    <col min="4448" max="4448" width="2.6640625" style="437" customWidth="1"/>
    <col min="4449" max="4449" width="20.6640625" style="437" customWidth="1"/>
    <col min="4450" max="4453" width="16.6640625" style="437" customWidth="1"/>
    <col min="4454" max="4454" width="2.6640625" style="437" customWidth="1"/>
    <col min="4455" max="4455" width="20.6640625" style="437" customWidth="1"/>
    <col min="4456" max="4459" width="16.6640625" style="437" customWidth="1"/>
    <col min="4460" max="4460" width="2.6640625" style="437" customWidth="1"/>
    <col min="4461" max="4461" width="20.6640625" style="437" customWidth="1"/>
    <col min="4462" max="4465" width="16.6640625" style="437" customWidth="1"/>
    <col min="4466" max="4466" width="2.77734375" style="437" customWidth="1"/>
    <col min="4467" max="4565" width="9" style="437"/>
    <col min="4566" max="4566" width="2.6640625" style="437" customWidth="1"/>
    <col min="4567" max="4567" width="20.6640625" style="437" customWidth="1"/>
    <col min="4568" max="4571" width="16.6640625" style="437" customWidth="1"/>
    <col min="4572" max="4572" width="2.6640625" style="437" customWidth="1"/>
    <col min="4573" max="4573" width="20.6640625" style="437" customWidth="1"/>
    <col min="4574" max="4577" width="16.6640625" style="437" customWidth="1"/>
    <col min="4578" max="4578" width="4" style="437" customWidth="1"/>
    <col min="4579" max="4579" width="20.6640625" style="437" customWidth="1"/>
    <col min="4580" max="4583" width="16.6640625" style="437" customWidth="1"/>
    <col min="4584" max="4584" width="2.6640625" style="437" customWidth="1"/>
    <col min="4585" max="4585" width="20.6640625" style="437" customWidth="1"/>
    <col min="4586" max="4589" width="16.6640625" style="437" customWidth="1"/>
    <col min="4590" max="4590" width="2.6640625" style="437" customWidth="1"/>
    <col min="4591" max="4591" width="20.6640625" style="437" customWidth="1"/>
    <col min="4592" max="4595" width="16.6640625" style="437" customWidth="1"/>
    <col min="4596" max="4596" width="2.6640625" style="437" customWidth="1"/>
    <col min="4597" max="4597" width="20.6640625" style="437" customWidth="1"/>
    <col min="4598" max="4601" width="16.6640625" style="437" customWidth="1"/>
    <col min="4602" max="4602" width="2.6640625" style="437" customWidth="1"/>
    <col min="4603" max="4603" width="20.6640625" style="437" customWidth="1"/>
    <col min="4604" max="4607" width="16.6640625" style="437" customWidth="1"/>
    <col min="4608" max="4608" width="2.6640625" style="437" customWidth="1"/>
    <col min="4609" max="4609" width="20.6640625" style="437" customWidth="1"/>
    <col min="4610" max="4613" width="16.6640625" style="437" customWidth="1"/>
    <col min="4614" max="4614" width="2.6640625" style="437" customWidth="1"/>
    <col min="4615" max="4615" width="20.6640625" style="437" customWidth="1"/>
    <col min="4616" max="4619" width="16.6640625" style="437" customWidth="1"/>
    <col min="4620" max="4620" width="3.77734375" style="437" customWidth="1"/>
    <col min="4621" max="4621" width="20.6640625" style="437" customWidth="1"/>
    <col min="4622" max="4625" width="16.6640625" style="437" customWidth="1"/>
    <col min="4626" max="4626" width="2.6640625" style="437" customWidth="1"/>
    <col min="4627" max="4627" width="20.6640625" style="437" customWidth="1"/>
    <col min="4628" max="4631" width="16.6640625" style="437" customWidth="1"/>
    <col min="4632" max="4632" width="4" style="437" customWidth="1"/>
    <col min="4633" max="4633" width="20.6640625" style="437" customWidth="1"/>
    <col min="4634" max="4637" width="16.6640625" style="437" customWidth="1"/>
    <col min="4638" max="4638" width="2.6640625" style="437" customWidth="1"/>
    <col min="4639" max="4639" width="20.6640625" style="437" customWidth="1"/>
    <col min="4640" max="4643" width="16.6640625" style="437" customWidth="1"/>
    <col min="4644" max="4644" width="2.6640625" style="437" customWidth="1"/>
    <col min="4645" max="4645" width="20.6640625" style="437" customWidth="1"/>
    <col min="4646" max="4649" width="16.6640625" style="437" customWidth="1"/>
    <col min="4650" max="4650" width="2.6640625" style="437" customWidth="1"/>
    <col min="4651" max="4651" width="20.6640625" style="437" customWidth="1"/>
    <col min="4652" max="4655" width="16.6640625" style="437" customWidth="1"/>
    <col min="4656" max="4656" width="2.6640625" style="437" customWidth="1"/>
    <col min="4657" max="4657" width="20.6640625" style="437" customWidth="1"/>
    <col min="4658" max="4661" width="16.6640625" style="437" customWidth="1"/>
    <col min="4662" max="4662" width="2.6640625" style="437" customWidth="1"/>
    <col min="4663" max="4663" width="20.6640625" style="437" customWidth="1"/>
    <col min="4664" max="4667" width="16.6640625" style="437" customWidth="1"/>
    <col min="4668" max="4668" width="2.6640625" style="437" customWidth="1"/>
    <col min="4669" max="4669" width="20.6640625" style="437" customWidth="1"/>
    <col min="4670" max="4673" width="16.6640625" style="437" customWidth="1"/>
    <col min="4674" max="4674" width="2.6640625" style="437" customWidth="1"/>
    <col min="4675" max="4675" width="20.6640625" style="437" customWidth="1"/>
    <col min="4676" max="4679" width="16.6640625" style="437" customWidth="1"/>
    <col min="4680" max="4680" width="2.6640625" style="437" customWidth="1"/>
    <col min="4681" max="4681" width="20.6640625" style="437" customWidth="1"/>
    <col min="4682" max="4685" width="16.6640625" style="437" customWidth="1"/>
    <col min="4686" max="4686" width="2.6640625" style="437" customWidth="1"/>
    <col min="4687" max="4687" width="20.6640625" style="437" customWidth="1"/>
    <col min="4688" max="4691" width="16.6640625" style="437" customWidth="1"/>
    <col min="4692" max="4692" width="2.6640625" style="437" customWidth="1"/>
    <col min="4693" max="4693" width="20.6640625" style="437" customWidth="1"/>
    <col min="4694" max="4697" width="16.6640625" style="437" customWidth="1"/>
    <col min="4698" max="4698" width="2.77734375" style="437" customWidth="1"/>
    <col min="4699" max="4699" width="20.6640625" style="437" customWidth="1"/>
    <col min="4700" max="4703" width="16.6640625" style="437" customWidth="1"/>
    <col min="4704" max="4704" width="2.6640625" style="437" customWidth="1"/>
    <col min="4705" max="4705" width="20.6640625" style="437" customWidth="1"/>
    <col min="4706" max="4709" width="16.6640625" style="437" customWidth="1"/>
    <col min="4710" max="4710" width="2.6640625" style="437" customWidth="1"/>
    <col min="4711" max="4711" width="20.6640625" style="437" customWidth="1"/>
    <col min="4712" max="4715" width="16.6640625" style="437" customWidth="1"/>
    <col min="4716" max="4716" width="2.6640625" style="437" customWidth="1"/>
    <col min="4717" max="4717" width="20.6640625" style="437" customWidth="1"/>
    <col min="4718" max="4721" width="16.6640625" style="437" customWidth="1"/>
    <col min="4722" max="4722" width="2.77734375" style="437" customWidth="1"/>
    <col min="4723" max="4821" width="9" style="437"/>
    <col min="4822" max="4822" width="2.6640625" style="437" customWidth="1"/>
    <col min="4823" max="4823" width="20.6640625" style="437" customWidth="1"/>
    <col min="4824" max="4827" width="16.6640625" style="437" customWidth="1"/>
    <col min="4828" max="4828" width="2.6640625" style="437" customWidth="1"/>
    <col min="4829" max="4829" width="20.6640625" style="437" customWidth="1"/>
    <col min="4830" max="4833" width="16.6640625" style="437" customWidth="1"/>
    <col min="4834" max="4834" width="4" style="437" customWidth="1"/>
    <col min="4835" max="4835" width="20.6640625" style="437" customWidth="1"/>
    <col min="4836" max="4839" width="16.6640625" style="437" customWidth="1"/>
    <col min="4840" max="4840" width="2.6640625" style="437" customWidth="1"/>
    <col min="4841" max="4841" width="20.6640625" style="437" customWidth="1"/>
    <col min="4842" max="4845" width="16.6640625" style="437" customWidth="1"/>
    <col min="4846" max="4846" width="2.6640625" style="437" customWidth="1"/>
    <col min="4847" max="4847" width="20.6640625" style="437" customWidth="1"/>
    <col min="4848" max="4851" width="16.6640625" style="437" customWidth="1"/>
    <col min="4852" max="4852" width="2.6640625" style="437" customWidth="1"/>
    <col min="4853" max="4853" width="20.6640625" style="437" customWidth="1"/>
    <col min="4854" max="4857" width="16.6640625" style="437" customWidth="1"/>
    <col min="4858" max="4858" width="2.6640625" style="437" customWidth="1"/>
    <col min="4859" max="4859" width="20.6640625" style="437" customWidth="1"/>
    <col min="4860" max="4863" width="16.6640625" style="437" customWidth="1"/>
    <col min="4864" max="4864" width="2.6640625" style="437" customWidth="1"/>
    <col min="4865" max="4865" width="20.6640625" style="437" customWidth="1"/>
    <col min="4866" max="4869" width="16.6640625" style="437" customWidth="1"/>
    <col min="4870" max="4870" width="2.6640625" style="437" customWidth="1"/>
    <col min="4871" max="4871" width="20.6640625" style="437" customWidth="1"/>
    <col min="4872" max="4875" width="16.6640625" style="437" customWidth="1"/>
    <col min="4876" max="4876" width="3.77734375" style="437" customWidth="1"/>
    <col min="4877" max="4877" width="20.6640625" style="437" customWidth="1"/>
    <col min="4878" max="4881" width="16.6640625" style="437" customWidth="1"/>
    <col min="4882" max="4882" width="2.6640625" style="437" customWidth="1"/>
    <col min="4883" max="4883" width="20.6640625" style="437" customWidth="1"/>
    <col min="4884" max="4887" width="16.6640625" style="437" customWidth="1"/>
    <col min="4888" max="4888" width="4" style="437" customWidth="1"/>
    <col min="4889" max="4889" width="20.6640625" style="437" customWidth="1"/>
    <col min="4890" max="4893" width="16.6640625" style="437" customWidth="1"/>
    <col min="4894" max="4894" width="2.6640625" style="437" customWidth="1"/>
    <col min="4895" max="4895" width="20.6640625" style="437" customWidth="1"/>
    <col min="4896" max="4899" width="16.6640625" style="437" customWidth="1"/>
    <col min="4900" max="4900" width="2.6640625" style="437" customWidth="1"/>
    <col min="4901" max="4901" width="20.6640625" style="437" customWidth="1"/>
    <col min="4902" max="4905" width="16.6640625" style="437" customWidth="1"/>
    <col min="4906" max="4906" width="2.6640625" style="437" customWidth="1"/>
    <col min="4907" max="4907" width="20.6640625" style="437" customWidth="1"/>
    <col min="4908" max="4911" width="16.6640625" style="437" customWidth="1"/>
    <col min="4912" max="4912" width="2.6640625" style="437" customWidth="1"/>
    <col min="4913" max="4913" width="20.6640625" style="437" customWidth="1"/>
    <col min="4914" max="4917" width="16.6640625" style="437" customWidth="1"/>
    <col min="4918" max="4918" width="2.6640625" style="437" customWidth="1"/>
    <col min="4919" max="4919" width="20.6640625" style="437" customWidth="1"/>
    <col min="4920" max="4923" width="16.6640625" style="437" customWidth="1"/>
    <col min="4924" max="4924" width="2.6640625" style="437" customWidth="1"/>
    <col min="4925" max="4925" width="20.6640625" style="437" customWidth="1"/>
    <col min="4926" max="4929" width="16.6640625" style="437" customWidth="1"/>
    <col min="4930" max="4930" width="2.6640625" style="437" customWidth="1"/>
    <col min="4931" max="4931" width="20.6640625" style="437" customWidth="1"/>
    <col min="4932" max="4935" width="16.6640625" style="437" customWidth="1"/>
    <col min="4936" max="4936" width="2.6640625" style="437" customWidth="1"/>
    <col min="4937" max="4937" width="20.6640625" style="437" customWidth="1"/>
    <col min="4938" max="4941" width="16.6640625" style="437" customWidth="1"/>
    <col min="4942" max="4942" width="2.6640625" style="437" customWidth="1"/>
    <col min="4943" max="4943" width="20.6640625" style="437" customWidth="1"/>
    <col min="4944" max="4947" width="16.6640625" style="437" customWidth="1"/>
    <col min="4948" max="4948" width="2.6640625" style="437" customWidth="1"/>
    <col min="4949" max="4949" width="20.6640625" style="437" customWidth="1"/>
    <col min="4950" max="4953" width="16.6640625" style="437" customWidth="1"/>
    <col min="4954" max="4954" width="2.77734375" style="437" customWidth="1"/>
    <col min="4955" max="4955" width="20.6640625" style="437" customWidth="1"/>
    <col min="4956" max="4959" width="16.6640625" style="437" customWidth="1"/>
    <col min="4960" max="4960" width="2.6640625" style="437" customWidth="1"/>
    <col min="4961" max="4961" width="20.6640625" style="437" customWidth="1"/>
    <col min="4962" max="4965" width="16.6640625" style="437" customWidth="1"/>
    <col min="4966" max="4966" width="2.6640625" style="437" customWidth="1"/>
    <col min="4967" max="4967" width="20.6640625" style="437" customWidth="1"/>
    <col min="4968" max="4971" width="16.6640625" style="437" customWidth="1"/>
    <col min="4972" max="4972" width="2.6640625" style="437" customWidth="1"/>
    <col min="4973" max="4973" width="20.6640625" style="437" customWidth="1"/>
    <col min="4974" max="4977" width="16.6640625" style="437" customWidth="1"/>
    <col min="4978" max="4978" width="2.77734375" style="437" customWidth="1"/>
    <col min="4979" max="5077" width="9" style="437"/>
    <col min="5078" max="5078" width="2.6640625" style="437" customWidth="1"/>
    <col min="5079" max="5079" width="20.6640625" style="437" customWidth="1"/>
    <col min="5080" max="5083" width="16.6640625" style="437" customWidth="1"/>
    <col min="5084" max="5084" width="2.6640625" style="437" customWidth="1"/>
    <col min="5085" max="5085" width="20.6640625" style="437" customWidth="1"/>
    <col min="5086" max="5089" width="16.6640625" style="437" customWidth="1"/>
    <col min="5090" max="5090" width="4" style="437" customWidth="1"/>
    <col min="5091" max="5091" width="20.6640625" style="437" customWidth="1"/>
    <col min="5092" max="5095" width="16.6640625" style="437" customWidth="1"/>
    <col min="5096" max="5096" width="2.6640625" style="437" customWidth="1"/>
    <col min="5097" max="5097" width="20.6640625" style="437" customWidth="1"/>
    <col min="5098" max="5101" width="16.6640625" style="437" customWidth="1"/>
    <col min="5102" max="5102" width="2.6640625" style="437" customWidth="1"/>
    <col min="5103" max="5103" width="20.6640625" style="437" customWidth="1"/>
    <col min="5104" max="5107" width="16.6640625" style="437" customWidth="1"/>
    <col min="5108" max="5108" width="2.6640625" style="437" customWidth="1"/>
    <col min="5109" max="5109" width="20.6640625" style="437" customWidth="1"/>
    <col min="5110" max="5113" width="16.6640625" style="437" customWidth="1"/>
    <col min="5114" max="5114" width="2.6640625" style="437" customWidth="1"/>
    <col min="5115" max="5115" width="20.6640625" style="437" customWidth="1"/>
    <col min="5116" max="5119" width="16.6640625" style="437" customWidth="1"/>
    <col min="5120" max="5120" width="2.6640625" style="437" customWidth="1"/>
    <col min="5121" max="5121" width="20.6640625" style="437" customWidth="1"/>
    <col min="5122" max="5125" width="16.6640625" style="437" customWidth="1"/>
    <col min="5126" max="5126" width="2.6640625" style="437" customWidth="1"/>
    <col min="5127" max="5127" width="20.6640625" style="437" customWidth="1"/>
    <col min="5128" max="5131" width="16.6640625" style="437" customWidth="1"/>
    <col min="5132" max="5132" width="3.77734375" style="437" customWidth="1"/>
    <col min="5133" max="5133" width="20.6640625" style="437" customWidth="1"/>
    <col min="5134" max="5137" width="16.6640625" style="437" customWidth="1"/>
    <col min="5138" max="5138" width="2.6640625" style="437" customWidth="1"/>
    <col min="5139" max="5139" width="20.6640625" style="437" customWidth="1"/>
    <col min="5140" max="5143" width="16.6640625" style="437" customWidth="1"/>
    <col min="5144" max="5144" width="4" style="437" customWidth="1"/>
    <col min="5145" max="5145" width="20.6640625" style="437" customWidth="1"/>
    <col min="5146" max="5149" width="16.6640625" style="437" customWidth="1"/>
    <col min="5150" max="5150" width="2.6640625" style="437" customWidth="1"/>
    <col min="5151" max="5151" width="20.6640625" style="437" customWidth="1"/>
    <col min="5152" max="5155" width="16.6640625" style="437" customWidth="1"/>
    <col min="5156" max="5156" width="2.6640625" style="437" customWidth="1"/>
    <col min="5157" max="5157" width="20.6640625" style="437" customWidth="1"/>
    <col min="5158" max="5161" width="16.6640625" style="437" customWidth="1"/>
    <col min="5162" max="5162" width="2.6640625" style="437" customWidth="1"/>
    <col min="5163" max="5163" width="20.6640625" style="437" customWidth="1"/>
    <col min="5164" max="5167" width="16.6640625" style="437" customWidth="1"/>
    <col min="5168" max="5168" width="2.6640625" style="437" customWidth="1"/>
    <col min="5169" max="5169" width="20.6640625" style="437" customWidth="1"/>
    <col min="5170" max="5173" width="16.6640625" style="437" customWidth="1"/>
    <col min="5174" max="5174" width="2.6640625" style="437" customWidth="1"/>
    <col min="5175" max="5175" width="20.6640625" style="437" customWidth="1"/>
    <col min="5176" max="5179" width="16.6640625" style="437" customWidth="1"/>
    <col min="5180" max="5180" width="2.6640625" style="437" customWidth="1"/>
    <col min="5181" max="5181" width="20.6640625" style="437" customWidth="1"/>
    <col min="5182" max="5185" width="16.6640625" style="437" customWidth="1"/>
    <col min="5186" max="5186" width="2.6640625" style="437" customWidth="1"/>
    <col min="5187" max="5187" width="20.6640625" style="437" customWidth="1"/>
    <col min="5188" max="5191" width="16.6640625" style="437" customWidth="1"/>
    <col min="5192" max="5192" width="2.6640625" style="437" customWidth="1"/>
    <col min="5193" max="5193" width="20.6640625" style="437" customWidth="1"/>
    <col min="5194" max="5197" width="16.6640625" style="437" customWidth="1"/>
    <col min="5198" max="5198" width="2.6640625" style="437" customWidth="1"/>
    <col min="5199" max="5199" width="20.6640625" style="437" customWidth="1"/>
    <col min="5200" max="5203" width="16.6640625" style="437" customWidth="1"/>
    <col min="5204" max="5204" width="2.6640625" style="437" customWidth="1"/>
    <col min="5205" max="5205" width="20.6640625" style="437" customWidth="1"/>
    <col min="5206" max="5209" width="16.6640625" style="437" customWidth="1"/>
    <col min="5210" max="5210" width="2.77734375" style="437" customWidth="1"/>
    <col min="5211" max="5211" width="20.6640625" style="437" customWidth="1"/>
    <col min="5212" max="5215" width="16.6640625" style="437" customWidth="1"/>
    <col min="5216" max="5216" width="2.6640625" style="437" customWidth="1"/>
    <col min="5217" max="5217" width="20.6640625" style="437" customWidth="1"/>
    <col min="5218" max="5221" width="16.6640625" style="437" customWidth="1"/>
    <col min="5222" max="5222" width="2.6640625" style="437" customWidth="1"/>
    <col min="5223" max="5223" width="20.6640625" style="437" customWidth="1"/>
    <col min="5224" max="5227" width="16.6640625" style="437" customWidth="1"/>
    <col min="5228" max="5228" width="2.6640625" style="437" customWidth="1"/>
    <col min="5229" max="5229" width="20.6640625" style="437" customWidth="1"/>
    <col min="5230" max="5233" width="16.6640625" style="437" customWidth="1"/>
    <col min="5234" max="5234" width="2.77734375" style="437" customWidth="1"/>
    <col min="5235" max="5333" width="9" style="437"/>
    <col min="5334" max="5334" width="2.6640625" style="437" customWidth="1"/>
    <col min="5335" max="5335" width="20.6640625" style="437" customWidth="1"/>
    <col min="5336" max="5339" width="16.6640625" style="437" customWidth="1"/>
    <col min="5340" max="5340" width="2.6640625" style="437" customWidth="1"/>
    <col min="5341" max="5341" width="20.6640625" style="437" customWidth="1"/>
    <col min="5342" max="5345" width="16.6640625" style="437" customWidth="1"/>
    <col min="5346" max="5346" width="4" style="437" customWidth="1"/>
    <col min="5347" max="5347" width="20.6640625" style="437" customWidth="1"/>
    <col min="5348" max="5351" width="16.6640625" style="437" customWidth="1"/>
    <col min="5352" max="5352" width="2.6640625" style="437" customWidth="1"/>
    <col min="5353" max="5353" width="20.6640625" style="437" customWidth="1"/>
    <col min="5354" max="5357" width="16.6640625" style="437" customWidth="1"/>
    <col min="5358" max="5358" width="2.6640625" style="437" customWidth="1"/>
    <col min="5359" max="5359" width="20.6640625" style="437" customWidth="1"/>
    <col min="5360" max="5363" width="16.6640625" style="437" customWidth="1"/>
    <col min="5364" max="5364" width="2.6640625" style="437" customWidth="1"/>
    <col min="5365" max="5365" width="20.6640625" style="437" customWidth="1"/>
    <col min="5366" max="5369" width="16.6640625" style="437" customWidth="1"/>
    <col min="5370" max="5370" width="2.6640625" style="437" customWidth="1"/>
    <col min="5371" max="5371" width="20.6640625" style="437" customWidth="1"/>
    <col min="5372" max="5375" width="16.6640625" style="437" customWidth="1"/>
    <col min="5376" max="5376" width="2.6640625" style="437" customWidth="1"/>
    <col min="5377" max="5377" width="20.6640625" style="437" customWidth="1"/>
    <col min="5378" max="5381" width="16.6640625" style="437" customWidth="1"/>
    <col min="5382" max="5382" width="2.6640625" style="437" customWidth="1"/>
    <col min="5383" max="5383" width="20.6640625" style="437" customWidth="1"/>
    <col min="5384" max="5387" width="16.6640625" style="437" customWidth="1"/>
    <col min="5388" max="5388" width="3.77734375" style="437" customWidth="1"/>
    <col min="5389" max="5389" width="20.6640625" style="437" customWidth="1"/>
    <col min="5390" max="5393" width="16.6640625" style="437" customWidth="1"/>
    <col min="5394" max="5394" width="2.6640625" style="437" customWidth="1"/>
    <col min="5395" max="5395" width="20.6640625" style="437" customWidth="1"/>
    <col min="5396" max="5399" width="16.6640625" style="437" customWidth="1"/>
    <col min="5400" max="5400" width="4" style="437" customWidth="1"/>
    <col min="5401" max="5401" width="20.6640625" style="437" customWidth="1"/>
    <col min="5402" max="5405" width="16.6640625" style="437" customWidth="1"/>
    <col min="5406" max="5406" width="2.6640625" style="437" customWidth="1"/>
    <col min="5407" max="5407" width="20.6640625" style="437" customWidth="1"/>
    <col min="5408" max="5411" width="16.6640625" style="437" customWidth="1"/>
    <col min="5412" max="5412" width="2.6640625" style="437" customWidth="1"/>
    <col min="5413" max="5413" width="20.6640625" style="437" customWidth="1"/>
    <col min="5414" max="5417" width="16.6640625" style="437" customWidth="1"/>
    <col min="5418" max="5418" width="2.6640625" style="437" customWidth="1"/>
    <col min="5419" max="5419" width="20.6640625" style="437" customWidth="1"/>
    <col min="5420" max="5423" width="16.6640625" style="437" customWidth="1"/>
    <col min="5424" max="5424" width="2.6640625" style="437" customWidth="1"/>
    <col min="5425" max="5425" width="20.6640625" style="437" customWidth="1"/>
    <col min="5426" max="5429" width="16.6640625" style="437" customWidth="1"/>
    <col min="5430" max="5430" width="2.6640625" style="437" customWidth="1"/>
    <col min="5431" max="5431" width="20.6640625" style="437" customWidth="1"/>
    <col min="5432" max="5435" width="16.6640625" style="437" customWidth="1"/>
    <col min="5436" max="5436" width="2.6640625" style="437" customWidth="1"/>
    <col min="5437" max="5437" width="20.6640625" style="437" customWidth="1"/>
    <col min="5438" max="5441" width="16.6640625" style="437" customWidth="1"/>
    <col min="5442" max="5442" width="2.6640625" style="437" customWidth="1"/>
    <col min="5443" max="5443" width="20.6640625" style="437" customWidth="1"/>
    <col min="5444" max="5447" width="16.6640625" style="437" customWidth="1"/>
    <col min="5448" max="5448" width="2.6640625" style="437" customWidth="1"/>
    <col min="5449" max="5449" width="20.6640625" style="437" customWidth="1"/>
    <col min="5450" max="5453" width="16.6640625" style="437" customWidth="1"/>
    <col min="5454" max="5454" width="2.6640625" style="437" customWidth="1"/>
    <col min="5455" max="5455" width="20.6640625" style="437" customWidth="1"/>
    <col min="5456" max="5459" width="16.6640625" style="437" customWidth="1"/>
    <col min="5460" max="5460" width="2.6640625" style="437" customWidth="1"/>
    <col min="5461" max="5461" width="20.6640625" style="437" customWidth="1"/>
    <col min="5462" max="5465" width="16.6640625" style="437" customWidth="1"/>
    <col min="5466" max="5466" width="2.77734375" style="437" customWidth="1"/>
    <col min="5467" max="5467" width="20.6640625" style="437" customWidth="1"/>
    <col min="5468" max="5471" width="16.6640625" style="437" customWidth="1"/>
    <col min="5472" max="5472" width="2.6640625" style="437" customWidth="1"/>
    <col min="5473" max="5473" width="20.6640625" style="437" customWidth="1"/>
    <col min="5474" max="5477" width="16.6640625" style="437" customWidth="1"/>
    <col min="5478" max="5478" width="2.6640625" style="437" customWidth="1"/>
    <col min="5479" max="5479" width="20.6640625" style="437" customWidth="1"/>
    <col min="5480" max="5483" width="16.6640625" style="437" customWidth="1"/>
    <col min="5484" max="5484" width="2.6640625" style="437" customWidth="1"/>
    <col min="5485" max="5485" width="20.6640625" style="437" customWidth="1"/>
    <col min="5486" max="5489" width="16.6640625" style="437" customWidth="1"/>
    <col min="5490" max="5490" width="2.77734375" style="437" customWidth="1"/>
    <col min="5491" max="5589" width="9" style="437"/>
    <col min="5590" max="5590" width="2.6640625" style="437" customWidth="1"/>
    <col min="5591" max="5591" width="20.6640625" style="437" customWidth="1"/>
    <col min="5592" max="5595" width="16.6640625" style="437" customWidth="1"/>
    <col min="5596" max="5596" width="2.6640625" style="437" customWidth="1"/>
    <col min="5597" max="5597" width="20.6640625" style="437" customWidth="1"/>
    <col min="5598" max="5601" width="16.6640625" style="437" customWidth="1"/>
    <col min="5602" max="5602" width="4" style="437" customWidth="1"/>
    <col min="5603" max="5603" width="20.6640625" style="437" customWidth="1"/>
    <col min="5604" max="5607" width="16.6640625" style="437" customWidth="1"/>
    <col min="5608" max="5608" width="2.6640625" style="437" customWidth="1"/>
    <col min="5609" max="5609" width="20.6640625" style="437" customWidth="1"/>
    <col min="5610" max="5613" width="16.6640625" style="437" customWidth="1"/>
    <col min="5614" max="5614" width="2.6640625" style="437" customWidth="1"/>
    <col min="5615" max="5615" width="20.6640625" style="437" customWidth="1"/>
    <col min="5616" max="5619" width="16.6640625" style="437" customWidth="1"/>
    <col min="5620" max="5620" width="2.6640625" style="437" customWidth="1"/>
    <col min="5621" max="5621" width="20.6640625" style="437" customWidth="1"/>
    <col min="5622" max="5625" width="16.6640625" style="437" customWidth="1"/>
    <col min="5626" max="5626" width="2.6640625" style="437" customWidth="1"/>
    <col min="5627" max="5627" width="20.6640625" style="437" customWidth="1"/>
    <col min="5628" max="5631" width="16.6640625" style="437" customWidth="1"/>
    <col min="5632" max="5632" width="2.6640625" style="437" customWidth="1"/>
    <col min="5633" max="5633" width="20.6640625" style="437" customWidth="1"/>
    <col min="5634" max="5637" width="16.6640625" style="437" customWidth="1"/>
    <col min="5638" max="5638" width="2.6640625" style="437" customWidth="1"/>
    <col min="5639" max="5639" width="20.6640625" style="437" customWidth="1"/>
    <col min="5640" max="5643" width="16.6640625" style="437" customWidth="1"/>
    <col min="5644" max="5644" width="3.77734375" style="437" customWidth="1"/>
    <col min="5645" max="5645" width="20.6640625" style="437" customWidth="1"/>
    <col min="5646" max="5649" width="16.6640625" style="437" customWidth="1"/>
    <col min="5650" max="5650" width="2.6640625" style="437" customWidth="1"/>
    <col min="5651" max="5651" width="20.6640625" style="437" customWidth="1"/>
    <col min="5652" max="5655" width="16.6640625" style="437" customWidth="1"/>
    <col min="5656" max="5656" width="4" style="437" customWidth="1"/>
    <col min="5657" max="5657" width="20.6640625" style="437" customWidth="1"/>
    <col min="5658" max="5661" width="16.6640625" style="437" customWidth="1"/>
    <col min="5662" max="5662" width="2.6640625" style="437" customWidth="1"/>
    <col min="5663" max="5663" width="20.6640625" style="437" customWidth="1"/>
    <col min="5664" max="5667" width="16.6640625" style="437" customWidth="1"/>
    <col min="5668" max="5668" width="2.6640625" style="437" customWidth="1"/>
    <col min="5669" max="5669" width="20.6640625" style="437" customWidth="1"/>
    <col min="5670" max="5673" width="16.6640625" style="437" customWidth="1"/>
    <col min="5674" max="5674" width="2.6640625" style="437" customWidth="1"/>
    <col min="5675" max="5675" width="20.6640625" style="437" customWidth="1"/>
    <col min="5676" max="5679" width="16.6640625" style="437" customWidth="1"/>
    <col min="5680" max="5680" width="2.6640625" style="437" customWidth="1"/>
    <col min="5681" max="5681" width="20.6640625" style="437" customWidth="1"/>
    <col min="5682" max="5685" width="16.6640625" style="437" customWidth="1"/>
    <col min="5686" max="5686" width="2.6640625" style="437" customWidth="1"/>
    <col min="5687" max="5687" width="20.6640625" style="437" customWidth="1"/>
    <col min="5688" max="5691" width="16.6640625" style="437" customWidth="1"/>
    <col min="5692" max="5692" width="2.6640625" style="437" customWidth="1"/>
    <col min="5693" max="5693" width="20.6640625" style="437" customWidth="1"/>
    <col min="5694" max="5697" width="16.6640625" style="437" customWidth="1"/>
    <col min="5698" max="5698" width="2.6640625" style="437" customWidth="1"/>
    <col min="5699" max="5699" width="20.6640625" style="437" customWidth="1"/>
    <col min="5700" max="5703" width="16.6640625" style="437" customWidth="1"/>
    <col min="5704" max="5704" width="2.6640625" style="437" customWidth="1"/>
    <col min="5705" max="5705" width="20.6640625" style="437" customWidth="1"/>
    <col min="5706" max="5709" width="16.6640625" style="437" customWidth="1"/>
    <col min="5710" max="5710" width="2.6640625" style="437" customWidth="1"/>
    <col min="5711" max="5711" width="20.6640625" style="437" customWidth="1"/>
    <col min="5712" max="5715" width="16.6640625" style="437" customWidth="1"/>
    <col min="5716" max="5716" width="2.6640625" style="437" customWidth="1"/>
    <col min="5717" max="5717" width="20.6640625" style="437" customWidth="1"/>
    <col min="5718" max="5721" width="16.6640625" style="437" customWidth="1"/>
    <col min="5722" max="5722" width="2.77734375" style="437" customWidth="1"/>
    <col min="5723" max="5723" width="20.6640625" style="437" customWidth="1"/>
    <col min="5724" max="5727" width="16.6640625" style="437" customWidth="1"/>
    <col min="5728" max="5728" width="2.6640625" style="437" customWidth="1"/>
    <col min="5729" max="5729" width="20.6640625" style="437" customWidth="1"/>
    <col min="5730" max="5733" width="16.6640625" style="437" customWidth="1"/>
    <col min="5734" max="5734" width="2.6640625" style="437" customWidth="1"/>
    <col min="5735" max="5735" width="20.6640625" style="437" customWidth="1"/>
    <col min="5736" max="5739" width="16.6640625" style="437" customWidth="1"/>
    <col min="5740" max="5740" width="2.6640625" style="437" customWidth="1"/>
    <col min="5741" max="5741" width="20.6640625" style="437" customWidth="1"/>
    <col min="5742" max="5745" width="16.6640625" style="437" customWidth="1"/>
    <col min="5746" max="5746" width="2.77734375" style="437" customWidth="1"/>
    <col min="5747" max="5845" width="9" style="437"/>
    <col min="5846" max="5846" width="2.6640625" style="437" customWidth="1"/>
    <col min="5847" max="5847" width="20.6640625" style="437" customWidth="1"/>
    <col min="5848" max="5851" width="16.6640625" style="437" customWidth="1"/>
    <col min="5852" max="5852" width="2.6640625" style="437" customWidth="1"/>
    <col min="5853" max="5853" width="20.6640625" style="437" customWidth="1"/>
    <col min="5854" max="5857" width="16.6640625" style="437" customWidth="1"/>
    <col min="5858" max="5858" width="4" style="437" customWidth="1"/>
    <col min="5859" max="5859" width="20.6640625" style="437" customWidth="1"/>
    <col min="5860" max="5863" width="16.6640625" style="437" customWidth="1"/>
    <col min="5864" max="5864" width="2.6640625" style="437" customWidth="1"/>
    <col min="5865" max="5865" width="20.6640625" style="437" customWidth="1"/>
    <col min="5866" max="5869" width="16.6640625" style="437" customWidth="1"/>
    <col min="5870" max="5870" width="2.6640625" style="437" customWidth="1"/>
    <col min="5871" max="5871" width="20.6640625" style="437" customWidth="1"/>
    <col min="5872" max="5875" width="16.6640625" style="437" customWidth="1"/>
    <col min="5876" max="5876" width="2.6640625" style="437" customWidth="1"/>
    <col min="5877" max="5877" width="20.6640625" style="437" customWidth="1"/>
    <col min="5878" max="5881" width="16.6640625" style="437" customWidth="1"/>
    <col min="5882" max="5882" width="2.6640625" style="437" customWidth="1"/>
    <col min="5883" max="5883" width="20.6640625" style="437" customWidth="1"/>
    <col min="5884" max="5887" width="16.6640625" style="437" customWidth="1"/>
    <col min="5888" max="5888" width="2.6640625" style="437" customWidth="1"/>
    <col min="5889" max="5889" width="20.6640625" style="437" customWidth="1"/>
    <col min="5890" max="5893" width="16.6640625" style="437" customWidth="1"/>
    <col min="5894" max="5894" width="2.6640625" style="437" customWidth="1"/>
    <col min="5895" max="5895" width="20.6640625" style="437" customWidth="1"/>
    <col min="5896" max="5899" width="16.6640625" style="437" customWidth="1"/>
    <col min="5900" max="5900" width="3.77734375" style="437" customWidth="1"/>
    <col min="5901" max="5901" width="20.6640625" style="437" customWidth="1"/>
    <col min="5902" max="5905" width="16.6640625" style="437" customWidth="1"/>
    <col min="5906" max="5906" width="2.6640625" style="437" customWidth="1"/>
    <col min="5907" max="5907" width="20.6640625" style="437" customWidth="1"/>
    <col min="5908" max="5911" width="16.6640625" style="437" customWidth="1"/>
    <col min="5912" max="5912" width="4" style="437" customWidth="1"/>
    <col min="5913" max="5913" width="20.6640625" style="437" customWidth="1"/>
    <col min="5914" max="5917" width="16.6640625" style="437" customWidth="1"/>
    <col min="5918" max="5918" width="2.6640625" style="437" customWidth="1"/>
    <col min="5919" max="5919" width="20.6640625" style="437" customWidth="1"/>
    <col min="5920" max="5923" width="16.6640625" style="437" customWidth="1"/>
    <col min="5924" max="5924" width="2.6640625" style="437" customWidth="1"/>
    <col min="5925" max="5925" width="20.6640625" style="437" customWidth="1"/>
    <col min="5926" max="5929" width="16.6640625" style="437" customWidth="1"/>
    <col min="5930" max="5930" width="2.6640625" style="437" customWidth="1"/>
    <col min="5931" max="5931" width="20.6640625" style="437" customWidth="1"/>
    <col min="5932" max="5935" width="16.6640625" style="437" customWidth="1"/>
    <col min="5936" max="5936" width="2.6640625" style="437" customWidth="1"/>
    <col min="5937" max="5937" width="20.6640625" style="437" customWidth="1"/>
    <col min="5938" max="5941" width="16.6640625" style="437" customWidth="1"/>
    <col min="5942" max="5942" width="2.6640625" style="437" customWidth="1"/>
    <col min="5943" max="5943" width="20.6640625" style="437" customWidth="1"/>
    <col min="5944" max="5947" width="16.6640625" style="437" customWidth="1"/>
    <col min="5948" max="5948" width="2.6640625" style="437" customWidth="1"/>
    <col min="5949" max="5949" width="20.6640625" style="437" customWidth="1"/>
    <col min="5950" max="5953" width="16.6640625" style="437" customWidth="1"/>
    <col min="5954" max="5954" width="2.6640625" style="437" customWidth="1"/>
    <col min="5955" max="5955" width="20.6640625" style="437" customWidth="1"/>
    <col min="5956" max="5959" width="16.6640625" style="437" customWidth="1"/>
    <col min="5960" max="5960" width="2.6640625" style="437" customWidth="1"/>
    <col min="5961" max="5961" width="20.6640625" style="437" customWidth="1"/>
    <col min="5962" max="5965" width="16.6640625" style="437" customWidth="1"/>
    <col min="5966" max="5966" width="2.6640625" style="437" customWidth="1"/>
    <col min="5967" max="5967" width="20.6640625" style="437" customWidth="1"/>
    <col min="5968" max="5971" width="16.6640625" style="437" customWidth="1"/>
    <col min="5972" max="5972" width="2.6640625" style="437" customWidth="1"/>
    <col min="5973" max="5973" width="20.6640625" style="437" customWidth="1"/>
    <col min="5974" max="5977" width="16.6640625" style="437" customWidth="1"/>
    <col min="5978" max="5978" width="2.77734375" style="437" customWidth="1"/>
    <col min="5979" max="5979" width="20.6640625" style="437" customWidth="1"/>
    <col min="5980" max="5983" width="16.6640625" style="437" customWidth="1"/>
    <col min="5984" max="5984" width="2.6640625" style="437" customWidth="1"/>
    <col min="5985" max="5985" width="20.6640625" style="437" customWidth="1"/>
    <col min="5986" max="5989" width="16.6640625" style="437" customWidth="1"/>
    <col min="5990" max="5990" width="2.6640625" style="437" customWidth="1"/>
    <col min="5991" max="5991" width="20.6640625" style="437" customWidth="1"/>
    <col min="5992" max="5995" width="16.6640625" style="437" customWidth="1"/>
    <col min="5996" max="5996" width="2.6640625" style="437" customWidth="1"/>
    <col min="5997" max="5997" width="20.6640625" style="437" customWidth="1"/>
    <col min="5998" max="6001" width="16.6640625" style="437" customWidth="1"/>
    <col min="6002" max="6002" width="2.77734375" style="437" customWidth="1"/>
    <col min="6003" max="6101" width="9" style="437"/>
    <col min="6102" max="6102" width="2.6640625" style="437" customWidth="1"/>
    <col min="6103" max="6103" width="20.6640625" style="437" customWidth="1"/>
    <col min="6104" max="6107" width="16.6640625" style="437" customWidth="1"/>
    <col min="6108" max="6108" width="2.6640625" style="437" customWidth="1"/>
    <col min="6109" max="6109" width="20.6640625" style="437" customWidth="1"/>
    <col min="6110" max="6113" width="16.6640625" style="437" customWidth="1"/>
    <col min="6114" max="6114" width="4" style="437" customWidth="1"/>
    <col min="6115" max="6115" width="20.6640625" style="437" customWidth="1"/>
    <col min="6116" max="6119" width="16.6640625" style="437" customWidth="1"/>
    <col min="6120" max="6120" width="2.6640625" style="437" customWidth="1"/>
    <col min="6121" max="6121" width="20.6640625" style="437" customWidth="1"/>
    <col min="6122" max="6125" width="16.6640625" style="437" customWidth="1"/>
    <col min="6126" max="6126" width="2.6640625" style="437" customWidth="1"/>
    <col min="6127" max="6127" width="20.6640625" style="437" customWidth="1"/>
    <col min="6128" max="6131" width="16.6640625" style="437" customWidth="1"/>
    <col min="6132" max="6132" width="2.6640625" style="437" customWidth="1"/>
    <col min="6133" max="6133" width="20.6640625" style="437" customWidth="1"/>
    <col min="6134" max="6137" width="16.6640625" style="437" customWidth="1"/>
    <col min="6138" max="6138" width="2.6640625" style="437" customWidth="1"/>
    <col min="6139" max="6139" width="20.6640625" style="437" customWidth="1"/>
    <col min="6140" max="6143" width="16.6640625" style="437" customWidth="1"/>
    <col min="6144" max="6144" width="2.6640625" style="437" customWidth="1"/>
    <col min="6145" max="6145" width="20.6640625" style="437" customWidth="1"/>
    <col min="6146" max="6149" width="16.6640625" style="437" customWidth="1"/>
    <col min="6150" max="6150" width="2.6640625" style="437" customWidth="1"/>
    <col min="6151" max="6151" width="20.6640625" style="437" customWidth="1"/>
    <col min="6152" max="6155" width="16.6640625" style="437" customWidth="1"/>
    <col min="6156" max="6156" width="3.77734375" style="437" customWidth="1"/>
    <col min="6157" max="6157" width="20.6640625" style="437" customWidth="1"/>
    <col min="6158" max="6161" width="16.6640625" style="437" customWidth="1"/>
    <col min="6162" max="6162" width="2.6640625" style="437" customWidth="1"/>
    <col min="6163" max="6163" width="20.6640625" style="437" customWidth="1"/>
    <col min="6164" max="6167" width="16.6640625" style="437" customWidth="1"/>
    <col min="6168" max="6168" width="4" style="437" customWidth="1"/>
    <col min="6169" max="6169" width="20.6640625" style="437" customWidth="1"/>
    <col min="6170" max="6173" width="16.6640625" style="437" customWidth="1"/>
    <col min="6174" max="6174" width="2.6640625" style="437" customWidth="1"/>
    <col min="6175" max="6175" width="20.6640625" style="437" customWidth="1"/>
    <col min="6176" max="6179" width="16.6640625" style="437" customWidth="1"/>
    <col min="6180" max="6180" width="2.6640625" style="437" customWidth="1"/>
    <col min="6181" max="6181" width="20.6640625" style="437" customWidth="1"/>
    <col min="6182" max="6185" width="16.6640625" style="437" customWidth="1"/>
    <col min="6186" max="6186" width="2.6640625" style="437" customWidth="1"/>
    <col min="6187" max="6187" width="20.6640625" style="437" customWidth="1"/>
    <col min="6188" max="6191" width="16.6640625" style="437" customWidth="1"/>
    <col min="6192" max="6192" width="2.6640625" style="437" customWidth="1"/>
    <col min="6193" max="6193" width="20.6640625" style="437" customWidth="1"/>
    <col min="6194" max="6197" width="16.6640625" style="437" customWidth="1"/>
    <col min="6198" max="6198" width="2.6640625" style="437" customWidth="1"/>
    <col min="6199" max="6199" width="20.6640625" style="437" customWidth="1"/>
    <col min="6200" max="6203" width="16.6640625" style="437" customWidth="1"/>
    <col min="6204" max="6204" width="2.6640625" style="437" customWidth="1"/>
    <col min="6205" max="6205" width="20.6640625" style="437" customWidth="1"/>
    <col min="6206" max="6209" width="16.6640625" style="437" customWidth="1"/>
    <col min="6210" max="6210" width="2.6640625" style="437" customWidth="1"/>
    <col min="6211" max="6211" width="20.6640625" style="437" customWidth="1"/>
    <col min="6212" max="6215" width="16.6640625" style="437" customWidth="1"/>
    <col min="6216" max="6216" width="2.6640625" style="437" customWidth="1"/>
    <col min="6217" max="6217" width="20.6640625" style="437" customWidth="1"/>
    <col min="6218" max="6221" width="16.6640625" style="437" customWidth="1"/>
    <col min="6222" max="6222" width="2.6640625" style="437" customWidth="1"/>
    <col min="6223" max="6223" width="20.6640625" style="437" customWidth="1"/>
    <col min="6224" max="6227" width="16.6640625" style="437" customWidth="1"/>
    <col min="6228" max="6228" width="2.6640625" style="437" customWidth="1"/>
    <col min="6229" max="6229" width="20.6640625" style="437" customWidth="1"/>
    <col min="6230" max="6233" width="16.6640625" style="437" customWidth="1"/>
    <col min="6234" max="6234" width="2.77734375" style="437" customWidth="1"/>
    <col min="6235" max="6235" width="20.6640625" style="437" customWidth="1"/>
    <col min="6236" max="6239" width="16.6640625" style="437" customWidth="1"/>
    <col min="6240" max="6240" width="2.6640625" style="437" customWidth="1"/>
    <col min="6241" max="6241" width="20.6640625" style="437" customWidth="1"/>
    <col min="6242" max="6245" width="16.6640625" style="437" customWidth="1"/>
    <col min="6246" max="6246" width="2.6640625" style="437" customWidth="1"/>
    <col min="6247" max="6247" width="20.6640625" style="437" customWidth="1"/>
    <col min="6248" max="6251" width="16.6640625" style="437" customWidth="1"/>
    <col min="6252" max="6252" width="2.6640625" style="437" customWidth="1"/>
    <col min="6253" max="6253" width="20.6640625" style="437" customWidth="1"/>
    <col min="6254" max="6257" width="16.6640625" style="437" customWidth="1"/>
    <col min="6258" max="6258" width="2.77734375" style="437" customWidth="1"/>
    <col min="6259" max="6357" width="9" style="437"/>
    <col min="6358" max="6358" width="2.6640625" style="437" customWidth="1"/>
    <col min="6359" max="6359" width="20.6640625" style="437" customWidth="1"/>
    <col min="6360" max="6363" width="16.6640625" style="437" customWidth="1"/>
    <col min="6364" max="6364" width="2.6640625" style="437" customWidth="1"/>
    <col min="6365" max="6365" width="20.6640625" style="437" customWidth="1"/>
    <col min="6366" max="6369" width="16.6640625" style="437" customWidth="1"/>
    <col min="6370" max="6370" width="4" style="437" customWidth="1"/>
    <col min="6371" max="6371" width="20.6640625" style="437" customWidth="1"/>
    <col min="6372" max="6375" width="16.6640625" style="437" customWidth="1"/>
    <col min="6376" max="6376" width="2.6640625" style="437" customWidth="1"/>
    <col min="6377" max="6377" width="20.6640625" style="437" customWidth="1"/>
    <col min="6378" max="6381" width="16.6640625" style="437" customWidth="1"/>
    <col min="6382" max="6382" width="2.6640625" style="437" customWidth="1"/>
    <col min="6383" max="6383" width="20.6640625" style="437" customWidth="1"/>
    <col min="6384" max="6387" width="16.6640625" style="437" customWidth="1"/>
    <col min="6388" max="6388" width="2.6640625" style="437" customWidth="1"/>
    <col min="6389" max="6389" width="20.6640625" style="437" customWidth="1"/>
    <col min="6390" max="6393" width="16.6640625" style="437" customWidth="1"/>
    <col min="6394" max="6394" width="2.6640625" style="437" customWidth="1"/>
    <col min="6395" max="6395" width="20.6640625" style="437" customWidth="1"/>
    <col min="6396" max="6399" width="16.6640625" style="437" customWidth="1"/>
    <col min="6400" max="6400" width="2.6640625" style="437" customWidth="1"/>
    <col min="6401" max="6401" width="20.6640625" style="437" customWidth="1"/>
    <col min="6402" max="6405" width="16.6640625" style="437" customWidth="1"/>
    <col min="6406" max="6406" width="2.6640625" style="437" customWidth="1"/>
    <col min="6407" max="6407" width="20.6640625" style="437" customWidth="1"/>
    <col min="6408" max="6411" width="16.6640625" style="437" customWidth="1"/>
    <col min="6412" max="6412" width="3.77734375" style="437" customWidth="1"/>
    <col min="6413" max="6413" width="20.6640625" style="437" customWidth="1"/>
    <col min="6414" max="6417" width="16.6640625" style="437" customWidth="1"/>
    <col min="6418" max="6418" width="2.6640625" style="437" customWidth="1"/>
    <col min="6419" max="6419" width="20.6640625" style="437" customWidth="1"/>
    <col min="6420" max="6423" width="16.6640625" style="437" customWidth="1"/>
    <col min="6424" max="6424" width="4" style="437" customWidth="1"/>
    <col min="6425" max="6425" width="20.6640625" style="437" customWidth="1"/>
    <col min="6426" max="6429" width="16.6640625" style="437" customWidth="1"/>
    <col min="6430" max="6430" width="2.6640625" style="437" customWidth="1"/>
    <col min="6431" max="6431" width="20.6640625" style="437" customWidth="1"/>
    <col min="6432" max="6435" width="16.6640625" style="437" customWidth="1"/>
    <col min="6436" max="6436" width="2.6640625" style="437" customWidth="1"/>
    <col min="6437" max="6437" width="20.6640625" style="437" customWidth="1"/>
    <col min="6438" max="6441" width="16.6640625" style="437" customWidth="1"/>
    <col min="6442" max="6442" width="2.6640625" style="437" customWidth="1"/>
    <col min="6443" max="6443" width="20.6640625" style="437" customWidth="1"/>
    <col min="6444" max="6447" width="16.6640625" style="437" customWidth="1"/>
    <col min="6448" max="6448" width="2.6640625" style="437" customWidth="1"/>
    <col min="6449" max="6449" width="20.6640625" style="437" customWidth="1"/>
    <col min="6450" max="6453" width="16.6640625" style="437" customWidth="1"/>
    <col min="6454" max="6454" width="2.6640625" style="437" customWidth="1"/>
    <col min="6455" max="6455" width="20.6640625" style="437" customWidth="1"/>
    <col min="6456" max="6459" width="16.6640625" style="437" customWidth="1"/>
    <col min="6460" max="6460" width="2.6640625" style="437" customWidth="1"/>
    <col min="6461" max="6461" width="20.6640625" style="437" customWidth="1"/>
    <col min="6462" max="6465" width="16.6640625" style="437" customWidth="1"/>
    <col min="6466" max="6466" width="2.6640625" style="437" customWidth="1"/>
    <col min="6467" max="6467" width="20.6640625" style="437" customWidth="1"/>
    <col min="6468" max="6471" width="16.6640625" style="437" customWidth="1"/>
    <col min="6472" max="6472" width="2.6640625" style="437" customWidth="1"/>
    <col min="6473" max="6473" width="20.6640625" style="437" customWidth="1"/>
    <col min="6474" max="6477" width="16.6640625" style="437" customWidth="1"/>
    <col min="6478" max="6478" width="2.6640625" style="437" customWidth="1"/>
    <col min="6479" max="6479" width="20.6640625" style="437" customWidth="1"/>
    <col min="6480" max="6483" width="16.6640625" style="437" customWidth="1"/>
    <col min="6484" max="6484" width="2.6640625" style="437" customWidth="1"/>
    <col min="6485" max="6485" width="20.6640625" style="437" customWidth="1"/>
    <col min="6486" max="6489" width="16.6640625" style="437" customWidth="1"/>
    <col min="6490" max="6490" width="2.77734375" style="437" customWidth="1"/>
    <col min="6491" max="6491" width="20.6640625" style="437" customWidth="1"/>
    <col min="6492" max="6495" width="16.6640625" style="437" customWidth="1"/>
    <col min="6496" max="6496" width="2.6640625" style="437" customWidth="1"/>
    <col min="6497" max="6497" width="20.6640625" style="437" customWidth="1"/>
    <col min="6498" max="6501" width="16.6640625" style="437" customWidth="1"/>
    <col min="6502" max="6502" width="2.6640625" style="437" customWidth="1"/>
    <col min="6503" max="6503" width="20.6640625" style="437" customWidth="1"/>
    <col min="6504" max="6507" width="16.6640625" style="437" customWidth="1"/>
    <col min="6508" max="6508" width="2.6640625" style="437" customWidth="1"/>
    <col min="6509" max="6509" width="20.6640625" style="437" customWidth="1"/>
    <col min="6510" max="6513" width="16.6640625" style="437" customWidth="1"/>
    <col min="6514" max="6514" width="2.77734375" style="437" customWidth="1"/>
    <col min="6515" max="6613" width="9" style="437"/>
    <col min="6614" max="6614" width="2.6640625" style="437" customWidth="1"/>
    <col min="6615" max="6615" width="20.6640625" style="437" customWidth="1"/>
    <col min="6616" max="6619" width="16.6640625" style="437" customWidth="1"/>
    <col min="6620" max="6620" width="2.6640625" style="437" customWidth="1"/>
    <col min="6621" max="6621" width="20.6640625" style="437" customWidth="1"/>
    <col min="6622" max="6625" width="16.6640625" style="437" customWidth="1"/>
    <col min="6626" max="6626" width="4" style="437" customWidth="1"/>
    <col min="6627" max="6627" width="20.6640625" style="437" customWidth="1"/>
    <col min="6628" max="6631" width="16.6640625" style="437" customWidth="1"/>
    <col min="6632" max="6632" width="2.6640625" style="437" customWidth="1"/>
    <col min="6633" max="6633" width="20.6640625" style="437" customWidth="1"/>
    <col min="6634" max="6637" width="16.6640625" style="437" customWidth="1"/>
    <col min="6638" max="6638" width="2.6640625" style="437" customWidth="1"/>
    <col min="6639" max="6639" width="20.6640625" style="437" customWidth="1"/>
    <col min="6640" max="6643" width="16.6640625" style="437" customWidth="1"/>
    <col min="6644" max="6644" width="2.6640625" style="437" customWidth="1"/>
    <col min="6645" max="6645" width="20.6640625" style="437" customWidth="1"/>
    <col min="6646" max="6649" width="16.6640625" style="437" customWidth="1"/>
    <col min="6650" max="6650" width="2.6640625" style="437" customWidth="1"/>
    <col min="6651" max="6651" width="20.6640625" style="437" customWidth="1"/>
    <col min="6652" max="6655" width="16.6640625" style="437" customWidth="1"/>
    <col min="6656" max="6656" width="2.6640625" style="437" customWidth="1"/>
    <col min="6657" max="6657" width="20.6640625" style="437" customWidth="1"/>
    <col min="6658" max="6661" width="16.6640625" style="437" customWidth="1"/>
    <col min="6662" max="6662" width="2.6640625" style="437" customWidth="1"/>
    <col min="6663" max="6663" width="20.6640625" style="437" customWidth="1"/>
    <col min="6664" max="6667" width="16.6640625" style="437" customWidth="1"/>
    <col min="6668" max="6668" width="3.77734375" style="437" customWidth="1"/>
    <col min="6669" max="6669" width="20.6640625" style="437" customWidth="1"/>
    <col min="6670" max="6673" width="16.6640625" style="437" customWidth="1"/>
    <col min="6674" max="6674" width="2.6640625" style="437" customWidth="1"/>
    <col min="6675" max="6675" width="20.6640625" style="437" customWidth="1"/>
    <col min="6676" max="6679" width="16.6640625" style="437" customWidth="1"/>
    <col min="6680" max="6680" width="4" style="437" customWidth="1"/>
    <col min="6681" max="6681" width="20.6640625" style="437" customWidth="1"/>
    <col min="6682" max="6685" width="16.6640625" style="437" customWidth="1"/>
    <col min="6686" max="6686" width="2.6640625" style="437" customWidth="1"/>
    <col min="6687" max="6687" width="20.6640625" style="437" customWidth="1"/>
    <col min="6688" max="6691" width="16.6640625" style="437" customWidth="1"/>
    <col min="6692" max="6692" width="2.6640625" style="437" customWidth="1"/>
    <col min="6693" max="6693" width="20.6640625" style="437" customWidth="1"/>
    <col min="6694" max="6697" width="16.6640625" style="437" customWidth="1"/>
    <col min="6698" max="6698" width="2.6640625" style="437" customWidth="1"/>
    <col min="6699" max="6699" width="20.6640625" style="437" customWidth="1"/>
    <col min="6700" max="6703" width="16.6640625" style="437" customWidth="1"/>
    <col min="6704" max="6704" width="2.6640625" style="437" customWidth="1"/>
    <col min="6705" max="6705" width="20.6640625" style="437" customWidth="1"/>
    <col min="6706" max="6709" width="16.6640625" style="437" customWidth="1"/>
    <col min="6710" max="6710" width="2.6640625" style="437" customWidth="1"/>
    <col min="6711" max="6711" width="20.6640625" style="437" customWidth="1"/>
    <col min="6712" max="6715" width="16.6640625" style="437" customWidth="1"/>
    <col min="6716" max="6716" width="2.6640625" style="437" customWidth="1"/>
    <col min="6717" max="6717" width="20.6640625" style="437" customWidth="1"/>
    <col min="6718" max="6721" width="16.6640625" style="437" customWidth="1"/>
    <col min="6722" max="6722" width="2.6640625" style="437" customWidth="1"/>
    <col min="6723" max="6723" width="20.6640625" style="437" customWidth="1"/>
    <col min="6724" max="6727" width="16.6640625" style="437" customWidth="1"/>
    <col min="6728" max="6728" width="2.6640625" style="437" customWidth="1"/>
    <col min="6729" max="6729" width="20.6640625" style="437" customWidth="1"/>
    <col min="6730" max="6733" width="16.6640625" style="437" customWidth="1"/>
    <col min="6734" max="6734" width="2.6640625" style="437" customWidth="1"/>
    <col min="6735" max="6735" width="20.6640625" style="437" customWidth="1"/>
    <col min="6736" max="6739" width="16.6640625" style="437" customWidth="1"/>
    <col min="6740" max="6740" width="2.6640625" style="437" customWidth="1"/>
    <col min="6741" max="6741" width="20.6640625" style="437" customWidth="1"/>
    <col min="6742" max="6745" width="16.6640625" style="437" customWidth="1"/>
    <col min="6746" max="6746" width="2.77734375" style="437" customWidth="1"/>
    <col min="6747" max="6747" width="20.6640625" style="437" customWidth="1"/>
    <col min="6748" max="6751" width="16.6640625" style="437" customWidth="1"/>
    <col min="6752" max="6752" width="2.6640625" style="437" customWidth="1"/>
    <col min="6753" max="6753" width="20.6640625" style="437" customWidth="1"/>
    <col min="6754" max="6757" width="16.6640625" style="437" customWidth="1"/>
    <col min="6758" max="6758" width="2.6640625" style="437" customWidth="1"/>
    <col min="6759" max="6759" width="20.6640625" style="437" customWidth="1"/>
    <col min="6760" max="6763" width="16.6640625" style="437" customWidth="1"/>
    <col min="6764" max="6764" width="2.6640625" style="437" customWidth="1"/>
    <col min="6765" max="6765" width="20.6640625" style="437" customWidth="1"/>
    <col min="6766" max="6769" width="16.6640625" style="437" customWidth="1"/>
    <col min="6770" max="6770" width="2.77734375" style="437" customWidth="1"/>
    <col min="6771" max="6869" width="9" style="437"/>
    <col min="6870" max="6870" width="2.6640625" style="437" customWidth="1"/>
    <col min="6871" max="6871" width="20.6640625" style="437" customWidth="1"/>
    <col min="6872" max="6875" width="16.6640625" style="437" customWidth="1"/>
    <col min="6876" max="6876" width="2.6640625" style="437" customWidth="1"/>
    <col min="6877" max="6877" width="20.6640625" style="437" customWidth="1"/>
    <col min="6878" max="6881" width="16.6640625" style="437" customWidth="1"/>
    <col min="6882" max="6882" width="4" style="437" customWidth="1"/>
    <col min="6883" max="6883" width="20.6640625" style="437" customWidth="1"/>
    <col min="6884" max="6887" width="16.6640625" style="437" customWidth="1"/>
    <col min="6888" max="6888" width="2.6640625" style="437" customWidth="1"/>
    <col min="6889" max="6889" width="20.6640625" style="437" customWidth="1"/>
    <col min="6890" max="6893" width="16.6640625" style="437" customWidth="1"/>
    <col min="6894" max="6894" width="2.6640625" style="437" customWidth="1"/>
    <col min="6895" max="6895" width="20.6640625" style="437" customWidth="1"/>
    <col min="6896" max="6899" width="16.6640625" style="437" customWidth="1"/>
    <col min="6900" max="6900" width="2.6640625" style="437" customWidth="1"/>
    <col min="6901" max="6901" width="20.6640625" style="437" customWidth="1"/>
    <col min="6902" max="6905" width="16.6640625" style="437" customWidth="1"/>
    <col min="6906" max="6906" width="2.6640625" style="437" customWidth="1"/>
    <col min="6907" max="6907" width="20.6640625" style="437" customWidth="1"/>
    <col min="6908" max="6911" width="16.6640625" style="437" customWidth="1"/>
    <col min="6912" max="6912" width="2.6640625" style="437" customWidth="1"/>
    <col min="6913" max="6913" width="20.6640625" style="437" customWidth="1"/>
    <col min="6914" max="6917" width="16.6640625" style="437" customWidth="1"/>
    <col min="6918" max="6918" width="2.6640625" style="437" customWidth="1"/>
    <col min="6919" max="6919" width="20.6640625" style="437" customWidth="1"/>
    <col min="6920" max="6923" width="16.6640625" style="437" customWidth="1"/>
    <col min="6924" max="6924" width="3.77734375" style="437" customWidth="1"/>
    <col min="6925" max="6925" width="20.6640625" style="437" customWidth="1"/>
    <col min="6926" max="6929" width="16.6640625" style="437" customWidth="1"/>
    <col min="6930" max="6930" width="2.6640625" style="437" customWidth="1"/>
    <col min="6931" max="6931" width="20.6640625" style="437" customWidth="1"/>
    <col min="6932" max="6935" width="16.6640625" style="437" customWidth="1"/>
    <col min="6936" max="6936" width="4" style="437" customWidth="1"/>
    <col min="6937" max="6937" width="20.6640625" style="437" customWidth="1"/>
    <col min="6938" max="6941" width="16.6640625" style="437" customWidth="1"/>
    <col min="6942" max="6942" width="2.6640625" style="437" customWidth="1"/>
    <col min="6943" max="6943" width="20.6640625" style="437" customWidth="1"/>
    <col min="6944" max="6947" width="16.6640625" style="437" customWidth="1"/>
    <col min="6948" max="6948" width="2.6640625" style="437" customWidth="1"/>
    <col min="6949" max="6949" width="20.6640625" style="437" customWidth="1"/>
    <col min="6950" max="6953" width="16.6640625" style="437" customWidth="1"/>
    <col min="6954" max="6954" width="2.6640625" style="437" customWidth="1"/>
    <col min="6955" max="6955" width="20.6640625" style="437" customWidth="1"/>
    <col min="6956" max="6959" width="16.6640625" style="437" customWidth="1"/>
    <col min="6960" max="6960" width="2.6640625" style="437" customWidth="1"/>
    <col min="6961" max="6961" width="20.6640625" style="437" customWidth="1"/>
    <col min="6962" max="6965" width="16.6640625" style="437" customWidth="1"/>
    <col min="6966" max="6966" width="2.6640625" style="437" customWidth="1"/>
    <col min="6967" max="6967" width="20.6640625" style="437" customWidth="1"/>
    <col min="6968" max="6971" width="16.6640625" style="437" customWidth="1"/>
    <col min="6972" max="6972" width="2.6640625" style="437" customWidth="1"/>
    <col min="6973" max="6973" width="20.6640625" style="437" customWidth="1"/>
    <col min="6974" max="6977" width="16.6640625" style="437" customWidth="1"/>
    <col min="6978" max="6978" width="2.6640625" style="437" customWidth="1"/>
    <col min="6979" max="6979" width="20.6640625" style="437" customWidth="1"/>
    <col min="6980" max="6983" width="16.6640625" style="437" customWidth="1"/>
    <col min="6984" max="6984" width="2.6640625" style="437" customWidth="1"/>
    <col min="6985" max="6985" width="20.6640625" style="437" customWidth="1"/>
    <col min="6986" max="6989" width="16.6640625" style="437" customWidth="1"/>
    <col min="6990" max="6990" width="2.6640625" style="437" customWidth="1"/>
    <col min="6991" max="6991" width="20.6640625" style="437" customWidth="1"/>
    <col min="6992" max="6995" width="16.6640625" style="437" customWidth="1"/>
    <col min="6996" max="6996" width="2.6640625" style="437" customWidth="1"/>
    <col min="6997" max="6997" width="20.6640625" style="437" customWidth="1"/>
    <col min="6998" max="7001" width="16.6640625" style="437" customWidth="1"/>
    <col min="7002" max="7002" width="2.77734375" style="437" customWidth="1"/>
    <col min="7003" max="7003" width="20.6640625" style="437" customWidth="1"/>
    <col min="7004" max="7007" width="16.6640625" style="437" customWidth="1"/>
    <col min="7008" max="7008" width="2.6640625" style="437" customWidth="1"/>
    <col min="7009" max="7009" width="20.6640625" style="437" customWidth="1"/>
    <col min="7010" max="7013" width="16.6640625" style="437" customWidth="1"/>
    <col min="7014" max="7014" width="2.6640625" style="437" customWidth="1"/>
    <col min="7015" max="7015" width="20.6640625" style="437" customWidth="1"/>
    <col min="7016" max="7019" width="16.6640625" style="437" customWidth="1"/>
    <col min="7020" max="7020" width="2.6640625" style="437" customWidth="1"/>
    <col min="7021" max="7021" width="20.6640625" style="437" customWidth="1"/>
    <col min="7022" max="7025" width="16.6640625" style="437" customWidth="1"/>
    <col min="7026" max="7026" width="2.77734375" style="437" customWidth="1"/>
    <col min="7027" max="7125" width="9" style="437"/>
    <col min="7126" max="7126" width="2.6640625" style="437" customWidth="1"/>
    <col min="7127" max="7127" width="20.6640625" style="437" customWidth="1"/>
    <col min="7128" max="7131" width="16.6640625" style="437" customWidth="1"/>
    <col min="7132" max="7132" width="2.6640625" style="437" customWidth="1"/>
    <col min="7133" max="7133" width="20.6640625" style="437" customWidth="1"/>
    <col min="7134" max="7137" width="16.6640625" style="437" customWidth="1"/>
    <col min="7138" max="7138" width="4" style="437" customWidth="1"/>
    <col min="7139" max="7139" width="20.6640625" style="437" customWidth="1"/>
    <col min="7140" max="7143" width="16.6640625" style="437" customWidth="1"/>
    <col min="7144" max="7144" width="2.6640625" style="437" customWidth="1"/>
    <col min="7145" max="7145" width="20.6640625" style="437" customWidth="1"/>
    <col min="7146" max="7149" width="16.6640625" style="437" customWidth="1"/>
    <col min="7150" max="7150" width="2.6640625" style="437" customWidth="1"/>
    <col min="7151" max="7151" width="20.6640625" style="437" customWidth="1"/>
    <col min="7152" max="7155" width="16.6640625" style="437" customWidth="1"/>
    <col min="7156" max="7156" width="2.6640625" style="437" customWidth="1"/>
    <col min="7157" max="7157" width="20.6640625" style="437" customWidth="1"/>
    <col min="7158" max="7161" width="16.6640625" style="437" customWidth="1"/>
    <col min="7162" max="7162" width="2.6640625" style="437" customWidth="1"/>
    <col min="7163" max="7163" width="20.6640625" style="437" customWidth="1"/>
    <col min="7164" max="7167" width="16.6640625" style="437" customWidth="1"/>
    <col min="7168" max="7168" width="2.6640625" style="437" customWidth="1"/>
    <col min="7169" max="7169" width="20.6640625" style="437" customWidth="1"/>
    <col min="7170" max="7173" width="16.6640625" style="437" customWidth="1"/>
    <col min="7174" max="7174" width="2.6640625" style="437" customWidth="1"/>
    <col min="7175" max="7175" width="20.6640625" style="437" customWidth="1"/>
    <col min="7176" max="7179" width="16.6640625" style="437" customWidth="1"/>
    <col min="7180" max="7180" width="3.77734375" style="437" customWidth="1"/>
    <col min="7181" max="7181" width="20.6640625" style="437" customWidth="1"/>
    <col min="7182" max="7185" width="16.6640625" style="437" customWidth="1"/>
    <col min="7186" max="7186" width="2.6640625" style="437" customWidth="1"/>
    <col min="7187" max="7187" width="20.6640625" style="437" customWidth="1"/>
    <col min="7188" max="7191" width="16.6640625" style="437" customWidth="1"/>
    <col min="7192" max="7192" width="4" style="437" customWidth="1"/>
    <col min="7193" max="7193" width="20.6640625" style="437" customWidth="1"/>
    <col min="7194" max="7197" width="16.6640625" style="437" customWidth="1"/>
    <col min="7198" max="7198" width="2.6640625" style="437" customWidth="1"/>
    <col min="7199" max="7199" width="20.6640625" style="437" customWidth="1"/>
    <col min="7200" max="7203" width="16.6640625" style="437" customWidth="1"/>
    <col min="7204" max="7204" width="2.6640625" style="437" customWidth="1"/>
    <col min="7205" max="7205" width="20.6640625" style="437" customWidth="1"/>
    <col min="7206" max="7209" width="16.6640625" style="437" customWidth="1"/>
    <col min="7210" max="7210" width="2.6640625" style="437" customWidth="1"/>
    <col min="7211" max="7211" width="20.6640625" style="437" customWidth="1"/>
    <col min="7212" max="7215" width="16.6640625" style="437" customWidth="1"/>
    <col min="7216" max="7216" width="2.6640625" style="437" customWidth="1"/>
    <col min="7217" max="7217" width="20.6640625" style="437" customWidth="1"/>
    <col min="7218" max="7221" width="16.6640625" style="437" customWidth="1"/>
    <col min="7222" max="7222" width="2.6640625" style="437" customWidth="1"/>
    <col min="7223" max="7223" width="20.6640625" style="437" customWidth="1"/>
    <col min="7224" max="7227" width="16.6640625" style="437" customWidth="1"/>
    <col min="7228" max="7228" width="2.6640625" style="437" customWidth="1"/>
    <col min="7229" max="7229" width="20.6640625" style="437" customWidth="1"/>
    <col min="7230" max="7233" width="16.6640625" style="437" customWidth="1"/>
    <col min="7234" max="7234" width="2.6640625" style="437" customWidth="1"/>
    <col min="7235" max="7235" width="20.6640625" style="437" customWidth="1"/>
    <col min="7236" max="7239" width="16.6640625" style="437" customWidth="1"/>
    <col min="7240" max="7240" width="2.6640625" style="437" customWidth="1"/>
    <col min="7241" max="7241" width="20.6640625" style="437" customWidth="1"/>
    <col min="7242" max="7245" width="16.6640625" style="437" customWidth="1"/>
    <col min="7246" max="7246" width="2.6640625" style="437" customWidth="1"/>
    <col min="7247" max="7247" width="20.6640625" style="437" customWidth="1"/>
    <col min="7248" max="7251" width="16.6640625" style="437" customWidth="1"/>
    <col min="7252" max="7252" width="2.6640625" style="437" customWidth="1"/>
    <col min="7253" max="7253" width="20.6640625" style="437" customWidth="1"/>
    <col min="7254" max="7257" width="16.6640625" style="437" customWidth="1"/>
    <col min="7258" max="7258" width="2.77734375" style="437" customWidth="1"/>
    <col min="7259" max="7259" width="20.6640625" style="437" customWidth="1"/>
    <col min="7260" max="7263" width="16.6640625" style="437" customWidth="1"/>
    <col min="7264" max="7264" width="2.6640625" style="437" customWidth="1"/>
    <col min="7265" max="7265" width="20.6640625" style="437" customWidth="1"/>
    <col min="7266" max="7269" width="16.6640625" style="437" customWidth="1"/>
    <col min="7270" max="7270" width="2.6640625" style="437" customWidth="1"/>
    <col min="7271" max="7271" width="20.6640625" style="437" customWidth="1"/>
    <col min="7272" max="7275" width="16.6640625" style="437" customWidth="1"/>
    <col min="7276" max="7276" width="2.6640625" style="437" customWidth="1"/>
    <col min="7277" max="7277" width="20.6640625" style="437" customWidth="1"/>
    <col min="7278" max="7281" width="16.6640625" style="437" customWidth="1"/>
    <col min="7282" max="7282" width="2.77734375" style="437" customWidth="1"/>
    <col min="7283" max="7381" width="9" style="437"/>
    <col min="7382" max="7382" width="2.6640625" style="437" customWidth="1"/>
    <col min="7383" max="7383" width="20.6640625" style="437" customWidth="1"/>
    <col min="7384" max="7387" width="16.6640625" style="437" customWidth="1"/>
    <col min="7388" max="7388" width="2.6640625" style="437" customWidth="1"/>
    <col min="7389" max="7389" width="20.6640625" style="437" customWidth="1"/>
    <col min="7390" max="7393" width="16.6640625" style="437" customWidth="1"/>
    <col min="7394" max="7394" width="4" style="437" customWidth="1"/>
    <col min="7395" max="7395" width="20.6640625" style="437" customWidth="1"/>
    <col min="7396" max="7399" width="16.6640625" style="437" customWidth="1"/>
    <col min="7400" max="7400" width="2.6640625" style="437" customWidth="1"/>
    <col min="7401" max="7401" width="20.6640625" style="437" customWidth="1"/>
    <col min="7402" max="7405" width="16.6640625" style="437" customWidth="1"/>
    <col min="7406" max="7406" width="2.6640625" style="437" customWidth="1"/>
    <col min="7407" max="7407" width="20.6640625" style="437" customWidth="1"/>
    <col min="7408" max="7411" width="16.6640625" style="437" customWidth="1"/>
    <col min="7412" max="7412" width="2.6640625" style="437" customWidth="1"/>
    <col min="7413" max="7413" width="20.6640625" style="437" customWidth="1"/>
    <col min="7414" max="7417" width="16.6640625" style="437" customWidth="1"/>
    <col min="7418" max="7418" width="2.6640625" style="437" customWidth="1"/>
    <col min="7419" max="7419" width="20.6640625" style="437" customWidth="1"/>
    <col min="7420" max="7423" width="16.6640625" style="437" customWidth="1"/>
    <col min="7424" max="7424" width="2.6640625" style="437" customWidth="1"/>
    <col min="7425" max="7425" width="20.6640625" style="437" customWidth="1"/>
    <col min="7426" max="7429" width="16.6640625" style="437" customWidth="1"/>
    <col min="7430" max="7430" width="2.6640625" style="437" customWidth="1"/>
    <col min="7431" max="7431" width="20.6640625" style="437" customWidth="1"/>
    <col min="7432" max="7435" width="16.6640625" style="437" customWidth="1"/>
    <col min="7436" max="7436" width="3.77734375" style="437" customWidth="1"/>
    <col min="7437" max="7437" width="20.6640625" style="437" customWidth="1"/>
    <col min="7438" max="7441" width="16.6640625" style="437" customWidth="1"/>
    <col min="7442" max="7442" width="2.6640625" style="437" customWidth="1"/>
    <col min="7443" max="7443" width="20.6640625" style="437" customWidth="1"/>
    <col min="7444" max="7447" width="16.6640625" style="437" customWidth="1"/>
    <col min="7448" max="7448" width="4" style="437" customWidth="1"/>
    <col min="7449" max="7449" width="20.6640625" style="437" customWidth="1"/>
    <col min="7450" max="7453" width="16.6640625" style="437" customWidth="1"/>
    <col min="7454" max="7454" width="2.6640625" style="437" customWidth="1"/>
    <col min="7455" max="7455" width="20.6640625" style="437" customWidth="1"/>
    <col min="7456" max="7459" width="16.6640625" style="437" customWidth="1"/>
    <col min="7460" max="7460" width="2.6640625" style="437" customWidth="1"/>
    <col min="7461" max="7461" width="20.6640625" style="437" customWidth="1"/>
    <col min="7462" max="7465" width="16.6640625" style="437" customWidth="1"/>
    <col min="7466" max="7466" width="2.6640625" style="437" customWidth="1"/>
    <col min="7467" max="7467" width="20.6640625" style="437" customWidth="1"/>
    <col min="7468" max="7471" width="16.6640625" style="437" customWidth="1"/>
    <col min="7472" max="7472" width="2.6640625" style="437" customWidth="1"/>
    <col min="7473" max="7473" width="20.6640625" style="437" customWidth="1"/>
    <col min="7474" max="7477" width="16.6640625" style="437" customWidth="1"/>
    <col min="7478" max="7478" width="2.6640625" style="437" customWidth="1"/>
    <col min="7479" max="7479" width="20.6640625" style="437" customWidth="1"/>
    <col min="7480" max="7483" width="16.6640625" style="437" customWidth="1"/>
    <col min="7484" max="7484" width="2.6640625" style="437" customWidth="1"/>
    <col min="7485" max="7485" width="20.6640625" style="437" customWidth="1"/>
    <col min="7486" max="7489" width="16.6640625" style="437" customWidth="1"/>
    <col min="7490" max="7490" width="2.6640625" style="437" customWidth="1"/>
    <col min="7491" max="7491" width="20.6640625" style="437" customWidth="1"/>
    <col min="7492" max="7495" width="16.6640625" style="437" customWidth="1"/>
    <col min="7496" max="7496" width="2.6640625" style="437" customWidth="1"/>
    <col min="7497" max="7497" width="20.6640625" style="437" customWidth="1"/>
    <col min="7498" max="7501" width="16.6640625" style="437" customWidth="1"/>
    <col min="7502" max="7502" width="2.6640625" style="437" customWidth="1"/>
    <col min="7503" max="7503" width="20.6640625" style="437" customWidth="1"/>
    <col min="7504" max="7507" width="16.6640625" style="437" customWidth="1"/>
    <col min="7508" max="7508" width="2.6640625" style="437" customWidth="1"/>
    <col min="7509" max="7509" width="20.6640625" style="437" customWidth="1"/>
    <col min="7510" max="7513" width="16.6640625" style="437" customWidth="1"/>
    <col min="7514" max="7514" width="2.77734375" style="437" customWidth="1"/>
    <col min="7515" max="7515" width="20.6640625" style="437" customWidth="1"/>
    <col min="7516" max="7519" width="16.6640625" style="437" customWidth="1"/>
    <col min="7520" max="7520" width="2.6640625" style="437" customWidth="1"/>
    <col min="7521" max="7521" width="20.6640625" style="437" customWidth="1"/>
    <col min="7522" max="7525" width="16.6640625" style="437" customWidth="1"/>
    <col min="7526" max="7526" width="2.6640625" style="437" customWidth="1"/>
    <col min="7527" max="7527" width="20.6640625" style="437" customWidth="1"/>
    <col min="7528" max="7531" width="16.6640625" style="437" customWidth="1"/>
    <col min="7532" max="7532" width="2.6640625" style="437" customWidth="1"/>
    <col min="7533" max="7533" width="20.6640625" style="437" customWidth="1"/>
    <col min="7534" max="7537" width="16.6640625" style="437" customWidth="1"/>
    <col min="7538" max="7538" width="2.77734375" style="437" customWidth="1"/>
    <col min="7539" max="7637" width="9" style="437"/>
    <col min="7638" max="7638" width="2.6640625" style="437" customWidth="1"/>
    <col min="7639" max="7639" width="20.6640625" style="437" customWidth="1"/>
    <col min="7640" max="7643" width="16.6640625" style="437" customWidth="1"/>
    <col min="7644" max="7644" width="2.6640625" style="437" customWidth="1"/>
    <col min="7645" max="7645" width="20.6640625" style="437" customWidth="1"/>
    <col min="7646" max="7649" width="16.6640625" style="437" customWidth="1"/>
    <col min="7650" max="7650" width="4" style="437" customWidth="1"/>
    <col min="7651" max="7651" width="20.6640625" style="437" customWidth="1"/>
    <col min="7652" max="7655" width="16.6640625" style="437" customWidth="1"/>
    <col min="7656" max="7656" width="2.6640625" style="437" customWidth="1"/>
    <col min="7657" max="7657" width="20.6640625" style="437" customWidth="1"/>
    <col min="7658" max="7661" width="16.6640625" style="437" customWidth="1"/>
    <col min="7662" max="7662" width="2.6640625" style="437" customWidth="1"/>
    <col min="7663" max="7663" width="20.6640625" style="437" customWidth="1"/>
    <col min="7664" max="7667" width="16.6640625" style="437" customWidth="1"/>
    <col min="7668" max="7668" width="2.6640625" style="437" customWidth="1"/>
    <col min="7669" max="7669" width="20.6640625" style="437" customWidth="1"/>
    <col min="7670" max="7673" width="16.6640625" style="437" customWidth="1"/>
    <col min="7674" max="7674" width="2.6640625" style="437" customWidth="1"/>
    <col min="7675" max="7675" width="20.6640625" style="437" customWidth="1"/>
    <col min="7676" max="7679" width="16.6640625" style="437" customWidth="1"/>
    <col min="7680" max="7680" width="2.6640625" style="437" customWidth="1"/>
    <col min="7681" max="7681" width="20.6640625" style="437" customWidth="1"/>
    <col min="7682" max="7685" width="16.6640625" style="437" customWidth="1"/>
    <col min="7686" max="7686" width="2.6640625" style="437" customWidth="1"/>
    <col min="7687" max="7687" width="20.6640625" style="437" customWidth="1"/>
    <col min="7688" max="7691" width="16.6640625" style="437" customWidth="1"/>
    <col min="7692" max="7692" width="3.77734375" style="437" customWidth="1"/>
    <col min="7693" max="7693" width="20.6640625" style="437" customWidth="1"/>
    <col min="7694" max="7697" width="16.6640625" style="437" customWidth="1"/>
    <col min="7698" max="7698" width="2.6640625" style="437" customWidth="1"/>
    <col min="7699" max="7699" width="20.6640625" style="437" customWidth="1"/>
    <col min="7700" max="7703" width="16.6640625" style="437" customWidth="1"/>
    <col min="7704" max="7704" width="4" style="437" customWidth="1"/>
    <col min="7705" max="7705" width="20.6640625" style="437" customWidth="1"/>
    <col min="7706" max="7709" width="16.6640625" style="437" customWidth="1"/>
    <col min="7710" max="7710" width="2.6640625" style="437" customWidth="1"/>
    <col min="7711" max="7711" width="20.6640625" style="437" customWidth="1"/>
    <col min="7712" max="7715" width="16.6640625" style="437" customWidth="1"/>
    <col min="7716" max="7716" width="2.6640625" style="437" customWidth="1"/>
    <col min="7717" max="7717" width="20.6640625" style="437" customWidth="1"/>
    <col min="7718" max="7721" width="16.6640625" style="437" customWidth="1"/>
    <col min="7722" max="7722" width="2.6640625" style="437" customWidth="1"/>
    <col min="7723" max="7723" width="20.6640625" style="437" customWidth="1"/>
    <col min="7724" max="7727" width="16.6640625" style="437" customWidth="1"/>
    <col min="7728" max="7728" width="2.6640625" style="437" customWidth="1"/>
    <col min="7729" max="7729" width="20.6640625" style="437" customWidth="1"/>
    <col min="7730" max="7733" width="16.6640625" style="437" customWidth="1"/>
    <col min="7734" max="7734" width="2.6640625" style="437" customWidth="1"/>
    <col min="7735" max="7735" width="20.6640625" style="437" customWidth="1"/>
    <col min="7736" max="7739" width="16.6640625" style="437" customWidth="1"/>
    <col min="7740" max="7740" width="2.6640625" style="437" customWidth="1"/>
    <col min="7741" max="7741" width="20.6640625" style="437" customWidth="1"/>
    <col min="7742" max="7745" width="16.6640625" style="437" customWidth="1"/>
    <col min="7746" max="7746" width="2.6640625" style="437" customWidth="1"/>
    <col min="7747" max="7747" width="20.6640625" style="437" customWidth="1"/>
    <col min="7748" max="7751" width="16.6640625" style="437" customWidth="1"/>
    <col min="7752" max="7752" width="2.6640625" style="437" customWidth="1"/>
    <col min="7753" max="7753" width="20.6640625" style="437" customWidth="1"/>
    <col min="7754" max="7757" width="16.6640625" style="437" customWidth="1"/>
    <col min="7758" max="7758" width="2.6640625" style="437" customWidth="1"/>
    <col min="7759" max="7759" width="20.6640625" style="437" customWidth="1"/>
    <col min="7760" max="7763" width="16.6640625" style="437" customWidth="1"/>
    <col min="7764" max="7764" width="2.6640625" style="437" customWidth="1"/>
    <col min="7765" max="7765" width="20.6640625" style="437" customWidth="1"/>
    <col min="7766" max="7769" width="16.6640625" style="437" customWidth="1"/>
    <col min="7770" max="7770" width="2.77734375" style="437" customWidth="1"/>
    <col min="7771" max="7771" width="20.6640625" style="437" customWidth="1"/>
    <col min="7772" max="7775" width="16.6640625" style="437" customWidth="1"/>
    <col min="7776" max="7776" width="2.6640625" style="437" customWidth="1"/>
    <col min="7777" max="7777" width="20.6640625" style="437" customWidth="1"/>
    <col min="7778" max="7781" width="16.6640625" style="437" customWidth="1"/>
    <col min="7782" max="7782" width="2.6640625" style="437" customWidth="1"/>
    <col min="7783" max="7783" width="20.6640625" style="437" customWidth="1"/>
    <col min="7784" max="7787" width="16.6640625" style="437" customWidth="1"/>
    <col min="7788" max="7788" width="2.6640625" style="437" customWidth="1"/>
    <col min="7789" max="7789" width="20.6640625" style="437" customWidth="1"/>
    <col min="7790" max="7793" width="16.6640625" style="437" customWidth="1"/>
    <col min="7794" max="7794" width="2.77734375" style="437" customWidth="1"/>
    <col min="7795" max="7893" width="9" style="437"/>
    <col min="7894" max="7894" width="2.6640625" style="437" customWidth="1"/>
    <col min="7895" max="7895" width="20.6640625" style="437" customWidth="1"/>
    <col min="7896" max="7899" width="16.6640625" style="437" customWidth="1"/>
    <col min="7900" max="7900" width="2.6640625" style="437" customWidth="1"/>
    <col min="7901" max="7901" width="20.6640625" style="437" customWidth="1"/>
    <col min="7902" max="7905" width="16.6640625" style="437" customWidth="1"/>
    <col min="7906" max="7906" width="4" style="437" customWidth="1"/>
    <col min="7907" max="7907" width="20.6640625" style="437" customWidth="1"/>
    <col min="7908" max="7911" width="16.6640625" style="437" customWidth="1"/>
    <col min="7912" max="7912" width="2.6640625" style="437" customWidth="1"/>
    <col min="7913" max="7913" width="20.6640625" style="437" customWidth="1"/>
    <col min="7914" max="7917" width="16.6640625" style="437" customWidth="1"/>
    <col min="7918" max="7918" width="2.6640625" style="437" customWidth="1"/>
    <col min="7919" max="7919" width="20.6640625" style="437" customWidth="1"/>
    <col min="7920" max="7923" width="16.6640625" style="437" customWidth="1"/>
    <col min="7924" max="7924" width="2.6640625" style="437" customWidth="1"/>
    <col min="7925" max="7925" width="20.6640625" style="437" customWidth="1"/>
    <col min="7926" max="7929" width="16.6640625" style="437" customWidth="1"/>
    <col min="7930" max="7930" width="2.6640625" style="437" customWidth="1"/>
    <col min="7931" max="7931" width="20.6640625" style="437" customWidth="1"/>
    <col min="7932" max="7935" width="16.6640625" style="437" customWidth="1"/>
    <col min="7936" max="7936" width="2.6640625" style="437" customWidth="1"/>
    <col min="7937" max="7937" width="20.6640625" style="437" customWidth="1"/>
    <col min="7938" max="7941" width="16.6640625" style="437" customWidth="1"/>
    <col min="7942" max="7942" width="2.6640625" style="437" customWidth="1"/>
    <col min="7943" max="7943" width="20.6640625" style="437" customWidth="1"/>
    <col min="7944" max="7947" width="16.6640625" style="437" customWidth="1"/>
    <col min="7948" max="7948" width="3.77734375" style="437" customWidth="1"/>
    <col min="7949" max="7949" width="20.6640625" style="437" customWidth="1"/>
    <col min="7950" max="7953" width="16.6640625" style="437" customWidth="1"/>
    <col min="7954" max="7954" width="2.6640625" style="437" customWidth="1"/>
    <col min="7955" max="7955" width="20.6640625" style="437" customWidth="1"/>
    <col min="7956" max="7959" width="16.6640625" style="437" customWidth="1"/>
    <col min="7960" max="7960" width="4" style="437" customWidth="1"/>
    <col min="7961" max="7961" width="20.6640625" style="437" customWidth="1"/>
    <col min="7962" max="7965" width="16.6640625" style="437" customWidth="1"/>
    <col min="7966" max="7966" width="2.6640625" style="437" customWidth="1"/>
    <col min="7967" max="7967" width="20.6640625" style="437" customWidth="1"/>
    <col min="7968" max="7971" width="16.6640625" style="437" customWidth="1"/>
    <col min="7972" max="7972" width="2.6640625" style="437" customWidth="1"/>
    <col min="7973" max="7973" width="20.6640625" style="437" customWidth="1"/>
    <col min="7974" max="7977" width="16.6640625" style="437" customWidth="1"/>
    <col min="7978" max="7978" width="2.6640625" style="437" customWidth="1"/>
    <col min="7979" max="7979" width="20.6640625" style="437" customWidth="1"/>
    <col min="7980" max="7983" width="16.6640625" style="437" customWidth="1"/>
    <col min="7984" max="7984" width="2.6640625" style="437" customWidth="1"/>
    <col min="7985" max="7985" width="20.6640625" style="437" customWidth="1"/>
    <col min="7986" max="7989" width="16.6640625" style="437" customWidth="1"/>
    <col min="7990" max="7990" width="2.6640625" style="437" customWidth="1"/>
    <col min="7991" max="7991" width="20.6640625" style="437" customWidth="1"/>
    <col min="7992" max="7995" width="16.6640625" style="437" customWidth="1"/>
    <col min="7996" max="7996" width="2.6640625" style="437" customWidth="1"/>
    <col min="7997" max="7997" width="20.6640625" style="437" customWidth="1"/>
    <col min="7998" max="8001" width="16.6640625" style="437" customWidth="1"/>
    <col min="8002" max="8002" width="2.6640625" style="437" customWidth="1"/>
    <col min="8003" max="8003" width="20.6640625" style="437" customWidth="1"/>
    <col min="8004" max="8007" width="16.6640625" style="437" customWidth="1"/>
    <col min="8008" max="8008" width="2.6640625" style="437" customWidth="1"/>
    <col min="8009" max="8009" width="20.6640625" style="437" customWidth="1"/>
    <col min="8010" max="8013" width="16.6640625" style="437" customWidth="1"/>
    <col min="8014" max="8014" width="2.6640625" style="437" customWidth="1"/>
    <col min="8015" max="8015" width="20.6640625" style="437" customWidth="1"/>
    <col min="8016" max="8019" width="16.6640625" style="437" customWidth="1"/>
    <col min="8020" max="8020" width="2.6640625" style="437" customWidth="1"/>
    <col min="8021" max="8021" width="20.6640625" style="437" customWidth="1"/>
    <col min="8022" max="8025" width="16.6640625" style="437" customWidth="1"/>
    <col min="8026" max="8026" width="2.77734375" style="437" customWidth="1"/>
    <col min="8027" max="8027" width="20.6640625" style="437" customWidth="1"/>
    <col min="8028" max="8031" width="16.6640625" style="437" customWidth="1"/>
    <col min="8032" max="8032" width="2.6640625" style="437" customWidth="1"/>
    <col min="8033" max="8033" width="20.6640625" style="437" customWidth="1"/>
    <col min="8034" max="8037" width="16.6640625" style="437" customWidth="1"/>
    <col min="8038" max="8038" width="2.6640625" style="437" customWidth="1"/>
    <col min="8039" max="8039" width="20.6640625" style="437" customWidth="1"/>
    <col min="8040" max="8043" width="16.6640625" style="437" customWidth="1"/>
    <col min="8044" max="8044" width="2.6640625" style="437" customWidth="1"/>
    <col min="8045" max="8045" width="20.6640625" style="437" customWidth="1"/>
    <col min="8046" max="8049" width="16.6640625" style="437" customWidth="1"/>
    <col min="8050" max="8050" width="2.77734375" style="437" customWidth="1"/>
    <col min="8051" max="8149" width="9" style="437"/>
    <col min="8150" max="8150" width="2.6640625" style="437" customWidth="1"/>
    <col min="8151" max="8151" width="20.6640625" style="437" customWidth="1"/>
    <col min="8152" max="8155" width="16.6640625" style="437" customWidth="1"/>
    <col min="8156" max="8156" width="2.6640625" style="437" customWidth="1"/>
    <col min="8157" max="8157" width="20.6640625" style="437" customWidth="1"/>
    <col min="8158" max="8161" width="16.6640625" style="437" customWidth="1"/>
    <col min="8162" max="8162" width="4" style="437" customWidth="1"/>
    <col min="8163" max="8163" width="20.6640625" style="437" customWidth="1"/>
    <col min="8164" max="8167" width="16.6640625" style="437" customWidth="1"/>
    <col min="8168" max="8168" width="2.6640625" style="437" customWidth="1"/>
    <col min="8169" max="8169" width="20.6640625" style="437" customWidth="1"/>
    <col min="8170" max="8173" width="16.6640625" style="437" customWidth="1"/>
    <col min="8174" max="8174" width="2.6640625" style="437" customWidth="1"/>
    <col min="8175" max="8175" width="20.6640625" style="437" customWidth="1"/>
    <col min="8176" max="8179" width="16.6640625" style="437" customWidth="1"/>
    <col min="8180" max="8180" width="2.6640625" style="437" customWidth="1"/>
    <col min="8181" max="8181" width="20.6640625" style="437" customWidth="1"/>
    <col min="8182" max="8185" width="16.6640625" style="437" customWidth="1"/>
    <col min="8186" max="8186" width="2.6640625" style="437" customWidth="1"/>
    <col min="8187" max="8187" width="20.6640625" style="437" customWidth="1"/>
    <col min="8188" max="8191" width="16.6640625" style="437" customWidth="1"/>
    <col min="8192" max="8192" width="2.6640625" style="437" customWidth="1"/>
    <col min="8193" max="8193" width="20.6640625" style="437" customWidth="1"/>
    <col min="8194" max="8197" width="16.6640625" style="437" customWidth="1"/>
    <col min="8198" max="8198" width="2.6640625" style="437" customWidth="1"/>
    <col min="8199" max="8199" width="20.6640625" style="437" customWidth="1"/>
    <col min="8200" max="8203" width="16.6640625" style="437" customWidth="1"/>
    <col min="8204" max="8204" width="3.77734375" style="437" customWidth="1"/>
    <col min="8205" max="8205" width="20.6640625" style="437" customWidth="1"/>
    <col min="8206" max="8209" width="16.6640625" style="437" customWidth="1"/>
    <col min="8210" max="8210" width="2.6640625" style="437" customWidth="1"/>
    <col min="8211" max="8211" width="20.6640625" style="437" customWidth="1"/>
    <col min="8212" max="8215" width="16.6640625" style="437" customWidth="1"/>
    <col min="8216" max="8216" width="4" style="437" customWidth="1"/>
    <col min="8217" max="8217" width="20.6640625" style="437" customWidth="1"/>
    <col min="8218" max="8221" width="16.6640625" style="437" customWidth="1"/>
    <col min="8222" max="8222" width="2.6640625" style="437" customWidth="1"/>
    <col min="8223" max="8223" width="20.6640625" style="437" customWidth="1"/>
    <col min="8224" max="8227" width="16.6640625" style="437" customWidth="1"/>
    <col min="8228" max="8228" width="2.6640625" style="437" customWidth="1"/>
    <col min="8229" max="8229" width="20.6640625" style="437" customWidth="1"/>
    <col min="8230" max="8233" width="16.6640625" style="437" customWidth="1"/>
    <col min="8234" max="8234" width="2.6640625" style="437" customWidth="1"/>
    <col min="8235" max="8235" width="20.6640625" style="437" customWidth="1"/>
    <col min="8236" max="8239" width="16.6640625" style="437" customWidth="1"/>
    <col min="8240" max="8240" width="2.6640625" style="437" customWidth="1"/>
    <col min="8241" max="8241" width="20.6640625" style="437" customWidth="1"/>
    <col min="8242" max="8245" width="16.6640625" style="437" customWidth="1"/>
    <col min="8246" max="8246" width="2.6640625" style="437" customWidth="1"/>
    <col min="8247" max="8247" width="20.6640625" style="437" customWidth="1"/>
    <col min="8248" max="8251" width="16.6640625" style="437" customWidth="1"/>
    <col min="8252" max="8252" width="2.6640625" style="437" customWidth="1"/>
    <col min="8253" max="8253" width="20.6640625" style="437" customWidth="1"/>
    <col min="8254" max="8257" width="16.6640625" style="437" customWidth="1"/>
    <col min="8258" max="8258" width="2.6640625" style="437" customWidth="1"/>
    <col min="8259" max="8259" width="20.6640625" style="437" customWidth="1"/>
    <col min="8260" max="8263" width="16.6640625" style="437" customWidth="1"/>
    <col min="8264" max="8264" width="2.6640625" style="437" customWidth="1"/>
    <col min="8265" max="8265" width="20.6640625" style="437" customWidth="1"/>
    <col min="8266" max="8269" width="16.6640625" style="437" customWidth="1"/>
    <col min="8270" max="8270" width="2.6640625" style="437" customWidth="1"/>
    <col min="8271" max="8271" width="20.6640625" style="437" customWidth="1"/>
    <col min="8272" max="8275" width="16.6640625" style="437" customWidth="1"/>
    <col min="8276" max="8276" width="2.6640625" style="437" customWidth="1"/>
    <col min="8277" max="8277" width="20.6640625" style="437" customWidth="1"/>
    <col min="8278" max="8281" width="16.6640625" style="437" customWidth="1"/>
    <col min="8282" max="8282" width="2.77734375" style="437" customWidth="1"/>
    <col min="8283" max="8283" width="20.6640625" style="437" customWidth="1"/>
    <col min="8284" max="8287" width="16.6640625" style="437" customWidth="1"/>
    <col min="8288" max="8288" width="2.6640625" style="437" customWidth="1"/>
    <col min="8289" max="8289" width="20.6640625" style="437" customWidth="1"/>
    <col min="8290" max="8293" width="16.6640625" style="437" customWidth="1"/>
    <col min="8294" max="8294" width="2.6640625" style="437" customWidth="1"/>
    <col min="8295" max="8295" width="20.6640625" style="437" customWidth="1"/>
    <col min="8296" max="8299" width="16.6640625" style="437" customWidth="1"/>
    <col min="8300" max="8300" width="2.6640625" style="437" customWidth="1"/>
    <col min="8301" max="8301" width="20.6640625" style="437" customWidth="1"/>
    <col min="8302" max="8305" width="16.6640625" style="437" customWidth="1"/>
    <col min="8306" max="8306" width="2.77734375" style="437" customWidth="1"/>
    <col min="8307" max="8405" width="9" style="437"/>
    <col min="8406" max="8406" width="2.6640625" style="437" customWidth="1"/>
    <col min="8407" max="8407" width="20.6640625" style="437" customWidth="1"/>
    <col min="8408" max="8411" width="16.6640625" style="437" customWidth="1"/>
    <col min="8412" max="8412" width="2.6640625" style="437" customWidth="1"/>
    <col min="8413" max="8413" width="20.6640625" style="437" customWidth="1"/>
    <col min="8414" max="8417" width="16.6640625" style="437" customWidth="1"/>
    <col min="8418" max="8418" width="4" style="437" customWidth="1"/>
    <col min="8419" max="8419" width="20.6640625" style="437" customWidth="1"/>
    <col min="8420" max="8423" width="16.6640625" style="437" customWidth="1"/>
    <col min="8424" max="8424" width="2.6640625" style="437" customWidth="1"/>
    <col min="8425" max="8425" width="20.6640625" style="437" customWidth="1"/>
    <col min="8426" max="8429" width="16.6640625" style="437" customWidth="1"/>
    <col min="8430" max="8430" width="2.6640625" style="437" customWidth="1"/>
    <col min="8431" max="8431" width="20.6640625" style="437" customWidth="1"/>
    <col min="8432" max="8435" width="16.6640625" style="437" customWidth="1"/>
    <col min="8436" max="8436" width="2.6640625" style="437" customWidth="1"/>
    <col min="8437" max="8437" width="20.6640625" style="437" customWidth="1"/>
    <col min="8438" max="8441" width="16.6640625" style="437" customWidth="1"/>
    <col min="8442" max="8442" width="2.6640625" style="437" customWidth="1"/>
    <col min="8443" max="8443" width="20.6640625" style="437" customWidth="1"/>
    <col min="8444" max="8447" width="16.6640625" style="437" customWidth="1"/>
    <col min="8448" max="8448" width="2.6640625" style="437" customWidth="1"/>
    <col min="8449" max="8449" width="20.6640625" style="437" customWidth="1"/>
    <col min="8450" max="8453" width="16.6640625" style="437" customWidth="1"/>
    <col min="8454" max="8454" width="2.6640625" style="437" customWidth="1"/>
    <col min="8455" max="8455" width="20.6640625" style="437" customWidth="1"/>
    <col min="8456" max="8459" width="16.6640625" style="437" customWidth="1"/>
    <col min="8460" max="8460" width="3.77734375" style="437" customWidth="1"/>
    <col min="8461" max="8461" width="20.6640625" style="437" customWidth="1"/>
    <col min="8462" max="8465" width="16.6640625" style="437" customWidth="1"/>
    <col min="8466" max="8466" width="2.6640625" style="437" customWidth="1"/>
    <col min="8467" max="8467" width="20.6640625" style="437" customWidth="1"/>
    <col min="8468" max="8471" width="16.6640625" style="437" customWidth="1"/>
    <col min="8472" max="8472" width="4" style="437" customWidth="1"/>
    <col min="8473" max="8473" width="20.6640625" style="437" customWidth="1"/>
    <col min="8474" max="8477" width="16.6640625" style="437" customWidth="1"/>
    <col min="8478" max="8478" width="2.6640625" style="437" customWidth="1"/>
    <col min="8479" max="8479" width="20.6640625" style="437" customWidth="1"/>
    <col min="8480" max="8483" width="16.6640625" style="437" customWidth="1"/>
    <col min="8484" max="8484" width="2.6640625" style="437" customWidth="1"/>
    <col min="8485" max="8485" width="20.6640625" style="437" customWidth="1"/>
    <col min="8486" max="8489" width="16.6640625" style="437" customWidth="1"/>
    <col min="8490" max="8490" width="2.6640625" style="437" customWidth="1"/>
    <col min="8491" max="8491" width="20.6640625" style="437" customWidth="1"/>
    <col min="8492" max="8495" width="16.6640625" style="437" customWidth="1"/>
    <col min="8496" max="8496" width="2.6640625" style="437" customWidth="1"/>
    <col min="8497" max="8497" width="20.6640625" style="437" customWidth="1"/>
    <col min="8498" max="8501" width="16.6640625" style="437" customWidth="1"/>
    <col min="8502" max="8502" width="2.6640625" style="437" customWidth="1"/>
    <col min="8503" max="8503" width="20.6640625" style="437" customWidth="1"/>
    <col min="8504" max="8507" width="16.6640625" style="437" customWidth="1"/>
    <col min="8508" max="8508" width="2.6640625" style="437" customWidth="1"/>
    <col min="8509" max="8509" width="20.6640625" style="437" customWidth="1"/>
    <col min="8510" max="8513" width="16.6640625" style="437" customWidth="1"/>
    <col min="8514" max="8514" width="2.6640625" style="437" customWidth="1"/>
    <col min="8515" max="8515" width="20.6640625" style="437" customWidth="1"/>
    <col min="8516" max="8519" width="16.6640625" style="437" customWidth="1"/>
    <col min="8520" max="8520" width="2.6640625" style="437" customWidth="1"/>
    <col min="8521" max="8521" width="20.6640625" style="437" customWidth="1"/>
    <col min="8522" max="8525" width="16.6640625" style="437" customWidth="1"/>
    <col min="8526" max="8526" width="2.6640625" style="437" customWidth="1"/>
    <col min="8527" max="8527" width="20.6640625" style="437" customWidth="1"/>
    <col min="8528" max="8531" width="16.6640625" style="437" customWidth="1"/>
    <col min="8532" max="8532" width="2.6640625" style="437" customWidth="1"/>
    <col min="8533" max="8533" width="20.6640625" style="437" customWidth="1"/>
    <col min="8534" max="8537" width="16.6640625" style="437" customWidth="1"/>
    <col min="8538" max="8538" width="2.77734375" style="437" customWidth="1"/>
    <col min="8539" max="8539" width="20.6640625" style="437" customWidth="1"/>
    <col min="8540" max="8543" width="16.6640625" style="437" customWidth="1"/>
    <col min="8544" max="8544" width="2.6640625" style="437" customWidth="1"/>
    <col min="8545" max="8545" width="20.6640625" style="437" customWidth="1"/>
    <col min="8546" max="8549" width="16.6640625" style="437" customWidth="1"/>
    <col min="8550" max="8550" width="2.6640625" style="437" customWidth="1"/>
    <col min="8551" max="8551" width="20.6640625" style="437" customWidth="1"/>
    <col min="8552" max="8555" width="16.6640625" style="437" customWidth="1"/>
    <col min="8556" max="8556" width="2.6640625" style="437" customWidth="1"/>
    <col min="8557" max="8557" width="20.6640625" style="437" customWidth="1"/>
    <col min="8558" max="8561" width="16.6640625" style="437" customWidth="1"/>
    <col min="8562" max="8562" width="2.77734375" style="437" customWidth="1"/>
    <col min="8563" max="8661" width="9" style="437"/>
    <col min="8662" max="8662" width="2.6640625" style="437" customWidth="1"/>
    <col min="8663" max="8663" width="20.6640625" style="437" customWidth="1"/>
    <col min="8664" max="8667" width="16.6640625" style="437" customWidth="1"/>
    <col min="8668" max="8668" width="2.6640625" style="437" customWidth="1"/>
    <col min="8669" max="8669" width="20.6640625" style="437" customWidth="1"/>
    <col min="8670" max="8673" width="16.6640625" style="437" customWidth="1"/>
    <col min="8674" max="8674" width="4" style="437" customWidth="1"/>
    <col min="8675" max="8675" width="20.6640625" style="437" customWidth="1"/>
    <col min="8676" max="8679" width="16.6640625" style="437" customWidth="1"/>
    <col min="8680" max="8680" width="2.6640625" style="437" customWidth="1"/>
    <col min="8681" max="8681" width="20.6640625" style="437" customWidth="1"/>
    <col min="8682" max="8685" width="16.6640625" style="437" customWidth="1"/>
    <col min="8686" max="8686" width="2.6640625" style="437" customWidth="1"/>
    <col min="8687" max="8687" width="20.6640625" style="437" customWidth="1"/>
    <col min="8688" max="8691" width="16.6640625" style="437" customWidth="1"/>
    <col min="8692" max="8692" width="2.6640625" style="437" customWidth="1"/>
    <col min="8693" max="8693" width="20.6640625" style="437" customWidth="1"/>
    <col min="8694" max="8697" width="16.6640625" style="437" customWidth="1"/>
    <col min="8698" max="8698" width="2.6640625" style="437" customWidth="1"/>
    <col min="8699" max="8699" width="20.6640625" style="437" customWidth="1"/>
    <col min="8700" max="8703" width="16.6640625" style="437" customWidth="1"/>
    <col min="8704" max="8704" width="2.6640625" style="437" customWidth="1"/>
    <col min="8705" max="8705" width="20.6640625" style="437" customWidth="1"/>
    <col min="8706" max="8709" width="16.6640625" style="437" customWidth="1"/>
    <col min="8710" max="8710" width="2.6640625" style="437" customWidth="1"/>
    <col min="8711" max="8711" width="20.6640625" style="437" customWidth="1"/>
    <col min="8712" max="8715" width="16.6640625" style="437" customWidth="1"/>
    <col min="8716" max="8716" width="3.77734375" style="437" customWidth="1"/>
    <col min="8717" max="8717" width="20.6640625" style="437" customWidth="1"/>
    <col min="8718" max="8721" width="16.6640625" style="437" customWidth="1"/>
    <col min="8722" max="8722" width="2.6640625" style="437" customWidth="1"/>
    <col min="8723" max="8723" width="20.6640625" style="437" customWidth="1"/>
    <col min="8724" max="8727" width="16.6640625" style="437" customWidth="1"/>
    <col min="8728" max="8728" width="4" style="437" customWidth="1"/>
    <col min="8729" max="8729" width="20.6640625" style="437" customWidth="1"/>
    <col min="8730" max="8733" width="16.6640625" style="437" customWidth="1"/>
    <col min="8734" max="8734" width="2.6640625" style="437" customWidth="1"/>
    <col min="8735" max="8735" width="20.6640625" style="437" customWidth="1"/>
    <col min="8736" max="8739" width="16.6640625" style="437" customWidth="1"/>
    <col min="8740" max="8740" width="2.6640625" style="437" customWidth="1"/>
    <col min="8741" max="8741" width="20.6640625" style="437" customWidth="1"/>
    <col min="8742" max="8745" width="16.6640625" style="437" customWidth="1"/>
    <col min="8746" max="8746" width="2.6640625" style="437" customWidth="1"/>
    <col min="8747" max="8747" width="20.6640625" style="437" customWidth="1"/>
    <col min="8748" max="8751" width="16.6640625" style="437" customWidth="1"/>
    <col min="8752" max="8752" width="2.6640625" style="437" customWidth="1"/>
    <col min="8753" max="8753" width="20.6640625" style="437" customWidth="1"/>
    <col min="8754" max="8757" width="16.6640625" style="437" customWidth="1"/>
    <col min="8758" max="8758" width="2.6640625" style="437" customWidth="1"/>
    <col min="8759" max="8759" width="20.6640625" style="437" customWidth="1"/>
    <col min="8760" max="8763" width="16.6640625" style="437" customWidth="1"/>
    <col min="8764" max="8764" width="2.6640625" style="437" customWidth="1"/>
    <col min="8765" max="8765" width="20.6640625" style="437" customWidth="1"/>
    <col min="8766" max="8769" width="16.6640625" style="437" customWidth="1"/>
    <col min="8770" max="8770" width="2.6640625" style="437" customWidth="1"/>
    <col min="8771" max="8771" width="20.6640625" style="437" customWidth="1"/>
    <col min="8772" max="8775" width="16.6640625" style="437" customWidth="1"/>
    <col min="8776" max="8776" width="2.6640625" style="437" customWidth="1"/>
    <col min="8777" max="8777" width="20.6640625" style="437" customWidth="1"/>
    <col min="8778" max="8781" width="16.6640625" style="437" customWidth="1"/>
    <col min="8782" max="8782" width="2.6640625" style="437" customWidth="1"/>
    <col min="8783" max="8783" width="20.6640625" style="437" customWidth="1"/>
    <col min="8784" max="8787" width="16.6640625" style="437" customWidth="1"/>
    <col min="8788" max="8788" width="2.6640625" style="437" customWidth="1"/>
    <col min="8789" max="8789" width="20.6640625" style="437" customWidth="1"/>
    <col min="8790" max="8793" width="16.6640625" style="437" customWidth="1"/>
    <col min="8794" max="8794" width="2.77734375" style="437" customWidth="1"/>
    <col min="8795" max="8795" width="20.6640625" style="437" customWidth="1"/>
    <col min="8796" max="8799" width="16.6640625" style="437" customWidth="1"/>
    <col min="8800" max="8800" width="2.6640625" style="437" customWidth="1"/>
    <col min="8801" max="8801" width="20.6640625" style="437" customWidth="1"/>
    <col min="8802" max="8805" width="16.6640625" style="437" customWidth="1"/>
    <col min="8806" max="8806" width="2.6640625" style="437" customWidth="1"/>
    <col min="8807" max="8807" width="20.6640625" style="437" customWidth="1"/>
    <col min="8808" max="8811" width="16.6640625" style="437" customWidth="1"/>
    <col min="8812" max="8812" width="2.6640625" style="437" customWidth="1"/>
    <col min="8813" max="8813" width="20.6640625" style="437" customWidth="1"/>
    <col min="8814" max="8817" width="16.6640625" style="437" customWidth="1"/>
    <col min="8818" max="8818" width="2.77734375" style="437" customWidth="1"/>
    <col min="8819" max="8917" width="9" style="437"/>
    <col min="8918" max="8918" width="2.6640625" style="437" customWidth="1"/>
    <col min="8919" max="8919" width="20.6640625" style="437" customWidth="1"/>
    <col min="8920" max="8923" width="16.6640625" style="437" customWidth="1"/>
    <col min="8924" max="8924" width="2.6640625" style="437" customWidth="1"/>
    <col min="8925" max="8925" width="20.6640625" style="437" customWidth="1"/>
    <col min="8926" max="8929" width="16.6640625" style="437" customWidth="1"/>
    <col min="8930" max="8930" width="4" style="437" customWidth="1"/>
    <col min="8931" max="8931" width="20.6640625" style="437" customWidth="1"/>
    <col min="8932" max="8935" width="16.6640625" style="437" customWidth="1"/>
    <col min="8936" max="8936" width="2.6640625" style="437" customWidth="1"/>
    <col min="8937" max="8937" width="20.6640625" style="437" customWidth="1"/>
    <col min="8938" max="8941" width="16.6640625" style="437" customWidth="1"/>
    <col min="8942" max="8942" width="2.6640625" style="437" customWidth="1"/>
    <col min="8943" max="8943" width="20.6640625" style="437" customWidth="1"/>
    <col min="8944" max="8947" width="16.6640625" style="437" customWidth="1"/>
    <col min="8948" max="8948" width="2.6640625" style="437" customWidth="1"/>
    <col min="8949" max="8949" width="20.6640625" style="437" customWidth="1"/>
    <col min="8950" max="8953" width="16.6640625" style="437" customWidth="1"/>
    <col min="8954" max="8954" width="2.6640625" style="437" customWidth="1"/>
    <col min="8955" max="8955" width="20.6640625" style="437" customWidth="1"/>
    <col min="8956" max="8959" width="16.6640625" style="437" customWidth="1"/>
    <col min="8960" max="8960" width="2.6640625" style="437" customWidth="1"/>
    <col min="8961" max="8961" width="20.6640625" style="437" customWidth="1"/>
    <col min="8962" max="8965" width="16.6640625" style="437" customWidth="1"/>
    <col min="8966" max="8966" width="2.6640625" style="437" customWidth="1"/>
    <col min="8967" max="8967" width="20.6640625" style="437" customWidth="1"/>
    <col min="8968" max="8971" width="16.6640625" style="437" customWidth="1"/>
    <col min="8972" max="8972" width="3.77734375" style="437" customWidth="1"/>
    <col min="8973" max="8973" width="20.6640625" style="437" customWidth="1"/>
    <col min="8974" max="8977" width="16.6640625" style="437" customWidth="1"/>
    <col min="8978" max="8978" width="2.6640625" style="437" customWidth="1"/>
    <col min="8979" max="8979" width="20.6640625" style="437" customWidth="1"/>
    <col min="8980" max="8983" width="16.6640625" style="437" customWidth="1"/>
    <col min="8984" max="8984" width="4" style="437" customWidth="1"/>
    <col min="8985" max="8985" width="20.6640625" style="437" customWidth="1"/>
    <col min="8986" max="8989" width="16.6640625" style="437" customWidth="1"/>
    <col min="8990" max="8990" width="2.6640625" style="437" customWidth="1"/>
    <col min="8991" max="8991" width="20.6640625" style="437" customWidth="1"/>
    <col min="8992" max="8995" width="16.6640625" style="437" customWidth="1"/>
    <col min="8996" max="8996" width="2.6640625" style="437" customWidth="1"/>
    <col min="8997" max="8997" width="20.6640625" style="437" customWidth="1"/>
    <col min="8998" max="9001" width="16.6640625" style="437" customWidth="1"/>
    <col min="9002" max="9002" width="2.6640625" style="437" customWidth="1"/>
    <col min="9003" max="9003" width="20.6640625" style="437" customWidth="1"/>
    <col min="9004" max="9007" width="16.6640625" style="437" customWidth="1"/>
    <col min="9008" max="9008" width="2.6640625" style="437" customWidth="1"/>
    <col min="9009" max="9009" width="20.6640625" style="437" customWidth="1"/>
    <col min="9010" max="9013" width="16.6640625" style="437" customWidth="1"/>
    <col min="9014" max="9014" width="2.6640625" style="437" customWidth="1"/>
    <col min="9015" max="9015" width="20.6640625" style="437" customWidth="1"/>
    <col min="9016" max="9019" width="16.6640625" style="437" customWidth="1"/>
    <col min="9020" max="9020" width="2.6640625" style="437" customWidth="1"/>
    <col min="9021" max="9021" width="20.6640625" style="437" customWidth="1"/>
    <col min="9022" max="9025" width="16.6640625" style="437" customWidth="1"/>
    <col min="9026" max="9026" width="2.6640625" style="437" customWidth="1"/>
    <col min="9027" max="9027" width="20.6640625" style="437" customWidth="1"/>
    <col min="9028" max="9031" width="16.6640625" style="437" customWidth="1"/>
    <col min="9032" max="9032" width="2.6640625" style="437" customWidth="1"/>
    <col min="9033" max="9033" width="20.6640625" style="437" customWidth="1"/>
    <col min="9034" max="9037" width="16.6640625" style="437" customWidth="1"/>
    <col min="9038" max="9038" width="2.6640625" style="437" customWidth="1"/>
    <col min="9039" max="9039" width="20.6640625" style="437" customWidth="1"/>
    <col min="9040" max="9043" width="16.6640625" style="437" customWidth="1"/>
    <col min="9044" max="9044" width="2.6640625" style="437" customWidth="1"/>
    <col min="9045" max="9045" width="20.6640625" style="437" customWidth="1"/>
    <col min="9046" max="9049" width="16.6640625" style="437" customWidth="1"/>
    <col min="9050" max="9050" width="2.77734375" style="437" customWidth="1"/>
    <col min="9051" max="9051" width="20.6640625" style="437" customWidth="1"/>
    <col min="9052" max="9055" width="16.6640625" style="437" customWidth="1"/>
    <col min="9056" max="9056" width="2.6640625" style="437" customWidth="1"/>
    <col min="9057" max="9057" width="20.6640625" style="437" customWidth="1"/>
    <col min="9058" max="9061" width="16.6640625" style="437" customWidth="1"/>
    <col min="9062" max="9062" width="2.6640625" style="437" customWidth="1"/>
    <col min="9063" max="9063" width="20.6640625" style="437" customWidth="1"/>
    <col min="9064" max="9067" width="16.6640625" style="437" customWidth="1"/>
    <col min="9068" max="9068" width="2.6640625" style="437" customWidth="1"/>
    <col min="9069" max="9069" width="20.6640625" style="437" customWidth="1"/>
    <col min="9070" max="9073" width="16.6640625" style="437" customWidth="1"/>
    <col min="9074" max="9074" width="2.77734375" style="437" customWidth="1"/>
    <col min="9075" max="9173" width="9" style="437"/>
    <col min="9174" max="9174" width="2.6640625" style="437" customWidth="1"/>
    <col min="9175" max="9175" width="20.6640625" style="437" customWidth="1"/>
    <col min="9176" max="9179" width="16.6640625" style="437" customWidth="1"/>
    <col min="9180" max="9180" width="2.6640625" style="437" customWidth="1"/>
    <col min="9181" max="9181" width="20.6640625" style="437" customWidth="1"/>
    <col min="9182" max="9185" width="16.6640625" style="437" customWidth="1"/>
    <col min="9186" max="9186" width="4" style="437" customWidth="1"/>
    <col min="9187" max="9187" width="20.6640625" style="437" customWidth="1"/>
    <col min="9188" max="9191" width="16.6640625" style="437" customWidth="1"/>
    <col min="9192" max="9192" width="2.6640625" style="437" customWidth="1"/>
    <col min="9193" max="9193" width="20.6640625" style="437" customWidth="1"/>
    <col min="9194" max="9197" width="16.6640625" style="437" customWidth="1"/>
    <col min="9198" max="9198" width="2.6640625" style="437" customWidth="1"/>
    <col min="9199" max="9199" width="20.6640625" style="437" customWidth="1"/>
    <col min="9200" max="9203" width="16.6640625" style="437" customWidth="1"/>
    <col min="9204" max="9204" width="2.6640625" style="437" customWidth="1"/>
    <col min="9205" max="9205" width="20.6640625" style="437" customWidth="1"/>
    <col min="9206" max="9209" width="16.6640625" style="437" customWidth="1"/>
    <col min="9210" max="9210" width="2.6640625" style="437" customWidth="1"/>
    <col min="9211" max="9211" width="20.6640625" style="437" customWidth="1"/>
    <col min="9212" max="9215" width="16.6640625" style="437" customWidth="1"/>
    <col min="9216" max="9216" width="2.6640625" style="437" customWidth="1"/>
    <col min="9217" max="9217" width="20.6640625" style="437" customWidth="1"/>
    <col min="9218" max="9221" width="16.6640625" style="437" customWidth="1"/>
    <col min="9222" max="9222" width="2.6640625" style="437" customWidth="1"/>
    <col min="9223" max="9223" width="20.6640625" style="437" customWidth="1"/>
    <col min="9224" max="9227" width="16.6640625" style="437" customWidth="1"/>
    <col min="9228" max="9228" width="3.77734375" style="437" customWidth="1"/>
    <col min="9229" max="9229" width="20.6640625" style="437" customWidth="1"/>
    <col min="9230" max="9233" width="16.6640625" style="437" customWidth="1"/>
    <col min="9234" max="9234" width="2.6640625" style="437" customWidth="1"/>
    <col min="9235" max="9235" width="20.6640625" style="437" customWidth="1"/>
    <col min="9236" max="9239" width="16.6640625" style="437" customWidth="1"/>
    <col min="9240" max="9240" width="4" style="437" customWidth="1"/>
    <col min="9241" max="9241" width="20.6640625" style="437" customWidth="1"/>
    <col min="9242" max="9245" width="16.6640625" style="437" customWidth="1"/>
    <col min="9246" max="9246" width="2.6640625" style="437" customWidth="1"/>
    <col min="9247" max="9247" width="20.6640625" style="437" customWidth="1"/>
    <col min="9248" max="9251" width="16.6640625" style="437" customWidth="1"/>
    <col min="9252" max="9252" width="2.6640625" style="437" customWidth="1"/>
    <col min="9253" max="9253" width="20.6640625" style="437" customWidth="1"/>
    <col min="9254" max="9257" width="16.6640625" style="437" customWidth="1"/>
    <col min="9258" max="9258" width="2.6640625" style="437" customWidth="1"/>
    <col min="9259" max="9259" width="20.6640625" style="437" customWidth="1"/>
    <col min="9260" max="9263" width="16.6640625" style="437" customWidth="1"/>
    <col min="9264" max="9264" width="2.6640625" style="437" customWidth="1"/>
    <col min="9265" max="9265" width="20.6640625" style="437" customWidth="1"/>
    <col min="9266" max="9269" width="16.6640625" style="437" customWidth="1"/>
    <col min="9270" max="9270" width="2.6640625" style="437" customWidth="1"/>
    <col min="9271" max="9271" width="20.6640625" style="437" customWidth="1"/>
    <col min="9272" max="9275" width="16.6640625" style="437" customWidth="1"/>
    <col min="9276" max="9276" width="2.6640625" style="437" customWidth="1"/>
    <col min="9277" max="9277" width="20.6640625" style="437" customWidth="1"/>
    <col min="9278" max="9281" width="16.6640625" style="437" customWidth="1"/>
    <col min="9282" max="9282" width="2.6640625" style="437" customWidth="1"/>
    <col min="9283" max="9283" width="20.6640625" style="437" customWidth="1"/>
    <col min="9284" max="9287" width="16.6640625" style="437" customWidth="1"/>
    <col min="9288" max="9288" width="2.6640625" style="437" customWidth="1"/>
    <col min="9289" max="9289" width="20.6640625" style="437" customWidth="1"/>
    <col min="9290" max="9293" width="16.6640625" style="437" customWidth="1"/>
    <col min="9294" max="9294" width="2.6640625" style="437" customWidth="1"/>
    <col min="9295" max="9295" width="20.6640625" style="437" customWidth="1"/>
    <col min="9296" max="9299" width="16.6640625" style="437" customWidth="1"/>
    <col min="9300" max="9300" width="2.6640625" style="437" customWidth="1"/>
    <col min="9301" max="9301" width="20.6640625" style="437" customWidth="1"/>
    <col min="9302" max="9305" width="16.6640625" style="437" customWidth="1"/>
    <col min="9306" max="9306" width="2.77734375" style="437" customWidth="1"/>
    <col min="9307" max="9307" width="20.6640625" style="437" customWidth="1"/>
    <col min="9308" max="9311" width="16.6640625" style="437" customWidth="1"/>
    <col min="9312" max="9312" width="2.6640625" style="437" customWidth="1"/>
    <col min="9313" max="9313" width="20.6640625" style="437" customWidth="1"/>
    <col min="9314" max="9317" width="16.6640625" style="437" customWidth="1"/>
    <col min="9318" max="9318" width="2.6640625" style="437" customWidth="1"/>
    <col min="9319" max="9319" width="20.6640625" style="437" customWidth="1"/>
    <col min="9320" max="9323" width="16.6640625" style="437" customWidth="1"/>
    <col min="9324" max="9324" width="2.6640625" style="437" customWidth="1"/>
    <col min="9325" max="9325" width="20.6640625" style="437" customWidth="1"/>
    <col min="9326" max="9329" width="16.6640625" style="437" customWidth="1"/>
    <col min="9330" max="9330" width="2.77734375" style="437" customWidth="1"/>
    <col min="9331" max="9429" width="9" style="437"/>
    <col min="9430" max="9430" width="2.6640625" style="437" customWidth="1"/>
    <col min="9431" max="9431" width="20.6640625" style="437" customWidth="1"/>
    <col min="9432" max="9435" width="16.6640625" style="437" customWidth="1"/>
    <col min="9436" max="9436" width="2.6640625" style="437" customWidth="1"/>
    <col min="9437" max="9437" width="20.6640625" style="437" customWidth="1"/>
    <col min="9438" max="9441" width="16.6640625" style="437" customWidth="1"/>
    <col min="9442" max="9442" width="4" style="437" customWidth="1"/>
    <col min="9443" max="9443" width="20.6640625" style="437" customWidth="1"/>
    <col min="9444" max="9447" width="16.6640625" style="437" customWidth="1"/>
    <col min="9448" max="9448" width="2.6640625" style="437" customWidth="1"/>
    <col min="9449" max="9449" width="20.6640625" style="437" customWidth="1"/>
    <col min="9450" max="9453" width="16.6640625" style="437" customWidth="1"/>
    <col min="9454" max="9454" width="2.6640625" style="437" customWidth="1"/>
    <col min="9455" max="9455" width="20.6640625" style="437" customWidth="1"/>
    <col min="9456" max="9459" width="16.6640625" style="437" customWidth="1"/>
    <col min="9460" max="9460" width="2.6640625" style="437" customWidth="1"/>
    <col min="9461" max="9461" width="20.6640625" style="437" customWidth="1"/>
    <col min="9462" max="9465" width="16.6640625" style="437" customWidth="1"/>
    <col min="9466" max="9466" width="2.6640625" style="437" customWidth="1"/>
    <col min="9467" max="9467" width="20.6640625" style="437" customWidth="1"/>
    <col min="9468" max="9471" width="16.6640625" style="437" customWidth="1"/>
    <col min="9472" max="9472" width="2.6640625" style="437" customWidth="1"/>
    <col min="9473" max="9473" width="20.6640625" style="437" customWidth="1"/>
    <col min="9474" max="9477" width="16.6640625" style="437" customWidth="1"/>
    <col min="9478" max="9478" width="2.6640625" style="437" customWidth="1"/>
    <col min="9479" max="9479" width="20.6640625" style="437" customWidth="1"/>
    <col min="9480" max="9483" width="16.6640625" style="437" customWidth="1"/>
    <col min="9484" max="9484" width="3.77734375" style="437" customWidth="1"/>
    <col min="9485" max="9485" width="20.6640625" style="437" customWidth="1"/>
    <col min="9486" max="9489" width="16.6640625" style="437" customWidth="1"/>
    <col min="9490" max="9490" width="2.6640625" style="437" customWidth="1"/>
    <col min="9491" max="9491" width="20.6640625" style="437" customWidth="1"/>
    <col min="9492" max="9495" width="16.6640625" style="437" customWidth="1"/>
    <col min="9496" max="9496" width="4" style="437" customWidth="1"/>
    <col min="9497" max="9497" width="20.6640625" style="437" customWidth="1"/>
    <col min="9498" max="9501" width="16.6640625" style="437" customWidth="1"/>
    <col min="9502" max="9502" width="2.6640625" style="437" customWidth="1"/>
    <col min="9503" max="9503" width="20.6640625" style="437" customWidth="1"/>
    <col min="9504" max="9507" width="16.6640625" style="437" customWidth="1"/>
    <col min="9508" max="9508" width="2.6640625" style="437" customWidth="1"/>
    <col min="9509" max="9509" width="20.6640625" style="437" customWidth="1"/>
    <col min="9510" max="9513" width="16.6640625" style="437" customWidth="1"/>
    <col min="9514" max="9514" width="2.6640625" style="437" customWidth="1"/>
    <col min="9515" max="9515" width="20.6640625" style="437" customWidth="1"/>
    <col min="9516" max="9519" width="16.6640625" style="437" customWidth="1"/>
    <col min="9520" max="9520" width="2.6640625" style="437" customWidth="1"/>
    <col min="9521" max="9521" width="20.6640625" style="437" customWidth="1"/>
    <col min="9522" max="9525" width="16.6640625" style="437" customWidth="1"/>
    <col min="9526" max="9526" width="2.6640625" style="437" customWidth="1"/>
    <col min="9527" max="9527" width="20.6640625" style="437" customWidth="1"/>
    <col min="9528" max="9531" width="16.6640625" style="437" customWidth="1"/>
    <col min="9532" max="9532" width="2.6640625" style="437" customWidth="1"/>
    <col min="9533" max="9533" width="20.6640625" style="437" customWidth="1"/>
    <col min="9534" max="9537" width="16.6640625" style="437" customWidth="1"/>
    <col min="9538" max="9538" width="2.6640625" style="437" customWidth="1"/>
    <col min="9539" max="9539" width="20.6640625" style="437" customWidth="1"/>
    <col min="9540" max="9543" width="16.6640625" style="437" customWidth="1"/>
    <col min="9544" max="9544" width="2.6640625" style="437" customWidth="1"/>
    <col min="9545" max="9545" width="20.6640625" style="437" customWidth="1"/>
    <col min="9546" max="9549" width="16.6640625" style="437" customWidth="1"/>
    <col min="9550" max="9550" width="2.6640625" style="437" customWidth="1"/>
    <col min="9551" max="9551" width="20.6640625" style="437" customWidth="1"/>
    <col min="9552" max="9555" width="16.6640625" style="437" customWidth="1"/>
    <col min="9556" max="9556" width="2.6640625" style="437" customWidth="1"/>
    <col min="9557" max="9557" width="20.6640625" style="437" customWidth="1"/>
    <col min="9558" max="9561" width="16.6640625" style="437" customWidth="1"/>
    <col min="9562" max="9562" width="2.77734375" style="437" customWidth="1"/>
    <col min="9563" max="9563" width="20.6640625" style="437" customWidth="1"/>
    <col min="9564" max="9567" width="16.6640625" style="437" customWidth="1"/>
    <col min="9568" max="9568" width="2.6640625" style="437" customWidth="1"/>
    <col min="9569" max="9569" width="20.6640625" style="437" customWidth="1"/>
    <col min="9570" max="9573" width="16.6640625" style="437" customWidth="1"/>
    <col min="9574" max="9574" width="2.6640625" style="437" customWidth="1"/>
    <col min="9575" max="9575" width="20.6640625" style="437" customWidth="1"/>
    <col min="9576" max="9579" width="16.6640625" style="437" customWidth="1"/>
    <col min="9580" max="9580" width="2.6640625" style="437" customWidth="1"/>
    <col min="9581" max="9581" width="20.6640625" style="437" customWidth="1"/>
    <col min="9582" max="9585" width="16.6640625" style="437" customWidth="1"/>
    <col min="9586" max="9586" width="2.77734375" style="437" customWidth="1"/>
    <col min="9587" max="9685" width="9" style="437"/>
    <col min="9686" max="9686" width="2.6640625" style="437" customWidth="1"/>
    <col min="9687" max="9687" width="20.6640625" style="437" customWidth="1"/>
    <col min="9688" max="9691" width="16.6640625" style="437" customWidth="1"/>
    <col min="9692" max="9692" width="2.6640625" style="437" customWidth="1"/>
    <col min="9693" max="9693" width="20.6640625" style="437" customWidth="1"/>
    <col min="9694" max="9697" width="16.6640625" style="437" customWidth="1"/>
    <col min="9698" max="9698" width="4" style="437" customWidth="1"/>
    <col min="9699" max="9699" width="20.6640625" style="437" customWidth="1"/>
    <col min="9700" max="9703" width="16.6640625" style="437" customWidth="1"/>
    <col min="9704" max="9704" width="2.6640625" style="437" customWidth="1"/>
    <col min="9705" max="9705" width="20.6640625" style="437" customWidth="1"/>
    <col min="9706" max="9709" width="16.6640625" style="437" customWidth="1"/>
    <col min="9710" max="9710" width="2.6640625" style="437" customWidth="1"/>
    <col min="9711" max="9711" width="20.6640625" style="437" customWidth="1"/>
    <col min="9712" max="9715" width="16.6640625" style="437" customWidth="1"/>
    <col min="9716" max="9716" width="2.6640625" style="437" customWidth="1"/>
    <col min="9717" max="9717" width="20.6640625" style="437" customWidth="1"/>
    <col min="9718" max="9721" width="16.6640625" style="437" customWidth="1"/>
    <col min="9722" max="9722" width="2.6640625" style="437" customWidth="1"/>
    <col min="9723" max="9723" width="20.6640625" style="437" customWidth="1"/>
    <col min="9724" max="9727" width="16.6640625" style="437" customWidth="1"/>
    <col min="9728" max="9728" width="2.6640625" style="437" customWidth="1"/>
    <col min="9729" max="9729" width="20.6640625" style="437" customWidth="1"/>
    <col min="9730" max="9733" width="16.6640625" style="437" customWidth="1"/>
    <col min="9734" max="9734" width="2.6640625" style="437" customWidth="1"/>
    <col min="9735" max="9735" width="20.6640625" style="437" customWidth="1"/>
    <col min="9736" max="9739" width="16.6640625" style="437" customWidth="1"/>
    <col min="9740" max="9740" width="3.77734375" style="437" customWidth="1"/>
    <col min="9741" max="9741" width="20.6640625" style="437" customWidth="1"/>
    <col min="9742" max="9745" width="16.6640625" style="437" customWidth="1"/>
    <col min="9746" max="9746" width="2.6640625" style="437" customWidth="1"/>
    <col min="9747" max="9747" width="20.6640625" style="437" customWidth="1"/>
    <col min="9748" max="9751" width="16.6640625" style="437" customWidth="1"/>
    <col min="9752" max="9752" width="4" style="437" customWidth="1"/>
    <col min="9753" max="9753" width="20.6640625" style="437" customWidth="1"/>
    <col min="9754" max="9757" width="16.6640625" style="437" customWidth="1"/>
    <col min="9758" max="9758" width="2.6640625" style="437" customWidth="1"/>
    <col min="9759" max="9759" width="20.6640625" style="437" customWidth="1"/>
    <col min="9760" max="9763" width="16.6640625" style="437" customWidth="1"/>
    <col min="9764" max="9764" width="2.6640625" style="437" customWidth="1"/>
    <col min="9765" max="9765" width="20.6640625" style="437" customWidth="1"/>
    <col min="9766" max="9769" width="16.6640625" style="437" customWidth="1"/>
    <col min="9770" max="9770" width="2.6640625" style="437" customWidth="1"/>
    <col min="9771" max="9771" width="20.6640625" style="437" customWidth="1"/>
    <col min="9772" max="9775" width="16.6640625" style="437" customWidth="1"/>
    <col min="9776" max="9776" width="2.6640625" style="437" customWidth="1"/>
    <col min="9777" max="9777" width="20.6640625" style="437" customWidth="1"/>
    <col min="9778" max="9781" width="16.6640625" style="437" customWidth="1"/>
    <col min="9782" max="9782" width="2.6640625" style="437" customWidth="1"/>
    <col min="9783" max="9783" width="20.6640625" style="437" customWidth="1"/>
    <col min="9784" max="9787" width="16.6640625" style="437" customWidth="1"/>
    <col min="9788" max="9788" width="2.6640625" style="437" customWidth="1"/>
    <col min="9789" max="9789" width="20.6640625" style="437" customWidth="1"/>
    <col min="9790" max="9793" width="16.6640625" style="437" customWidth="1"/>
    <col min="9794" max="9794" width="2.6640625" style="437" customWidth="1"/>
    <col min="9795" max="9795" width="20.6640625" style="437" customWidth="1"/>
    <col min="9796" max="9799" width="16.6640625" style="437" customWidth="1"/>
    <col min="9800" max="9800" width="2.6640625" style="437" customWidth="1"/>
    <col min="9801" max="9801" width="20.6640625" style="437" customWidth="1"/>
    <col min="9802" max="9805" width="16.6640625" style="437" customWidth="1"/>
    <col min="9806" max="9806" width="2.6640625" style="437" customWidth="1"/>
    <col min="9807" max="9807" width="20.6640625" style="437" customWidth="1"/>
    <col min="9808" max="9811" width="16.6640625" style="437" customWidth="1"/>
    <col min="9812" max="9812" width="2.6640625" style="437" customWidth="1"/>
    <col min="9813" max="9813" width="20.6640625" style="437" customWidth="1"/>
    <col min="9814" max="9817" width="16.6640625" style="437" customWidth="1"/>
    <col min="9818" max="9818" width="2.77734375" style="437" customWidth="1"/>
    <col min="9819" max="9819" width="20.6640625" style="437" customWidth="1"/>
    <col min="9820" max="9823" width="16.6640625" style="437" customWidth="1"/>
    <col min="9824" max="9824" width="2.6640625" style="437" customWidth="1"/>
    <col min="9825" max="9825" width="20.6640625" style="437" customWidth="1"/>
    <col min="9826" max="9829" width="16.6640625" style="437" customWidth="1"/>
    <col min="9830" max="9830" width="2.6640625" style="437" customWidth="1"/>
    <col min="9831" max="9831" width="20.6640625" style="437" customWidth="1"/>
    <col min="9832" max="9835" width="16.6640625" style="437" customWidth="1"/>
    <col min="9836" max="9836" width="2.6640625" style="437" customWidth="1"/>
    <col min="9837" max="9837" width="20.6640625" style="437" customWidth="1"/>
    <col min="9838" max="9841" width="16.6640625" style="437" customWidth="1"/>
    <col min="9842" max="9842" width="2.77734375" style="437" customWidth="1"/>
    <col min="9843" max="9941" width="9" style="437"/>
    <col min="9942" max="9942" width="2.6640625" style="437" customWidth="1"/>
    <col min="9943" max="9943" width="20.6640625" style="437" customWidth="1"/>
    <col min="9944" max="9947" width="16.6640625" style="437" customWidth="1"/>
    <col min="9948" max="9948" width="2.6640625" style="437" customWidth="1"/>
    <col min="9949" max="9949" width="20.6640625" style="437" customWidth="1"/>
    <col min="9950" max="9953" width="16.6640625" style="437" customWidth="1"/>
    <col min="9954" max="9954" width="4" style="437" customWidth="1"/>
    <col min="9955" max="9955" width="20.6640625" style="437" customWidth="1"/>
    <col min="9956" max="9959" width="16.6640625" style="437" customWidth="1"/>
    <col min="9960" max="9960" width="2.6640625" style="437" customWidth="1"/>
    <col min="9961" max="9961" width="20.6640625" style="437" customWidth="1"/>
    <col min="9962" max="9965" width="16.6640625" style="437" customWidth="1"/>
    <col min="9966" max="9966" width="2.6640625" style="437" customWidth="1"/>
    <col min="9967" max="9967" width="20.6640625" style="437" customWidth="1"/>
    <col min="9968" max="9971" width="16.6640625" style="437" customWidth="1"/>
    <col min="9972" max="9972" width="2.6640625" style="437" customWidth="1"/>
    <col min="9973" max="9973" width="20.6640625" style="437" customWidth="1"/>
    <col min="9974" max="9977" width="16.6640625" style="437" customWidth="1"/>
    <col min="9978" max="9978" width="2.6640625" style="437" customWidth="1"/>
    <col min="9979" max="9979" width="20.6640625" style="437" customWidth="1"/>
    <col min="9980" max="9983" width="16.6640625" style="437" customWidth="1"/>
    <col min="9984" max="9984" width="2.6640625" style="437" customWidth="1"/>
    <col min="9985" max="9985" width="20.6640625" style="437" customWidth="1"/>
    <col min="9986" max="9989" width="16.6640625" style="437" customWidth="1"/>
    <col min="9990" max="9990" width="2.6640625" style="437" customWidth="1"/>
    <col min="9991" max="9991" width="20.6640625" style="437" customWidth="1"/>
    <col min="9992" max="9995" width="16.6640625" style="437" customWidth="1"/>
    <col min="9996" max="9996" width="3.77734375" style="437" customWidth="1"/>
    <col min="9997" max="9997" width="20.6640625" style="437" customWidth="1"/>
    <col min="9998" max="10001" width="16.6640625" style="437" customWidth="1"/>
    <col min="10002" max="10002" width="2.6640625" style="437" customWidth="1"/>
    <col min="10003" max="10003" width="20.6640625" style="437" customWidth="1"/>
    <col min="10004" max="10007" width="16.6640625" style="437" customWidth="1"/>
    <col min="10008" max="10008" width="4" style="437" customWidth="1"/>
    <col min="10009" max="10009" width="20.6640625" style="437" customWidth="1"/>
    <col min="10010" max="10013" width="16.6640625" style="437" customWidth="1"/>
    <col min="10014" max="10014" width="2.6640625" style="437" customWidth="1"/>
    <col min="10015" max="10015" width="20.6640625" style="437" customWidth="1"/>
    <col min="10016" max="10019" width="16.6640625" style="437" customWidth="1"/>
    <col min="10020" max="10020" width="2.6640625" style="437" customWidth="1"/>
    <col min="10021" max="10021" width="20.6640625" style="437" customWidth="1"/>
    <col min="10022" max="10025" width="16.6640625" style="437" customWidth="1"/>
    <col min="10026" max="10026" width="2.6640625" style="437" customWidth="1"/>
    <col min="10027" max="10027" width="20.6640625" style="437" customWidth="1"/>
    <col min="10028" max="10031" width="16.6640625" style="437" customWidth="1"/>
    <col min="10032" max="10032" width="2.6640625" style="437" customWidth="1"/>
    <col min="10033" max="10033" width="20.6640625" style="437" customWidth="1"/>
    <col min="10034" max="10037" width="16.6640625" style="437" customWidth="1"/>
    <col min="10038" max="10038" width="2.6640625" style="437" customWidth="1"/>
    <col min="10039" max="10039" width="20.6640625" style="437" customWidth="1"/>
    <col min="10040" max="10043" width="16.6640625" style="437" customWidth="1"/>
    <col min="10044" max="10044" width="2.6640625" style="437" customWidth="1"/>
    <col min="10045" max="10045" width="20.6640625" style="437" customWidth="1"/>
    <col min="10046" max="10049" width="16.6640625" style="437" customWidth="1"/>
    <col min="10050" max="10050" width="2.6640625" style="437" customWidth="1"/>
    <col min="10051" max="10051" width="20.6640625" style="437" customWidth="1"/>
    <col min="10052" max="10055" width="16.6640625" style="437" customWidth="1"/>
    <col min="10056" max="10056" width="2.6640625" style="437" customWidth="1"/>
    <col min="10057" max="10057" width="20.6640625" style="437" customWidth="1"/>
    <col min="10058" max="10061" width="16.6640625" style="437" customWidth="1"/>
    <col min="10062" max="10062" width="2.6640625" style="437" customWidth="1"/>
    <col min="10063" max="10063" width="20.6640625" style="437" customWidth="1"/>
    <col min="10064" max="10067" width="16.6640625" style="437" customWidth="1"/>
    <col min="10068" max="10068" width="2.6640625" style="437" customWidth="1"/>
    <col min="10069" max="10069" width="20.6640625" style="437" customWidth="1"/>
    <col min="10070" max="10073" width="16.6640625" style="437" customWidth="1"/>
    <col min="10074" max="10074" width="2.77734375" style="437" customWidth="1"/>
    <col min="10075" max="10075" width="20.6640625" style="437" customWidth="1"/>
    <col min="10076" max="10079" width="16.6640625" style="437" customWidth="1"/>
    <col min="10080" max="10080" width="2.6640625" style="437" customWidth="1"/>
    <col min="10081" max="10081" width="20.6640625" style="437" customWidth="1"/>
    <col min="10082" max="10085" width="16.6640625" style="437" customWidth="1"/>
    <col min="10086" max="10086" width="2.6640625" style="437" customWidth="1"/>
    <col min="10087" max="10087" width="20.6640625" style="437" customWidth="1"/>
    <col min="10088" max="10091" width="16.6640625" style="437" customWidth="1"/>
    <col min="10092" max="10092" width="2.6640625" style="437" customWidth="1"/>
    <col min="10093" max="10093" width="20.6640625" style="437" customWidth="1"/>
    <col min="10094" max="10097" width="16.6640625" style="437" customWidth="1"/>
    <col min="10098" max="10098" width="2.77734375" style="437" customWidth="1"/>
    <col min="10099" max="10197" width="9" style="437"/>
    <col min="10198" max="10198" width="2.6640625" style="437" customWidth="1"/>
    <col min="10199" max="10199" width="20.6640625" style="437" customWidth="1"/>
    <col min="10200" max="10203" width="16.6640625" style="437" customWidth="1"/>
    <col min="10204" max="10204" width="2.6640625" style="437" customWidth="1"/>
    <col min="10205" max="10205" width="20.6640625" style="437" customWidth="1"/>
    <col min="10206" max="10209" width="16.6640625" style="437" customWidth="1"/>
    <col min="10210" max="10210" width="4" style="437" customWidth="1"/>
    <col min="10211" max="10211" width="20.6640625" style="437" customWidth="1"/>
    <col min="10212" max="10215" width="16.6640625" style="437" customWidth="1"/>
    <col min="10216" max="10216" width="2.6640625" style="437" customWidth="1"/>
    <col min="10217" max="10217" width="20.6640625" style="437" customWidth="1"/>
    <col min="10218" max="10221" width="16.6640625" style="437" customWidth="1"/>
    <col min="10222" max="10222" width="2.6640625" style="437" customWidth="1"/>
    <col min="10223" max="10223" width="20.6640625" style="437" customWidth="1"/>
    <col min="10224" max="10227" width="16.6640625" style="437" customWidth="1"/>
    <col min="10228" max="10228" width="2.6640625" style="437" customWidth="1"/>
    <col min="10229" max="10229" width="20.6640625" style="437" customWidth="1"/>
    <col min="10230" max="10233" width="16.6640625" style="437" customWidth="1"/>
    <col min="10234" max="10234" width="2.6640625" style="437" customWidth="1"/>
    <col min="10235" max="10235" width="20.6640625" style="437" customWidth="1"/>
    <col min="10236" max="10239" width="16.6640625" style="437" customWidth="1"/>
    <col min="10240" max="10240" width="2.6640625" style="437" customWidth="1"/>
    <col min="10241" max="10241" width="20.6640625" style="437" customWidth="1"/>
    <col min="10242" max="10245" width="16.6640625" style="437" customWidth="1"/>
    <col min="10246" max="10246" width="2.6640625" style="437" customWidth="1"/>
    <col min="10247" max="10247" width="20.6640625" style="437" customWidth="1"/>
    <col min="10248" max="10251" width="16.6640625" style="437" customWidth="1"/>
    <col min="10252" max="10252" width="3.77734375" style="437" customWidth="1"/>
    <col min="10253" max="10253" width="20.6640625" style="437" customWidth="1"/>
    <col min="10254" max="10257" width="16.6640625" style="437" customWidth="1"/>
    <col min="10258" max="10258" width="2.6640625" style="437" customWidth="1"/>
    <col min="10259" max="10259" width="20.6640625" style="437" customWidth="1"/>
    <col min="10260" max="10263" width="16.6640625" style="437" customWidth="1"/>
    <col min="10264" max="10264" width="4" style="437" customWidth="1"/>
    <col min="10265" max="10265" width="20.6640625" style="437" customWidth="1"/>
    <col min="10266" max="10269" width="16.6640625" style="437" customWidth="1"/>
    <col min="10270" max="10270" width="2.6640625" style="437" customWidth="1"/>
    <col min="10271" max="10271" width="20.6640625" style="437" customWidth="1"/>
    <col min="10272" max="10275" width="16.6640625" style="437" customWidth="1"/>
    <col min="10276" max="10276" width="2.6640625" style="437" customWidth="1"/>
    <col min="10277" max="10277" width="20.6640625" style="437" customWidth="1"/>
    <col min="10278" max="10281" width="16.6640625" style="437" customWidth="1"/>
    <col min="10282" max="10282" width="2.6640625" style="437" customWidth="1"/>
    <col min="10283" max="10283" width="20.6640625" style="437" customWidth="1"/>
    <col min="10284" max="10287" width="16.6640625" style="437" customWidth="1"/>
    <col min="10288" max="10288" width="2.6640625" style="437" customWidth="1"/>
    <col min="10289" max="10289" width="20.6640625" style="437" customWidth="1"/>
    <col min="10290" max="10293" width="16.6640625" style="437" customWidth="1"/>
    <col min="10294" max="10294" width="2.6640625" style="437" customWidth="1"/>
    <col min="10295" max="10295" width="20.6640625" style="437" customWidth="1"/>
    <col min="10296" max="10299" width="16.6640625" style="437" customWidth="1"/>
    <col min="10300" max="10300" width="2.6640625" style="437" customWidth="1"/>
    <col min="10301" max="10301" width="20.6640625" style="437" customWidth="1"/>
    <col min="10302" max="10305" width="16.6640625" style="437" customWidth="1"/>
    <col min="10306" max="10306" width="2.6640625" style="437" customWidth="1"/>
    <col min="10307" max="10307" width="20.6640625" style="437" customWidth="1"/>
    <col min="10308" max="10311" width="16.6640625" style="437" customWidth="1"/>
    <col min="10312" max="10312" width="2.6640625" style="437" customWidth="1"/>
    <col min="10313" max="10313" width="20.6640625" style="437" customWidth="1"/>
    <col min="10314" max="10317" width="16.6640625" style="437" customWidth="1"/>
    <col min="10318" max="10318" width="2.6640625" style="437" customWidth="1"/>
    <col min="10319" max="10319" width="20.6640625" style="437" customWidth="1"/>
    <col min="10320" max="10323" width="16.6640625" style="437" customWidth="1"/>
    <col min="10324" max="10324" width="2.6640625" style="437" customWidth="1"/>
    <col min="10325" max="10325" width="20.6640625" style="437" customWidth="1"/>
    <col min="10326" max="10329" width="16.6640625" style="437" customWidth="1"/>
    <col min="10330" max="10330" width="2.77734375" style="437" customWidth="1"/>
    <col min="10331" max="10331" width="20.6640625" style="437" customWidth="1"/>
    <col min="10332" max="10335" width="16.6640625" style="437" customWidth="1"/>
    <col min="10336" max="10336" width="2.6640625" style="437" customWidth="1"/>
    <col min="10337" max="10337" width="20.6640625" style="437" customWidth="1"/>
    <col min="10338" max="10341" width="16.6640625" style="437" customWidth="1"/>
    <col min="10342" max="10342" width="2.6640625" style="437" customWidth="1"/>
    <col min="10343" max="10343" width="20.6640625" style="437" customWidth="1"/>
    <col min="10344" max="10347" width="16.6640625" style="437" customWidth="1"/>
    <col min="10348" max="10348" width="2.6640625" style="437" customWidth="1"/>
    <col min="10349" max="10349" width="20.6640625" style="437" customWidth="1"/>
    <col min="10350" max="10353" width="16.6640625" style="437" customWidth="1"/>
    <col min="10354" max="10354" width="2.77734375" style="437" customWidth="1"/>
    <col min="10355" max="10453" width="9" style="437"/>
    <col min="10454" max="10454" width="2.6640625" style="437" customWidth="1"/>
    <col min="10455" max="10455" width="20.6640625" style="437" customWidth="1"/>
    <col min="10456" max="10459" width="16.6640625" style="437" customWidth="1"/>
    <col min="10460" max="10460" width="2.6640625" style="437" customWidth="1"/>
    <col min="10461" max="10461" width="20.6640625" style="437" customWidth="1"/>
    <col min="10462" max="10465" width="16.6640625" style="437" customWidth="1"/>
    <col min="10466" max="10466" width="4" style="437" customWidth="1"/>
    <col min="10467" max="10467" width="20.6640625" style="437" customWidth="1"/>
    <col min="10468" max="10471" width="16.6640625" style="437" customWidth="1"/>
    <col min="10472" max="10472" width="2.6640625" style="437" customWidth="1"/>
    <col min="10473" max="10473" width="20.6640625" style="437" customWidth="1"/>
    <col min="10474" max="10477" width="16.6640625" style="437" customWidth="1"/>
    <col min="10478" max="10478" width="2.6640625" style="437" customWidth="1"/>
    <col min="10479" max="10479" width="20.6640625" style="437" customWidth="1"/>
    <col min="10480" max="10483" width="16.6640625" style="437" customWidth="1"/>
    <col min="10484" max="10484" width="2.6640625" style="437" customWidth="1"/>
    <col min="10485" max="10485" width="20.6640625" style="437" customWidth="1"/>
    <col min="10486" max="10489" width="16.6640625" style="437" customWidth="1"/>
    <col min="10490" max="10490" width="2.6640625" style="437" customWidth="1"/>
    <col min="10491" max="10491" width="20.6640625" style="437" customWidth="1"/>
    <col min="10492" max="10495" width="16.6640625" style="437" customWidth="1"/>
    <col min="10496" max="10496" width="2.6640625" style="437" customWidth="1"/>
    <col min="10497" max="10497" width="20.6640625" style="437" customWidth="1"/>
    <col min="10498" max="10501" width="16.6640625" style="437" customWidth="1"/>
    <col min="10502" max="10502" width="2.6640625" style="437" customWidth="1"/>
    <col min="10503" max="10503" width="20.6640625" style="437" customWidth="1"/>
    <col min="10504" max="10507" width="16.6640625" style="437" customWidth="1"/>
    <col min="10508" max="10508" width="3.77734375" style="437" customWidth="1"/>
    <col min="10509" max="10509" width="20.6640625" style="437" customWidth="1"/>
    <col min="10510" max="10513" width="16.6640625" style="437" customWidth="1"/>
    <col min="10514" max="10514" width="2.6640625" style="437" customWidth="1"/>
    <col min="10515" max="10515" width="20.6640625" style="437" customWidth="1"/>
    <col min="10516" max="10519" width="16.6640625" style="437" customWidth="1"/>
    <col min="10520" max="10520" width="4" style="437" customWidth="1"/>
    <col min="10521" max="10521" width="20.6640625" style="437" customWidth="1"/>
    <col min="10522" max="10525" width="16.6640625" style="437" customWidth="1"/>
    <col min="10526" max="10526" width="2.6640625" style="437" customWidth="1"/>
    <col min="10527" max="10527" width="20.6640625" style="437" customWidth="1"/>
    <col min="10528" max="10531" width="16.6640625" style="437" customWidth="1"/>
    <col min="10532" max="10532" width="2.6640625" style="437" customWidth="1"/>
    <col min="10533" max="10533" width="20.6640625" style="437" customWidth="1"/>
    <col min="10534" max="10537" width="16.6640625" style="437" customWidth="1"/>
    <col min="10538" max="10538" width="2.6640625" style="437" customWidth="1"/>
    <col min="10539" max="10539" width="20.6640625" style="437" customWidth="1"/>
    <col min="10540" max="10543" width="16.6640625" style="437" customWidth="1"/>
    <col min="10544" max="10544" width="2.6640625" style="437" customWidth="1"/>
    <col min="10545" max="10545" width="20.6640625" style="437" customWidth="1"/>
    <col min="10546" max="10549" width="16.6640625" style="437" customWidth="1"/>
    <col min="10550" max="10550" width="2.6640625" style="437" customWidth="1"/>
    <col min="10551" max="10551" width="20.6640625" style="437" customWidth="1"/>
    <col min="10552" max="10555" width="16.6640625" style="437" customWidth="1"/>
    <col min="10556" max="10556" width="2.6640625" style="437" customWidth="1"/>
    <col min="10557" max="10557" width="20.6640625" style="437" customWidth="1"/>
    <col min="10558" max="10561" width="16.6640625" style="437" customWidth="1"/>
    <col min="10562" max="10562" width="2.6640625" style="437" customWidth="1"/>
    <col min="10563" max="10563" width="20.6640625" style="437" customWidth="1"/>
    <col min="10564" max="10567" width="16.6640625" style="437" customWidth="1"/>
    <col min="10568" max="10568" width="2.6640625" style="437" customWidth="1"/>
    <col min="10569" max="10569" width="20.6640625" style="437" customWidth="1"/>
    <col min="10570" max="10573" width="16.6640625" style="437" customWidth="1"/>
    <col min="10574" max="10574" width="2.6640625" style="437" customWidth="1"/>
    <col min="10575" max="10575" width="20.6640625" style="437" customWidth="1"/>
    <col min="10576" max="10579" width="16.6640625" style="437" customWidth="1"/>
    <col min="10580" max="10580" width="2.6640625" style="437" customWidth="1"/>
    <col min="10581" max="10581" width="20.6640625" style="437" customWidth="1"/>
    <col min="10582" max="10585" width="16.6640625" style="437" customWidth="1"/>
    <col min="10586" max="10586" width="2.77734375" style="437" customWidth="1"/>
    <col min="10587" max="10587" width="20.6640625" style="437" customWidth="1"/>
    <col min="10588" max="10591" width="16.6640625" style="437" customWidth="1"/>
    <col min="10592" max="10592" width="2.6640625" style="437" customWidth="1"/>
    <col min="10593" max="10593" width="20.6640625" style="437" customWidth="1"/>
    <col min="10594" max="10597" width="16.6640625" style="437" customWidth="1"/>
    <col min="10598" max="10598" width="2.6640625" style="437" customWidth="1"/>
    <col min="10599" max="10599" width="20.6640625" style="437" customWidth="1"/>
    <col min="10600" max="10603" width="16.6640625" style="437" customWidth="1"/>
    <col min="10604" max="10604" width="2.6640625" style="437" customWidth="1"/>
    <col min="10605" max="10605" width="20.6640625" style="437" customWidth="1"/>
    <col min="10606" max="10609" width="16.6640625" style="437" customWidth="1"/>
    <col min="10610" max="10610" width="2.77734375" style="437" customWidth="1"/>
    <col min="10611" max="10709" width="9" style="437"/>
    <col min="10710" max="10710" width="2.6640625" style="437" customWidth="1"/>
    <col min="10711" max="10711" width="20.6640625" style="437" customWidth="1"/>
    <col min="10712" max="10715" width="16.6640625" style="437" customWidth="1"/>
    <col min="10716" max="10716" width="2.6640625" style="437" customWidth="1"/>
    <col min="10717" max="10717" width="20.6640625" style="437" customWidth="1"/>
    <col min="10718" max="10721" width="16.6640625" style="437" customWidth="1"/>
    <col min="10722" max="10722" width="4" style="437" customWidth="1"/>
    <col min="10723" max="10723" width="20.6640625" style="437" customWidth="1"/>
    <col min="10724" max="10727" width="16.6640625" style="437" customWidth="1"/>
    <col min="10728" max="10728" width="2.6640625" style="437" customWidth="1"/>
    <col min="10729" max="10729" width="20.6640625" style="437" customWidth="1"/>
    <col min="10730" max="10733" width="16.6640625" style="437" customWidth="1"/>
    <col min="10734" max="10734" width="2.6640625" style="437" customWidth="1"/>
    <col min="10735" max="10735" width="20.6640625" style="437" customWidth="1"/>
    <col min="10736" max="10739" width="16.6640625" style="437" customWidth="1"/>
    <col min="10740" max="10740" width="2.6640625" style="437" customWidth="1"/>
    <col min="10741" max="10741" width="20.6640625" style="437" customWidth="1"/>
    <col min="10742" max="10745" width="16.6640625" style="437" customWidth="1"/>
    <col min="10746" max="10746" width="2.6640625" style="437" customWidth="1"/>
    <col min="10747" max="10747" width="20.6640625" style="437" customWidth="1"/>
    <col min="10748" max="10751" width="16.6640625" style="437" customWidth="1"/>
    <col min="10752" max="10752" width="2.6640625" style="437" customWidth="1"/>
    <col min="10753" max="10753" width="20.6640625" style="437" customWidth="1"/>
    <col min="10754" max="10757" width="16.6640625" style="437" customWidth="1"/>
    <col min="10758" max="10758" width="2.6640625" style="437" customWidth="1"/>
    <col min="10759" max="10759" width="20.6640625" style="437" customWidth="1"/>
    <col min="10760" max="10763" width="16.6640625" style="437" customWidth="1"/>
    <col min="10764" max="10764" width="3.77734375" style="437" customWidth="1"/>
    <col min="10765" max="10765" width="20.6640625" style="437" customWidth="1"/>
    <col min="10766" max="10769" width="16.6640625" style="437" customWidth="1"/>
    <col min="10770" max="10770" width="2.6640625" style="437" customWidth="1"/>
    <col min="10771" max="10771" width="20.6640625" style="437" customWidth="1"/>
    <col min="10772" max="10775" width="16.6640625" style="437" customWidth="1"/>
    <col min="10776" max="10776" width="4" style="437" customWidth="1"/>
    <col min="10777" max="10777" width="20.6640625" style="437" customWidth="1"/>
    <col min="10778" max="10781" width="16.6640625" style="437" customWidth="1"/>
    <col min="10782" max="10782" width="2.6640625" style="437" customWidth="1"/>
    <col min="10783" max="10783" width="20.6640625" style="437" customWidth="1"/>
    <col min="10784" max="10787" width="16.6640625" style="437" customWidth="1"/>
    <col min="10788" max="10788" width="2.6640625" style="437" customWidth="1"/>
    <col min="10789" max="10789" width="20.6640625" style="437" customWidth="1"/>
    <col min="10790" max="10793" width="16.6640625" style="437" customWidth="1"/>
    <col min="10794" max="10794" width="2.6640625" style="437" customWidth="1"/>
    <col min="10795" max="10795" width="20.6640625" style="437" customWidth="1"/>
    <col min="10796" max="10799" width="16.6640625" style="437" customWidth="1"/>
    <col min="10800" max="10800" width="2.6640625" style="437" customWidth="1"/>
    <col min="10801" max="10801" width="20.6640625" style="437" customWidth="1"/>
    <col min="10802" max="10805" width="16.6640625" style="437" customWidth="1"/>
    <col min="10806" max="10806" width="2.6640625" style="437" customWidth="1"/>
    <col min="10807" max="10807" width="20.6640625" style="437" customWidth="1"/>
    <col min="10808" max="10811" width="16.6640625" style="437" customWidth="1"/>
    <col min="10812" max="10812" width="2.6640625" style="437" customWidth="1"/>
    <col min="10813" max="10813" width="20.6640625" style="437" customWidth="1"/>
    <col min="10814" max="10817" width="16.6640625" style="437" customWidth="1"/>
    <col min="10818" max="10818" width="2.6640625" style="437" customWidth="1"/>
    <col min="10819" max="10819" width="20.6640625" style="437" customWidth="1"/>
    <col min="10820" max="10823" width="16.6640625" style="437" customWidth="1"/>
    <col min="10824" max="10824" width="2.6640625" style="437" customWidth="1"/>
    <col min="10825" max="10825" width="20.6640625" style="437" customWidth="1"/>
    <col min="10826" max="10829" width="16.6640625" style="437" customWidth="1"/>
    <col min="10830" max="10830" width="2.6640625" style="437" customWidth="1"/>
    <col min="10831" max="10831" width="20.6640625" style="437" customWidth="1"/>
    <col min="10832" max="10835" width="16.6640625" style="437" customWidth="1"/>
    <col min="10836" max="10836" width="2.6640625" style="437" customWidth="1"/>
    <col min="10837" max="10837" width="20.6640625" style="437" customWidth="1"/>
    <col min="10838" max="10841" width="16.6640625" style="437" customWidth="1"/>
    <col min="10842" max="10842" width="2.77734375" style="437" customWidth="1"/>
    <col min="10843" max="10843" width="20.6640625" style="437" customWidth="1"/>
    <col min="10844" max="10847" width="16.6640625" style="437" customWidth="1"/>
    <col min="10848" max="10848" width="2.6640625" style="437" customWidth="1"/>
    <col min="10849" max="10849" width="20.6640625" style="437" customWidth="1"/>
    <col min="10850" max="10853" width="16.6640625" style="437" customWidth="1"/>
    <col min="10854" max="10854" width="2.6640625" style="437" customWidth="1"/>
    <col min="10855" max="10855" width="20.6640625" style="437" customWidth="1"/>
    <col min="10856" max="10859" width="16.6640625" style="437" customWidth="1"/>
    <col min="10860" max="10860" width="2.6640625" style="437" customWidth="1"/>
    <col min="10861" max="10861" width="20.6640625" style="437" customWidth="1"/>
    <col min="10862" max="10865" width="16.6640625" style="437" customWidth="1"/>
    <col min="10866" max="10866" width="2.77734375" style="437" customWidth="1"/>
    <col min="10867" max="10965" width="9" style="437"/>
    <col min="10966" max="10966" width="2.6640625" style="437" customWidth="1"/>
    <col min="10967" max="10967" width="20.6640625" style="437" customWidth="1"/>
    <col min="10968" max="10971" width="16.6640625" style="437" customWidth="1"/>
    <col min="10972" max="10972" width="2.6640625" style="437" customWidth="1"/>
    <col min="10973" max="10973" width="20.6640625" style="437" customWidth="1"/>
    <col min="10974" max="10977" width="16.6640625" style="437" customWidth="1"/>
    <col min="10978" max="10978" width="4" style="437" customWidth="1"/>
    <col min="10979" max="10979" width="20.6640625" style="437" customWidth="1"/>
    <col min="10980" max="10983" width="16.6640625" style="437" customWidth="1"/>
    <col min="10984" max="10984" width="2.6640625" style="437" customWidth="1"/>
    <col min="10985" max="10985" width="20.6640625" style="437" customWidth="1"/>
    <col min="10986" max="10989" width="16.6640625" style="437" customWidth="1"/>
    <col min="10990" max="10990" width="2.6640625" style="437" customWidth="1"/>
    <col min="10991" max="10991" width="20.6640625" style="437" customWidth="1"/>
    <col min="10992" max="10995" width="16.6640625" style="437" customWidth="1"/>
    <col min="10996" max="10996" width="2.6640625" style="437" customWidth="1"/>
    <col min="10997" max="10997" width="20.6640625" style="437" customWidth="1"/>
    <col min="10998" max="11001" width="16.6640625" style="437" customWidth="1"/>
    <col min="11002" max="11002" width="2.6640625" style="437" customWidth="1"/>
    <col min="11003" max="11003" width="20.6640625" style="437" customWidth="1"/>
    <col min="11004" max="11007" width="16.6640625" style="437" customWidth="1"/>
    <col min="11008" max="11008" width="2.6640625" style="437" customWidth="1"/>
    <col min="11009" max="11009" width="20.6640625" style="437" customWidth="1"/>
    <col min="11010" max="11013" width="16.6640625" style="437" customWidth="1"/>
    <col min="11014" max="11014" width="2.6640625" style="437" customWidth="1"/>
    <col min="11015" max="11015" width="20.6640625" style="437" customWidth="1"/>
    <col min="11016" max="11019" width="16.6640625" style="437" customWidth="1"/>
    <col min="11020" max="11020" width="3.77734375" style="437" customWidth="1"/>
    <col min="11021" max="11021" width="20.6640625" style="437" customWidth="1"/>
    <col min="11022" max="11025" width="16.6640625" style="437" customWidth="1"/>
    <col min="11026" max="11026" width="2.6640625" style="437" customWidth="1"/>
    <col min="11027" max="11027" width="20.6640625" style="437" customWidth="1"/>
    <col min="11028" max="11031" width="16.6640625" style="437" customWidth="1"/>
    <col min="11032" max="11032" width="4" style="437" customWidth="1"/>
    <col min="11033" max="11033" width="20.6640625" style="437" customWidth="1"/>
    <col min="11034" max="11037" width="16.6640625" style="437" customWidth="1"/>
    <col min="11038" max="11038" width="2.6640625" style="437" customWidth="1"/>
    <col min="11039" max="11039" width="20.6640625" style="437" customWidth="1"/>
    <col min="11040" max="11043" width="16.6640625" style="437" customWidth="1"/>
    <col min="11044" max="11044" width="2.6640625" style="437" customWidth="1"/>
    <col min="11045" max="11045" width="20.6640625" style="437" customWidth="1"/>
    <col min="11046" max="11049" width="16.6640625" style="437" customWidth="1"/>
    <col min="11050" max="11050" width="2.6640625" style="437" customWidth="1"/>
    <col min="11051" max="11051" width="20.6640625" style="437" customWidth="1"/>
    <col min="11052" max="11055" width="16.6640625" style="437" customWidth="1"/>
    <col min="11056" max="11056" width="2.6640625" style="437" customWidth="1"/>
    <col min="11057" max="11057" width="20.6640625" style="437" customWidth="1"/>
    <col min="11058" max="11061" width="16.6640625" style="437" customWidth="1"/>
    <col min="11062" max="11062" width="2.6640625" style="437" customWidth="1"/>
    <col min="11063" max="11063" width="20.6640625" style="437" customWidth="1"/>
    <col min="11064" max="11067" width="16.6640625" style="437" customWidth="1"/>
    <col min="11068" max="11068" width="2.6640625" style="437" customWidth="1"/>
    <col min="11069" max="11069" width="20.6640625" style="437" customWidth="1"/>
    <col min="11070" max="11073" width="16.6640625" style="437" customWidth="1"/>
    <col min="11074" max="11074" width="2.6640625" style="437" customWidth="1"/>
    <col min="11075" max="11075" width="20.6640625" style="437" customWidth="1"/>
    <col min="11076" max="11079" width="16.6640625" style="437" customWidth="1"/>
    <col min="11080" max="11080" width="2.6640625" style="437" customWidth="1"/>
    <col min="11081" max="11081" width="20.6640625" style="437" customWidth="1"/>
    <col min="11082" max="11085" width="16.6640625" style="437" customWidth="1"/>
    <col min="11086" max="11086" width="2.6640625" style="437" customWidth="1"/>
    <col min="11087" max="11087" width="20.6640625" style="437" customWidth="1"/>
    <col min="11088" max="11091" width="16.6640625" style="437" customWidth="1"/>
    <col min="11092" max="11092" width="2.6640625" style="437" customWidth="1"/>
    <col min="11093" max="11093" width="20.6640625" style="437" customWidth="1"/>
    <col min="11094" max="11097" width="16.6640625" style="437" customWidth="1"/>
    <col min="11098" max="11098" width="2.77734375" style="437" customWidth="1"/>
    <col min="11099" max="11099" width="20.6640625" style="437" customWidth="1"/>
    <col min="11100" max="11103" width="16.6640625" style="437" customWidth="1"/>
    <col min="11104" max="11104" width="2.6640625" style="437" customWidth="1"/>
    <col min="11105" max="11105" width="20.6640625" style="437" customWidth="1"/>
    <col min="11106" max="11109" width="16.6640625" style="437" customWidth="1"/>
    <col min="11110" max="11110" width="2.6640625" style="437" customWidth="1"/>
    <col min="11111" max="11111" width="20.6640625" style="437" customWidth="1"/>
    <col min="11112" max="11115" width="16.6640625" style="437" customWidth="1"/>
    <col min="11116" max="11116" width="2.6640625" style="437" customWidth="1"/>
    <col min="11117" max="11117" width="20.6640625" style="437" customWidth="1"/>
    <col min="11118" max="11121" width="16.6640625" style="437" customWidth="1"/>
    <col min="11122" max="11122" width="2.77734375" style="437" customWidth="1"/>
    <col min="11123" max="11221" width="9" style="437"/>
    <col min="11222" max="11222" width="2.6640625" style="437" customWidth="1"/>
    <col min="11223" max="11223" width="20.6640625" style="437" customWidth="1"/>
    <col min="11224" max="11227" width="16.6640625" style="437" customWidth="1"/>
    <col min="11228" max="11228" width="2.6640625" style="437" customWidth="1"/>
    <col min="11229" max="11229" width="20.6640625" style="437" customWidth="1"/>
    <col min="11230" max="11233" width="16.6640625" style="437" customWidth="1"/>
    <col min="11234" max="11234" width="4" style="437" customWidth="1"/>
    <col min="11235" max="11235" width="20.6640625" style="437" customWidth="1"/>
    <col min="11236" max="11239" width="16.6640625" style="437" customWidth="1"/>
    <col min="11240" max="11240" width="2.6640625" style="437" customWidth="1"/>
    <col min="11241" max="11241" width="20.6640625" style="437" customWidth="1"/>
    <col min="11242" max="11245" width="16.6640625" style="437" customWidth="1"/>
    <col min="11246" max="11246" width="2.6640625" style="437" customWidth="1"/>
    <col min="11247" max="11247" width="20.6640625" style="437" customWidth="1"/>
    <col min="11248" max="11251" width="16.6640625" style="437" customWidth="1"/>
    <col min="11252" max="11252" width="2.6640625" style="437" customWidth="1"/>
    <col min="11253" max="11253" width="20.6640625" style="437" customWidth="1"/>
    <col min="11254" max="11257" width="16.6640625" style="437" customWidth="1"/>
    <col min="11258" max="11258" width="2.6640625" style="437" customWidth="1"/>
    <col min="11259" max="11259" width="20.6640625" style="437" customWidth="1"/>
    <col min="11260" max="11263" width="16.6640625" style="437" customWidth="1"/>
    <col min="11264" max="11264" width="2.6640625" style="437" customWidth="1"/>
    <col min="11265" max="11265" width="20.6640625" style="437" customWidth="1"/>
    <col min="11266" max="11269" width="16.6640625" style="437" customWidth="1"/>
    <col min="11270" max="11270" width="2.6640625" style="437" customWidth="1"/>
    <col min="11271" max="11271" width="20.6640625" style="437" customWidth="1"/>
    <col min="11272" max="11275" width="16.6640625" style="437" customWidth="1"/>
    <col min="11276" max="11276" width="3.77734375" style="437" customWidth="1"/>
    <col min="11277" max="11277" width="20.6640625" style="437" customWidth="1"/>
    <col min="11278" max="11281" width="16.6640625" style="437" customWidth="1"/>
    <col min="11282" max="11282" width="2.6640625" style="437" customWidth="1"/>
    <col min="11283" max="11283" width="20.6640625" style="437" customWidth="1"/>
    <col min="11284" max="11287" width="16.6640625" style="437" customWidth="1"/>
    <col min="11288" max="11288" width="4" style="437" customWidth="1"/>
    <col min="11289" max="11289" width="20.6640625" style="437" customWidth="1"/>
    <col min="11290" max="11293" width="16.6640625" style="437" customWidth="1"/>
    <col min="11294" max="11294" width="2.6640625" style="437" customWidth="1"/>
    <col min="11295" max="11295" width="20.6640625" style="437" customWidth="1"/>
    <col min="11296" max="11299" width="16.6640625" style="437" customWidth="1"/>
    <col min="11300" max="11300" width="2.6640625" style="437" customWidth="1"/>
    <col min="11301" max="11301" width="20.6640625" style="437" customWidth="1"/>
    <col min="11302" max="11305" width="16.6640625" style="437" customWidth="1"/>
    <col min="11306" max="11306" width="2.6640625" style="437" customWidth="1"/>
    <col min="11307" max="11307" width="20.6640625" style="437" customWidth="1"/>
    <col min="11308" max="11311" width="16.6640625" style="437" customWidth="1"/>
    <col min="11312" max="11312" width="2.6640625" style="437" customWidth="1"/>
    <col min="11313" max="11313" width="20.6640625" style="437" customWidth="1"/>
    <col min="11314" max="11317" width="16.6640625" style="437" customWidth="1"/>
    <col min="11318" max="11318" width="2.6640625" style="437" customWidth="1"/>
    <col min="11319" max="11319" width="20.6640625" style="437" customWidth="1"/>
    <col min="11320" max="11323" width="16.6640625" style="437" customWidth="1"/>
    <col min="11324" max="11324" width="2.6640625" style="437" customWidth="1"/>
    <col min="11325" max="11325" width="20.6640625" style="437" customWidth="1"/>
    <col min="11326" max="11329" width="16.6640625" style="437" customWidth="1"/>
    <col min="11330" max="11330" width="2.6640625" style="437" customWidth="1"/>
    <col min="11331" max="11331" width="20.6640625" style="437" customWidth="1"/>
    <col min="11332" max="11335" width="16.6640625" style="437" customWidth="1"/>
    <col min="11336" max="11336" width="2.6640625" style="437" customWidth="1"/>
    <col min="11337" max="11337" width="20.6640625" style="437" customWidth="1"/>
    <col min="11338" max="11341" width="16.6640625" style="437" customWidth="1"/>
    <col min="11342" max="11342" width="2.6640625" style="437" customWidth="1"/>
    <col min="11343" max="11343" width="20.6640625" style="437" customWidth="1"/>
    <col min="11344" max="11347" width="16.6640625" style="437" customWidth="1"/>
    <col min="11348" max="11348" width="2.6640625" style="437" customWidth="1"/>
    <col min="11349" max="11349" width="20.6640625" style="437" customWidth="1"/>
    <col min="11350" max="11353" width="16.6640625" style="437" customWidth="1"/>
    <col min="11354" max="11354" width="2.77734375" style="437" customWidth="1"/>
    <col min="11355" max="11355" width="20.6640625" style="437" customWidth="1"/>
    <col min="11356" max="11359" width="16.6640625" style="437" customWidth="1"/>
    <col min="11360" max="11360" width="2.6640625" style="437" customWidth="1"/>
    <col min="11361" max="11361" width="20.6640625" style="437" customWidth="1"/>
    <col min="11362" max="11365" width="16.6640625" style="437" customWidth="1"/>
    <col min="11366" max="11366" width="2.6640625" style="437" customWidth="1"/>
    <col min="11367" max="11367" width="20.6640625" style="437" customWidth="1"/>
    <col min="11368" max="11371" width="16.6640625" style="437" customWidth="1"/>
    <col min="11372" max="11372" width="2.6640625" style="437" customWidth="1"/>
    <col min="11373" max="11373" width="20.6640625" style="437" customWidth="1"/>
    <col min="11374" max="11377" width="16.6640625" style="437" customWidth="1"/>
    <col min="11378" max="11378" width="2.77734375" style="437" customWidth="1"/>
    <col min="11379" max="11477" width="9" style="437"/>
    <col min="11478" max="11478" width="2.6640625" style="437" customWidth="1"/>
    <col min="11479" max="11479" width="20.6640625" style="437" customWidth="1"/>
    <col min="11480" max="11483" width="16.6640625" style="437" customWidth="1"/>
    <col min="11484" max="11484" width="2.6640625" style="437" customWidth="1"/>
    <col min="11485" max="11485" width="20.6640625" style="437" customWidth="1"/>
    <col min="11486" max="11489" width="16.6640625" style="437" customWidth="1"/>
    <col min="11490" max="11490" width="4" style="437" customWidth="1"/>
    <col min="11491" max="11491" width="20.6640625" style="437" customWidth="1"/>
    <col min="11492" max="11495" width="16.6640625" style="437" customWidth="1"/>
    <col min="11496" max="11496" width="2.6640625" style="437" customWidth="1"/>
    <col min="11497" max="11497" width="20.6640625" style="437" customWidth="1"/>
    <col min="11498" max="11501" width="16.6640625" style="437" customWidth="1"/>
    <col min="11502" max="11502" width="2.6640625" style="437" customWidth="1"/>
    <col min="11503" max="11503" width="20.6640625" style="437" customWidth="1"/>
    <col min="11504" max="11507" width="16.6640625" style="437" customWidth="1"/>
    <col min="11508" max="11508" width="2.6640625" style="437" customWidth="1"/>
    <col min="11509" max="11509" width="20.6640625" style="437" customWidth="1"/>
    <col min="11510" max="11513" width="16.6640625" style="437" customWidth="1"/>
    <col min="11514" max="11514" width="2.6640625" style="437" customWidth="1"/>
    <col min="11515" max="11515" width="20.6640625" style="437" customWidth="1"/>
    <col min="11516" max="11519" width="16.6640625" style="437" customWidth="1"/>
    <col min="11520" max="11520" width="2.6640625" style="437" customWidth="1"/>
    <col min="11521" max="11521" width="20.6640625" style="437" customWidth="1"/>
    <col min="11522" max="11525" width="16.6640625" style="437" customWidth="1"/>
    <col min="11526" max="11526" width="2.6640625" style="437" customWidth="1"/>
    <col min="11527" max="11527" width="20.6640625" style="437" customWidth="1"/>
    <col min="11528" max="11531" width="16.6640625" style="437" customWidth="1"/>
    <col min="11532" max="11532" width="3.77734375" style="437" customWidth="1"/>
    <col min="11533" max="11533" width="20.6640625" style="437" customWidth="1"/>
    <col min="11534" max="11537" width="16.6640625" style="437" customWidth="1"/>
    <col min="11538" max="11538" width="2.6640625" style="437" customWidth="1"/>
    <col min="11539" max="11539" width="20.6640625" style="437" customWidth="1"/>
    <col min="11540" max="11543" width="16.6640625" style="437" customWidth="1"/>
    <col min="11544" max="11544" width="4" style="437" customWidth="1"/>
    <col min="11545" max="11545" width="20.6640625" style="437" customWidth="1"/>
    <col min="11546" max="11549" width="16.6640625" style="437" customWidth="1"/>
    <col min="11550" max="11550" width="2.6640625" style="437" customWidth="1"/>
    <col min="11551" max="11551" width="20.6640625" style="437" customWidth="1"/>
    <col min="11552" max="11555" width="16.6640625" style="437" customWidth="1"/>
    <col min="11556" max="11556" width="2.6640625" style="437" customWidth="1"/>
    <col min="11557" max="11557" width="20.6640625" style="437" customWidth="1"/>
    <col min="11558" max="11561" width="16.6640625" style="437" customWidth="1"/>
    <col min="11562" max="11562" width="2.6640625" style="437" customWidth="1"/>
    <col min="11563" max="11563" width="20.6640625" style="437" customWidth="1"/>
    <col min="11564" max="11567" width="16.6640625" style="437" customWidth="1"/>
    <col min="11568" max="11568" width="2.6640625" style="437" customWidth="1"/>
    <col min="11569" max="11569" width="20.6640625" style="437" customWidth="1"/>
    <col min="11570" max="11573" width="16.6640625" style="437" customWidth="1"/>
    <col min="11574" max="11574" width="2.6640625" style="437" customWidth="1"/>
    <col min="11575" max="11575" width="20.6640625" style="437" customWidth="1"/>
    <col min="11576" max="11579" width="16.6640625" style="437" customWidth="1"/>
    <col min="11580" max="11580" width="2.6640625" style="437" customWidth="1"/>
    <col min="11581" max="11581" width="20.6640625" style="437" customWidth="1"/>
    <col min="11582" max="11585" width="16.6640625" style="437" customWidth="1"/>
    <col min="11586" max="11586" width="2.6640625" style="437" customWidth="1"/>
    <col min="11587" max="11587" width="20.6640625" style="437" customWidth="1"/>
    <col min="11588" max="11591" width="16.6640625" style="437" customWidth="1"/>
    <col min="11592" max="11592" width="2.6640625" style="437" customWidth="1"/>
    <col min="11593" max="11593" width="20.6640625" style="437" customWidth="1"/>
    <col min="11594" max="11597" width="16.6640625" style="437" customWidth="1"/>
    <col min="11598" max="11598" width="2.6640625" style="437" customWidth="1"/>
    <col min="11599" max="11599" width="20.6640625" style="437" customWidth="1"/>
    <col min="11600" max="11603" width="16.6640625" style="437" customWidth="1"/>
    <col min="11604" max="11604" width="2.6640625" style="437" customWidth="1"/>
    <col min="11605" max="11605" width="20.6640625" style="437" customWidth="1"/>
    <col min="11606" max="11609" width="16.6640625" style="437" customWidth="1"/>
    <col min="11610" max="11610" width="2.77734375" style="437" customWidth="1"/>
    <col min="11611" max="11611" width="20.6640625" style="437" customWidth="1"/>
    <col min="11612" max="11615" width="16.6640625" style="437" customWidth="1"/>
    <col min="11616" max="11616" width="2.6640625" style="437" customWidth="1"/>
    <col min="11617" max="11617" width="20.6640625" style="437" customWidth="1"/>
    <col min="11618" max="11621" width="16.6640625" style="437" customWidth="1"/>
    <col min="11622" max="11622" width="2.6640625" style="437" customWidth="1"/>
    <col min="11623" max="11623" width="20.6640625" style="437" customWidth="1"/>
    <col min="11624" max="11627" width="16.6640625" style="437" customWidth="1"/>
    <col min="11628" max="11628" width="2.6640625" style="437" customWidth="1"/>
    <col min="11629" max="11629" width="20.6640625" style="437" customWidth="1"/>
    <col min="11630" max="11633" width="16.6640625" style="437" customWidth="1"/>
    <col min="11634" max="11634" width="2.77734375" style="437" customWidth="1"/>
    <col min="11635" max="11733" width="9" style="437"/>
    <col min="11734" max="11734" width="2.6640625" style="437" customWidth="1"/>
    <col min="11735" max="11735" width="20.6640625" style="437" customWidth="1"/>
    <col min="11736" max="11739" width="16.6640625" style="437" customWidth="1"/>
    <col min="11740" max="11740" width="2.6640625" style="437" customWidth="1"/>
    <col min="11741" max="11741" width="20.6640625" style="437" customWidth="1"/>
    <col min="11742" max="11745" width="16.6640625" style="437" customWidth="1"/>
    <col min="11746" max="11746" width="4" style="437" customWidth="1"/>
    <col min="11747" max="11747" width="20.6640625" style="437" customWidth="1"/>
    <col min="11748" max="11751" width="16.6640625" style="437" customWidth="1"/>
    <col min="11752" max="11752" width="2.6640625" style="437" customWidth="1"/>
    <col min="11753" max="11753" width="20.6640625" style="437" customWidth="1"/>
    <col min="11754" max="11757" width="16.6640625" style="437" customWidth="1"/>
    <col min="11758" max="11758" width="2.6640625" style="437" customWidth="1"/>
    <col min="11759" max="11759" width="20.6640625" style="437" customWidth="1"/>
    <col min="11760" max="11763" width="16.6640625" style="437" customWidth="1"/>
    <col min="11764" max="11764" width="2.6640625" style="437" customWidth="1"/>
    <col min="11765" max="11765" width="20.6640625" style="437" customWidth="1"/>
    <col min="11766" max="11769" width="16.6640625" style="437" customWidth="1"/>
    <col min="11770" max="11770" width="2.6640625" style="437" customWidth="1"/>
    <col min="11771" max="11771" width="20.6640625" style="437" customWidth="1"/>
    <col min="11772" max="11775" width="16.6640625" style="437" customWidth="1"/>
    <col min="11776" max="11776" width="2.6640625" style="437" customWidth="1"/>
    <col min="11777" max="11777" width="20.6640625" style="437" customWidth="1"/>
    <col min="11778" max="11781" width="16.6640625" style="437" customWidth="1"/>
    <col min="11782" max="11782" width="2.6640625" style="437" customWidth="1"/>
    <col min="11783" max="11783" width="20.6640625" style="437" customWidth="1"/>
    <col min="11784" max="11787" width="16.6640625" style="437" customWidth="1"/>
    <col min="11788" max="11788" width="3.77734375" style="437" customWidth="1"/>
    <col min="11789" max="11789" width="20.6640625" style="437" customWidth="1"/>
    <col min="11790" max="11793" width="16.6640625" style="437" customWidth="1"/>
    <col min="11794" max="11794" width="2.6640625" style="437" customWidth="1"/>
    <col min="11795" max="11795" width="20.6640625" style="437" customWidth="1"/>
    <col min="11796" max="11799" width="16.6640625" style="437" customWidth="1"/>
    <col min="11800" max="11800" width="4" style="437" customWidth="1"/>
    <col min="11801" max="11801" width="20.6640625" style="437" customWidth="1"/>
    <col min="11802" max="11805" width="16.6640625" style="437" customWidth="1"/>
    <col min="11806" max="11806" width="2.6640625" style="437" customWidth="1"/>
    <col min="11807" max="11807" width="20.6640625" style="437" customWidth="1"/>
    <col min="11808" max="11811" width="16.6640625" style="437" customWidth="1"/>
    <col min="11812" max="11812" width="2.6640625" style="437" customWidth="1"/>
    <col min="11813" max="11813" width="20.6640625" style="437" customWidth="1"/>
    <col min="11814" max="11817" width="16.6640625" style="437" customWidth="1"/>
    <col min="11818" max="11818" width="2.6640625" style="437" customWidth="1"/>
    <col min="11819" max="11819" width="20.6640625" style="437" customWidth="1"/>
    <col min="11820" max="11823" width="16.6640625" style="437" customWidth="1"/>
    <col min="11824" max="11824" width="2.6640625" style="437" customWidth="1"/>
    <col min="11825" max="11825" width="20.6640625" style="437" customWidth="1"/>
    <col min="11826" max="11829" width="16.6640625" style="437" customWidth="1"/>
    <col min="11830" max="11830" width="2.6640625" style="437" customWidth="1"/>
    <col min="11831" max="11831" width="20.6640625" style="437" customWidth="1"/>
    <col min="11832" max="11835" width="16.6640625" style="437" customWidth="1"/>
    <col min="11836" max="11836" width="2.6640625" style="437" customWidth="1"/>
    <col min="11837" max="11837" width="20.6640625" style="437" customWidth="1"/>
    <col min="11838" max="11841" width="16.6640625" style="437" customWidth="1"/>
    <col min="11842" max="11842" width="2.6640625" style="437" customWidth="1"/>
    <col min="11843" max="11843" width="20.6640625" style="437" customWidth="1"/>
    <col min="11844" max="11847" width="16.6640625" style="437" customWidth="1"/>
    <col min="11848" max="11848" width="2.6640625" style="437" customWidth="1"/>
    <col min="11849" max="11849" width="20.6640625" style="437" customWidth="1"/>
    <col min="11850" max="11853" width="16.6640625" style="437" customWidth="1"/>
    <col min="11854" max="11854" width="2.6640625" style="437" customWidth="1"/>
    <col min="11855" max="11855" width="20.6640625" style="437" customWidth="1"/>
    <col min="11856" max="11859" width="16.6640625" style="437" customWidth="1"/>
    <col min="11860" max="11860" width="2.6640625" style="437" customWidth="1"/>
    <col min="11861" max="11861" width="20.6640625" style="437" customWidth="1"/>
    <col min="11862" max="11865" width="16.6640625" style="437" customWidth="1"/>
    <col min="11866" max="11866" width="2.77734375" style="437" customWidth="1"/>
    <col min="11867" max="11867" width="20.6640625" style="437" customWidth="1"/>
    <col min="11868" max="11871" width="16.6640625" style="437" customWidth="1"/>
    <col min="11872" max="11872" width="2.6640625" style="437" customWidth="1"/>
    <col min="11873" max="11873" width="20.6640625" style="437" customWidth="1"/>
    <col min="11874" max="11877" width="16.6640625" style="437" customWidth="1"/>
    <col min="11878" max="11878" width="2.6640625" style="437" customWidth="1"/>
    <col min="11879" max="11879" width="20.6640625" style="437" customWidth="1"/>
    <col min="11880" max="11883" width="16.6640625" style="437" customWidth="1"/>
    <col min="11884" max="11884" width="2.6640625" style="437" customWidth="1"/>
    <col min="11885" max="11885" width="20.6640625" style="437" customWidth="1"/>
    <col min="11886" max="11889" width="16.6640625" style="437" customWidth="1"/>
    <col min="11890" max="11890" width="2.77734375" style="437" customWidth="1"/>
    <col min="11891" max="11989" width="9" style="437"/>
    <col min="11990" max="11990" width="2.6640625" style="437" customWidth="1"/>
    <col min="11991" max="11991" width="20.6640625" style="437" customWidth="1"/>
    <col min="11992" max="11995" width="16.6640625" style="437" customWidth="1"/>
    <col min="11996" max="11996" width="2.6640625" style="437" customWidth="1"/>
    <col min="11997" max="11997" width="20.6640625" style="437" customWidth="1"/>
    <col min="11998" max="12001" width="16.6640625" style="437" customWidth="1"/>
    <col min="12002" max="12002" width="4" style="437" customWidth="1"/>
    <col min="12003" max="12003" width="20.6640625" style="437" customWidth="1"/>
    <col min="12004" max="12007" width="16.6640625" style="437" customWidth="1"/>
    <col min="12008" max="12008" width="2.6640625" style="437" customWidth="1"/>
    <col min="12009" max="12009" width="20.6640625" style="437" customWidth="1"/>
    <col min="12010" max="12013" width="16.6640625" style="437" customWidth="1"/>
    <col min="12014" max="12014" width="2.6640625" style="437" customWidth="1"/>
    <col min="12015" max="12015" width="20.6640625" style="437" customWidth="1"/>
    <col min="12016" max="12019" width="16.6640625" style="437" customWidth="1"/>
    <col min="12020" max="12020" width="2.6640625" style="437" customWidth="1"/>
    <col min="12021" max="12021" width="20.6640625" style="437" customWidth="1"/>
    <col min="12022" max="12025" width="16.6640625" style="437" customWidth="1"/>
    <col min="12026" max="12026" width="2.6640625" style="437" customWidth="1"/>
    <col min="12027" max="12027" width="20.6640625" style="437" customWidth="1"/>
    <col min="12028" max="12031" width="16.6640625" style="437" customWidth="1"/>
    <col min="12032" max="12032" width="2.6640625" style="437" customWidth="1"/>
    <col min="12033" max="12033" width="20.6640625" style="437" customWidth="1"/>
    <col min="12034" max="12037" width="16.6640625" style="437" customWidth="1"/>
    <col min="12038" max="12038" width="2.6640625" style="437" customWidth="1"/>
    <col min="12039" max="12039" width="20.6640625" style="437" customWidth="1"/>
    <col min="12040" max="12043" width="16.6640625" style="437" customWidth="1"/>
    <col min="12044" max="12044" width="3.77734375" style="437" customWidth="1"/>
    <col min="12045" max="12045" width="20.6640625" style="437" customWidth="1"/>
    <col min="12046" max="12049" width="16.6640625" style="437" customWidth="1"/>
    <col min="12050" max="12050" width="2.6640625" style="437" customWidth="1"/>
    <col min="12051" max="12051" width="20.6640625" style="437" customWidth="1"/>
    <col min="12052" max="12055" width="16.6640625" style="437" customWidth="1"/>
    <col min="12056" max="12056" width="4" style="437" customWidth="1"/>
    <col min="12057" max="12057" width="20.6640625" style="437" customWidth="1"/>
    <col min="12058" max="12061" width="16.6640625" style="437" customWidth="1"/>
    <col min="12062" max="12062" width="2.6640625" style="437" customWidth="1"/>
    <col min="12063" max="12063" width="20.6640625" style="437" customWidth="1"/>
    <col min="12064" max="12067" width="16.6640625" style="437" customWidth="1"/>
    <col min="12068" max="12068" width="2.6640625" style="437" customWidth="1"/>
    <col min="12069" max="12069" width="20.6640625" style="437" customWidth="1"/>
    <col min="12070" max="12073" width="16.6640625" style="437" customWidth="1"/>
    <col min="12074" max="12074" width="2.6640625" style="437" customWidth="1"/>
    <col min="12075" max="12075" width="20.6640625" style="437" customWidth="1"/>
    <col min="12076" max="12079" width="16.6640625" style="437" customWidth="1"/>
    <col min="12080" max="12080" width="2.6640625" style="437" customWidth="1"/>
    <col min="12081" max="12081" width="20.6640625" style="437" customWidth="1"/>
    <col min="12082" max="12085" width="16.6640625" style="437" customWidth="1"/>
    <col min="12086" max="12086" width="2.6640625" style="437" customWidth="1"/>
    <col min="12087" max="12087" width="20.6640625" style="437" customWidth="1"/>
    <col min="12088" max="12091" width="16.6640625" style="437" customWidth="1"/>
    <col min="12092" max="12092" width="2.6640625" style="437" customWidth="1"/>
    <col min="12093" max="12093" width="20.6640625" style="437" customWidth="1"/>
    <col min="12094" max="12097" width="16.6640625" style="437" customWidth="1"/>
    <col min="12098" max="12098" width="2.6640625" style="437" customWidth="1"/>
    <col min="12099" max="12099" width="20.6640625" style="437" customWidth="1"/>
    <col min="12100" max="12103" width="16.6640625" style="437" customWidth="1"/>
    <col min="12104" max="12104" width="2.6640625" style="437" customWidth="1"/>
    <col min="12105" max="12105" width="20.6640625" style="437" customWidth="1"/>
    <col min="12106" max="12109" width="16.6640625" style="437" customWidth="1"/>
    <col min="12110" max="12110" width="2.6640625" style="437" customWidth="1"/>
    <col min="12111" max="12111" width="20.6640625" style="437" customWidth="1"/>
    <col min="12112" max="12115" width="16.6640625" style="437" customWidth="1"/>
    <col min="12116" max="12116" width="2.6640625" style="437" customWidth="1"/>
    <col min="12117" max="12117" width="20.6640625" style="437" customWidth="1"/>
    <col min="12118" max="12121" width="16.6640625" style="437" customWidth="1"/>
    <col min="12122" max="12122" width="2.77734375" style="437" customWidth="1"/>
    <col min="12123" max="12123" width="20.6640625" style="437" customWidth="1"/>
    <col min="12124" max="12127" width="16.6640625" style="437" customWidth="1"/>
    <col min="12128" max="12128" width="2.6640625" style="437" customWidth="1"/>
    <col min="12129" max="12129" width="20.6640625" style="437" customWidth="1"/>
    <col min="12130" max="12133" width="16.6640625" style="437" customWidth="1"/>
    <col min="12134" max="12134" width="2.6640625" style="437" customWidth="1"/>
    <col min="12135" max="12135" width="20.6640625" style="437" customWidth="1"/>
    <col min="12136" max="12139" width="16.6640625" style="437" customWidth="1"/>
    <col min="12140" max="12140" width="2.6640625" style="437" customWidth="1"/>
    <col min="12141" max="12141" width="20.6640625" style="437" customWidth="1"/>
    <col min="12142" max="12145" width="16.6640625" style="437" customWidth="1"/>
    <col min="12146" max="12146" width="2.77734375" style="437" customWidth="1"/>
    <col min="12147" max="12245" width="9" style="437"/>
    <col min="12246" max="12246" width="2.6640625" style="437" customWidth="1"/>
    <col min="12247" max="12247" width="20.6640625" style="437" customWidth="1"/>
    <col min="12248" max="12251" width="16.6640625" style="437" customWidth="1"/>
    <col min="12252" max="12252" width="2.6640625" style="437" customWidth="1"/>
    <col min="12253" max="12253" width="20.6640625" style="437" customWidth="1"/>
    <col min="12254" max="12257" width="16.6640625" style="437" customWidth="1"/>
    <col min="12258" max="12258" width="4" style="437" customWidth="1"/>
    <col min="12259" max="12259" width="20.6640625" style="437" customWidth="1"/>
    <col min="12260" max="12263" width="16.6640625" style="437" customWidth="1"/>
    <col min="12264" max="12264" width="2.6640625" style="437" customWidth="1"/>
    <col min="12265" max="12265" width="20.6640625" style="437" customWidth="1"/>
    <col min="12266" max="12269" width="16.6640625" style="437" customWidth="1"/>
    <col min="12270" max="12270" width="2.6640625" style="437" customWidth="1"/>
    <col min="12271" max="12271" width="20.6640625" style="437" customWidth="1"/>
    <col min="12272" max="12275" width="16.6640625" style="437" customWidth="1"/>
    <col min="12276" max="12276" width="2.6640625" style="437" customWidth="1"/>
    <col min="12277" max="12277" width="20.6640625" style="437" customWidth="1"/>
    <col min="12278" max="12281" width="16.6640625" style="437" customWidth="1"/>
    <col min="12282" max="12282" width="2.6640625" style="437" customWidth="1"/>
    <col min="12283" max="12283" width="20.6640625" style="437" customWidth="1"/>
    <col min="12284" max="12287" width="16.6640625" style="437" customWidth="1"/>
    <col min="12288" max="12288" width="2.6640625" style="437" customWidth="1"/>
    <col min="12289" max="12289" width="20.6640625" style="437" customWidth="1"/>
    <col min="12290" max="12293" width="16.6640625" style="437" customWidth="1"/>
    <col min="12294" max="12294" width="2.6640625" style="437" customWidth="1"/>
    <col min="12295" max="12295" width="20.6640625" style="437" customWidth="1"/>
    <col min="12296" max="12299" width="16.6640625" style="437" customWidth="1"/>
    <col min="12300" max="12300" width="3.77734375" style="437" customWidth="1"/>
    <col min="12301" max="12301" width="20.6640625" style="437" customWidth="1"/>
    <col min="12302" max="12305" width="16.6640625" style="437" customWidth="1"/>
    <col min="12306" max="12306" width="2.6640625" style="437" customWidth="1"/>
    <col min="12307" max="12307" width="20.6640625" style="437" customWidth="1"/>
    <col min="12308" max="12311" width="16.6640625" style="437" customWidth="1"/>
    <col min="12312" max="12312" width="4" style="437" customWidth="1"/>
    <col min="12313" max="12313" width="20.6640625" style="437" customWidth="1"/>
    <col min="12314" max="12317" width="16.6640625" style="437" customWidth="1"/>
    <col min="12318" max="12318" width="2.6640625" style="437" customWidth="1"/>
    <col min="12319" max="12319" width="20.6640625" style="437" customWidth="1"/>
    <col min="12320" max="12323" width="16.6640625" style="437" customWidth="1"/>
    <col min="12324" max="12324" width="2.6640625" style="437" customWidth="1"/>
    <col min="12325" max="12325" width="20.6640625" style="437" customWidth="1"/>
    <col min="12326" max="12329" width="16.6640625" style="437" customWidth="1"/>
    <col min="12330" max="12330" width="2.6640625" style="437" customWidth="1"/>
    <col min="12331" max="12331" width="20.6640625" style="437" customWidth="1"/>
    <col min="12332" max="12335" width="16.6640625" style="437" customWidth="1"/>
    <col min="12336" max="12336" width="2.6640625" style="437" customWidth="1"/>
    <col min="12337" max="12337" width="20.6640625" style="437" customWidth="1"/>
    <col min="12338" max="12341" width="16.6640625" style="437" customWidth="1"/>
    <col min="12342" max="12342" width="2.6640625" style="437" customWidth="1"/>
    <col min="12343" max="12343" width="20.6640625" style="437" customWidth="1"/>
    <col min="12344" max="12347" width="16.6640625" style="437" customWidth="1"/>
    <col min="12348" max="12348" width="2.6640625" style="437" customWidth="1"/>
    <col min="12349" max="12349" width="20.6640625" style="437" customWidth="1"/>
    <col min="12350" max="12353" width="16.6640625" style="437" customWidth="1"/>
    <col min="12354" max="12354" width="2.6640625" style="437" customWidth="1"/>
    <col min="12355" max="12355" width="20.6640625" style="437" customWidth="1"/>
    <col min="12356" max="12359" width="16.6640625" style="437" customWidth="1"/>
    <col min="12360" max="12360" width="2.6640625" style="437" customWidth="1"/>
    <col min="12361" max="12361" width="20.6640625" style="437" customWidth="1"/>
    <col min="12362" max="12365" width="16.6640625" style="437" customWidth="1"/>
    <col min="12366" max="12366" width="2.6640625" style="437" customWidth="1"/>
    <col min="12367" max="12367" width="20.6640625" style="437" customWidth="1"/>
    <col min="12368" max="12371" width="16.6640625" style="437" customWidth="1"/>
    <col min="12372" max="12372" width="2.6640625" style="437" customWidth="1"/>
    <col min="12373" max="12373" width="20.6640625" style="437" customWidth="1"/>
    <col min="12374" max="12377" width="16.6640625" style="437" customWidth="1"/>
    <col min="12378" max="12378" width="2.77734375" style="437" customWidth="1"/>
    <col min="12379" max="12379" width="20.6640625" style="437" customWidth="1"/>
    <col min="12380" max="12383" width="16.6640625" style="437" customWidth="1"/>
    <col min="12384" max="12384" width="2.6640625" style="437" customWidth="1"/>
    <col min="12385" max="12385" width="20.6640625" style="437" customWidth="1"/>
    <col min="12386" max="12389" width="16.6640625" style="437" customWidth="1"/>
    <col min="12390" max="12390" width="2.6640625" style="437" customWidth="1"/>
    <col min="12391" max="12391" width="20.6640625" style="437" customWidth="1"/>
    <col min="12392" max="12395" width="16.6640625" style="437" customWidth="1"/>
    <col min="12396" max="12396" width="2.6640625" style="437" customWidth="1"/>
    <col min="12397" max="12397" width="20.6640625" style="437" customWidth="1"/>
    <col min="12398" max="12401" width="16.6640625" style="437" customWidth="1"/>
    <col min="12402" max="12402" width="2.77734375" style="437" customWidth="1"/>
    <col min="12403" max="12501" width="9" style="437"/>
    <col min="12502" max="12502" width="2.6640625" style="437" customWidth="1"/>
    <col min="12503" max="12503" width="20.6640625" style="437" customWidth="1"/>
    <col min="12504" max="12507" width="16.6640625" style="437" customWidth="1"/>
    <col min="12508" max="12508" width="2.6640625" style="437" customWidth="1"/>
    <col min="12509" max="12509" width="20.6640625" style="437" customWidth="1"/>
    <col min="12510" max="12513" width="16.6640625" style="437" customWidth="1"/>
    <col min="12514" max="12514" width="4" style="437" customWidth="1"/>
    <col min="12515" max="12515" width="20.6640625" style="437" customWidth="1"/>
    <col min="12516" max="12519" width="16.6640625" style="437" customWidth="1"/>
    <col min="12520" max="12520" width="2.6640625" style="437" customWidth="1"/>
    <col min="12521" max="12521" width="20.6640625" style="437" customWidth="1"/>
    <col min="12522" max="12525" width="16.6640625" style="437" customWidth="1"/>
    <col min="12526" max="12526" width="2.6640625" style="437" customWidth="1"/>
    <col min="12527" max="12527" width="20.6640625" style="437" customWidth="1"/>
    <col min="12528" max="12531" width="16.6640625" style="437" customWidth="1"/>
    <col min="12532" max="12532" width="2.6640625" style="437" customWidth="1"/>
    <col min="12533" max="12533" width="20.6640625" style="437" customWidth="1"/>
    <col min="12534" max="12537" width="16.6640625" style="437" customWidth="1"/>
    <col min="12538" max="12538" width="2.6640625" style="437" customWidth="1"/>
    <col min="12539" max="12539" width="20.6640625" style="437" customWidth="1"/>
    <col min="12540" max="12543" width="16.6640625" style="437" customWidth="1"/>
    <col min="12544" max="12544" width="2.6640625" style="437" customWidth="1"/>
    <col min="12545" max="12545" width="20.6640625" style="437" customWidth="1"/>
    <col min="12546" max="12549" width="16.6640625" style="437" customWidth="1"/>
    <col min="12550" max="12550" width="2.6640625" style="437" customWidth="1"/>
    <col min="12551" max="12551" width="20.6640625" style="437" customWidth="1"/>
    <col min="12552" max="12555" width="16.6640625" style="437" customWidth="1"/>
    <col min="12556" max="12556" width="3.77734375" style="437" customWidth="1"/>
    <col min="12557" max="12557" width="20.6640625" style="437" customWidth="1"/>
    <col min="12558" max="12561" width="16.6640625" style="437" customWidth="1"/>
    <col min="12562" max="12562" width="2.6640625" style="437" customWidth="1"/>
    <col min="12563" max="12563" width="20.6640625" style="437" customWidth="1"/>
    <col min="12564" max="12567" width="16.6640625" style="437" customWidth="1"/>
    <col min="12568" max="12568" width="4" style="437" customWidth="1"/>
    <col min="12569" max="12569" width="20.6640625" style="437" customWidth="1"/>
    <col min="12570" max="12573" width="16.6640625" style="437" customWidth="1"/>
    <col min="12574" max="12574" width="2.6640625" style="437" customWidth="1"/>
    <col min="12575" max="12575" width="20.6640625" style="437" customWidth="1"/>
    <col min="12576" max="12579" width="16.6640625" style="437" customWidth="1"/>
    <col min="12580" max="12580" width="2.6640625" style="437" customWidth="1"/>
    <col min="12581" max="12581" width="20.6640625" style="437" customWidth="1"/>
    <col min="12582" max="12585" width="16.6640625" style="437" customWidth="1"/>
    <col min="12586" max="12586" width="2.6640625" style="437" customWidth="1"/>
    <col min="12587" max="12587" width="20.6640625" style="437" customWidth="1"/>
    <col min="12588" max="12591" width="16.6640625" style="437" customWidth="1"/>
    <col min="12592" max="12592" width="2.6640625" style="437" customWidth="1"/>
    <col min="12593" max="12593" width="20.6640625" style="437" customWidth="1"/>
    <col min="12594" max="12597" width="16.6640625" style="437" customWidth="1"/>
    <col min="12598" max="12598" width="2.6640625" style="437" customWidth="1"/>
    <col min="12599" max="12599" width="20.6640625" style="437" customWidth="1"/>
    <col min="12600" max="12603" width="16.6640625" style="437" customWidth="1"/>
    <col min="12604" max="12604" width="2.6640625" style="437" customWidth="1"/>
    <col min="12605" max="12605" width="20.6640625" style="437" customWidth="1"/>
    <col min="12606" max="12609" width="16.6640625" style="437" customWidth="1"/>
    <col min="12610" max="12610" width="2.6640625" style="437" customWidth="1"/>
    <col min="12611" max="12611" width="20.6640625" style="437" customWidth="1"/>
    <col min="12612" max="12615" width="16.6640625" style="437" customWidth="1"/>
    <col min="12616" max="12616" width="2.6640625" style="437" customWidth="1"/>
    <col min="12617" max="12617" width="20.6640625" style="437" customWidth="1"/>
    <col min="12618" max="12621" width="16.6640625" style="437" customWidth="1"/>
    <col min="12622" max="12622" width="2.6640625" style="437" customWidth="1"/>
    <col min="12623" max="12623" width="20.6640625" style="437" customWidth="1"/>
    <col min="12624" max="12627" width="16.6640625" style="437" customWidth="1"/>
    <col min="12628" max="12628" width="2.6640625" style="437" customWidth="1"/>
    <col min="12629" max="12629" width="20.6640625" style="437" customWidth="1"/>
    <col min="12630" max="12633" width="16.6640625" style="437" customWidth="1"/>
    <col min="12634" max="12634" width="2.77734375" style="437" customWidth="1"/>
    <col min="12635" max="12635" width="20.6640625" style="437" customWidth="1"/>
    <col min="12636" max="12639" width="16.6640625" style="437" customWidth="1"/>
    <col min="12640" max="12640" width="2.6640625" style="437" customWidth="1"/>
    <col min="12641" max="12641" width="20.6640625" style="437" customWidth="1"/>
    <col min="12642" max="12645" width="16.6640625" style="437" customWidth="1"/>
    <col min="12646" max="12646" width="2.6640625" style="437" customWidth="1"/>
    <col min="12647" max="12647" width="20.6640625" style="437" customWidth="1"/>
    <col min="12648" max="12651" width="16.6640625" style="437" customWidth="1"/>
    <col min="12652" max="12652" width="2.6640625" style="437" customWidth="1"/>
    <col min="12653" max="12653" width="20.6640625" style="437" customWidth="1"/>
    <col min="12654" max="12657" width="16.6640625" style="437" customWidth="1"/>
    <col min="12658" max="12658" width="2.77734375" style="437" customWidth="1"/>
    <col min="12659" max="12757" width="9" style="437"/>
    <col min="12758" max="12758" width="2.6640625" style="437" customWidth="1"/>
    <col min="12759" max="12759" width="20.6640625" style="437" customWidth="1"/>
    <col min="12760" max="12763" width="16.6640625" style="437" customWidth="1"/>
    <col min="12764" max="12764" width="2.6640625" style="437" customWidth="1"/>
    <col min="12765" max="12765" width="20.6640625" style="437" customWidth="1"/>
    <col min="12766" max="12769" width="16.6640625" style="437" customWidth="1"/>
    <col min="12770" max="12770" width="4" style="437" customWidth="1"/>
    <col min="12771" max="12771" width="20.6640625" style="437" customWidth="1"/>
    <col min="12772" max="12775" width="16.6640625" style="437" customWidth="1"/>
    <col min="12776" max="12776" width="2.6640625" style="437" customWidth="1"/>
    <col min="12777" max="12777" width="20.6640625" style="437" customWidth="1"/>
    <col min="12778" max="12781" width="16.6640625" style="437" customWidth="1"/>
    <col min="12782" max="12782" width="2.6640625" style="437" customWidth="1"/>
    <col min="12783" max="12783" width="20.6640625" style="437" customWidth="1"/>
    <col min="12784" max="12787" width="16.6640625" style="437" customWidth="1"/>
    <col min="12788" max="12788" width="2.6640625" style="437" customWidth="1"/>
    <col min="12789" max="12789" width="20.6640625" style="437" customWidth="1"/>
    <col min="12790" max="12793" width="16.6640625" style="437" customWidth="1"/>
    <col min="12794" max="12794" width="2.6640625" style="437" customWidth="1"/>
    <col min="12795" max="12795" width="20.6640625" style="437" customWidth="1"/>
    <col min="12796" max="12799" width="16.6640625" style="437" customWidth="1"/>
    <col min="12800" max="12800" width="2.6640625" style="437" customWidth="1"/>
    <col min="12801" max="12801" width="20.6640625" style="437" customWidth="1"/>
    <col min="12802" max="12805" width="16.6640625" style="437" customWidth="1"/>
    <col min="12806" max="12806" width="2.6640625" style="437" customWidth="1"/>
    <col min="12807" max="12807" width="20.6640625" style="437" customWidth="1"/>
    <col min="12808" max="12811" width="16.6640625" style="437" customWidth="1"/>
    <col min="12812" max="12812" width="3.77734375" style="437" customWidth="1"/>
    <col min="12813" max="12813" width="20.6640625" style="437" customWidth="1"/>
    <col min="12814" max="12817" width="16.6640625" style="437" customWidth="1"/>
    <col min="12818" max="12818" width="2.6640625" style="437" customWidth="1"/>
    <col min="12819" max="12819" width="20.6640625" style="437" customWidth="1"/>
    <col min="12820" max="12823" width="16.6640625" style="437" customWidth="1"/>
    <col min="12824" max="12824" width="4" style="437" customWidth="1"/>
    <col min="12825" max="12825" width="20.6640625" style="437" customWidth="1"/>
    <col min="12826" max="12829" width="16.6640625" style="437" customWidth="1"/>
    <col min="12830" max="12830" width="2.6640625" style="437" customWidth="1"/>
    <col min="12831" max="12831" width="20.6640625" style="437" customWidth="1"/>
    <col min="12832" max="12835" width="16.6640625" style="437" customWidth="1"/>
    <col min="12836" max="12836" width="2.6640625" style="437" customWidth="1"/>
    <col min="12837" max="12837" width="20.6640625" style="437" customWidth="1"/>
    <col min="12838" max="12841" width="16.6640625" style="437" customWidth="1"/>
    <col min="12842" max="12842" width="2.6640625" style="437" customWidth="1"/>
    <col min="12843" max="12843" width="20.6640625" style="437" customWidth="1"/>
    <col min="12844" max="12847" width="16.6640625" style="437" customWidth="1"/>
    <col min="12848" max="12848" width="2.6640625" style="437" customWidth="1"/>
    <col min="12849" max="12849" width="20.6640625" style="437" customWidth="1"/>
    <col min="12850" max="12853" width="16.6640625" style="437" customWidth="1"/>
    <col min="12854" max="12854" width="2.6640625" style="437" customWidth="1"/>
    <col min="12855" max="12855" width="20.6640625" style="437" customWidth="1"/>
    <col min="12856" max="12859" width="16.6640625" style="437" customWidth="1"/>
    <col min="12860" max="12860" width="2.6640625" style="437" customWidth="1"/>
    <col min="12861" max="12861" width="20.6640625" style="437" customWidth="1"/>
    <col min="12862" max="12865" width="16.6640625" style="437" customWidth="1"/>
    <col min="12866" max="12866" width="2.6640625" style="437" customWidth="1"/>
    <col min="12867" max="12867" width="20.6640625" style="437" customWidth="1"/>
    <col min="12868" max="12871" width="16.6640625" style="437" customWidth="1"/>
    <col min="12872" max="12872" width="2.6640625" style="437" customWidth="1"/>
    <col min="12873" max="12873" width="20.6640625" style="437" customWidth="1"/>
    <col min="12874" max="12877" width="16.6640625" style="437" customWidth="1"/>
    <col min="12878" max="12878" width="2.6640625" style="437" customWidth="1"/>
    <col min="12879" max="12879" width="20.6640625" style="437" customWidth="1"/>
    <col min="12880" max="12883" width="16.6640625" style="437" customWidth="1"/>
    <col min="12884" max="12884" width="2.6640625" style="437" customWidth="1"/>
    <col min="12885" max="12885" width="20.6640625" style="437" customWidth="1"/>
    <col min="12886" max="12889" width="16.6640625" style="437" customWidth="1"/>
    <col min="12890" max="12890" width="2.77734375" style="437" customWidth="1"/>
    <col min="12891" max="12891" width="20.6640625" style="437" customWidth="1"/>
    <col min="12892" max="12895" width="16.6640625" style="437" customWidth="1"/>
    <col min="12896" max="12896" width="2.6640625" style="437" customWidth="1"/>
    <col min="12897" max="12897" width="20.6640625" style="437" customWidth="1"/>
    <col min="12898" max="12901" width="16.6640625" style="437" customWidth="1"/>
    <col min="12902" max="12902" width="2.6640625" style="437" customWidth="1"/>
    <col min="12903" max="12903" width="20.6640625" style="437" customWidth="1"/>
    <col min="12904" max="12907" width="16.6640625" style="437" customWidth="1"/>
    <col min="12908" max="12908" width="2.6640625" style="437" customWidth="1"/>
    <col min="12909" max="12909" width="20.6640625" style="437" customWidth="1"/>
    <col min="12910" max="12913" width="16.6640625" style="437" customWidth="1"/>
    <col min="12914" max="12914" width="2.77734375" style="437" customWidth="1"/>
    <col min="12915" max="13013" width="9" style="437"/>
    <col min="13014" max="13014" width="2.6640625" style="437" customWidth="1"/>
    <col min="13015" max="13015" width="20.6640625" style="437" customWidth="1"/>
    <col min="13016" max="13019" width="16.6640625" style="437" customWidth="1"/>
    <col min="13020" max="13020" width="2.6640625" style="437" customWidth="1"/>
    <col min="13021" max="13021" width="20.6640625" style="437" customWidth="1"/>
    <col min="13022" max="13025" width="16.6640625" style="437" customWidth="1"/>
    <col min="13026" max="13026" width="4" style="437" customWidth="1"/>
    <col min="13027" max="13027" width="20.6640625" style="437" customWidth="1"/>
    <col min="13028" max="13031" width="16.6640625" style="437" customWidth="1"/>
    <col min="13032" max="13032" width="2.6640625" style="437" customWidth="1"/>
    <col min="13033" max="13033" width="20.6640625" style="437" customWidth="1"/>
    <col min="13034" max="13037" width="16.6640625" style="437" customWidth="1"/>
    <col min="13038" max="13038" width="2.6640625" style="437" customWidth="1"/>
    <col min="13039" max="13039" width="20.6640625" style="437" customWidth="1"/>
    <col min="13040" max="13043" width="16.6640625" style="437" customWidth="1"/>
    <col min="13044" max="13044" width="2.6640625" style="437" customWidth="1"/>
    <col min="13045" max="13045" width="20.6640625" style="437" customWidth="1"/>
    <col min="13046" max="13049" width="16.6640625" style="437" customWidth="1"/>
    <col min="13050" max="13050" width="2.6640625" style="437" customWidth="1"/>
    <col min="13051" max="13051" width="20.6640625" style="437" customWidth="1"/>
    <col min="13052" max="13055" width="16.6640625" style="437" customWidth="1"/>
    <col min="13056" max="13056" width="2.6640625" style="437" customWidth="1"/>
    <col min="13057" max="13057" width="20.6640625" style="437" customWidth="1"/>
    <col min="13058" max="13061" width="16.6640625" style="437" customWidth="1"/>
    <col min="13062" max="13062" width="2.6640625" style="437" customWidth="1"/>
    <col min="13063" max="13063" width="20.6640625" style="437" customWidth="1"/>
    <col min="13064" max="13067" width="16.6640625" style="437" customWidth="1"/>
    <col min="13068" max="13068" width="3.77734375" style="437" customWidth="1"/>
    <col min="13069" max="13069" width="20.6640625" style="437" customWidth="1"/>
    <col min="13070" max="13073" width="16.6640625" style="437" customWidth="1"/>
    <col min="13074" max="13074" width="2.6640625" style="437" customWidth="1"/>
    <col min="13075" max="13075" width="20.6640625" style="437" customWidth="1"/>
    <col min="13076" max="13079" width="16.6640625" style="437" customWidth="1"/>
    <col min="13080" max="13080" width="4" style="437" customWidth="1"/>
    <col min="13081" max="13081" width="20.6640625" style="437" customWidth="1"/>
    <col min="13082" max="13085" width="16.6640625" style="437" customWidth="1"/>
    <col min="13086" max="13086" width="2.6640625" style="437" customWidth="1"/>
    <col min="13087" max="13087" width="20.6640625" style="437" customWidth="1"/>
    <col min="13088" max="13091" width="16.6640625" style="437" customWidth="1"/>
    <col min="13092" max="13092" width="2.6640625" style="437" customWidth="1"/>
    <col min="13093" max="13093" width="20.6640625" style="437" customWidth="1"/>
    <col min="13094" max="13097" width="16.6640625" style="437" customWidth="1"/>
    <col min="13098" max="13098" width="2.6640625" style="437" customWidth="1"/>
    <col min="13099" max="13099" width="20.6640625" style="437" customWidth="1"/>
    <col min="13100" max="13103" width="16.6640625" style="437" customWidth="1"/>
    <col min="13104" max="13104" width="2.6640625" style="437" customWidth="1"/>
    <col min="13105" max="13105" width="20.6640625" style="437" customWidth="1"/>
    <col min="13106" max="13109" width="16.6640625" style="437" customWidth="1"/>
    <col min="13110" max="13110" width="2.6640625" style="437" customWidth="1"/>
    <col min="13111" max="13111" width="20.6640625" style="437" customWidth="1"/>
    <col min="13112" max="13115" width="16.6640625" style="437" customWidth="1"/>
    <col min="13116" max="13116" width="2.6640625" style="437" customWidth="1"/>
    <col min="13117" max="13117" width="20.6640625" style="437" customWidth="1"/>
    <col min="13118" max="13121" width="16.6640625" style="437" customWidth="1"/>
    <col min="13122" max="13122" width="2.6640625" style="437" customWidth="1"/>
    <col min="13123" max="13123" width="20.6640625" style="437" customWidth="1"/>
    <col min="13124" max="13127" width="16.6640625" style="437" customWidth="1"/>
    <col min="13128" max="13128" width="2.6640625" style="437" customWidth="1"/>
    <col min="13129" max="13129" width="20.6640625" style="437" customWidth="1"/>
    <col min="13130" max="13133" width="16.6640625" style="437" customWidth="1"/>
    <col min="13134" max="13134" width="2.6640625" style="437" customWidth="1"/>
    <col min="13135" max="13135" width="20.6640625" style="437" customWidth="1"/>
    <col min="13136" max="13139" width="16.6640625" style="437" customWidth="1"/>
    <col min="13140" max="13140" width="2.6640625" style="437" customWidth="1"/>
    <col min="13141" max="13141" width="20.6640625" style="437" customWidth="1"/>
    <col min="13142" max="13145" width="16.6640625" style="437" customWidth="1"/>
    <col min="13146" max="13146" width="2.77734375" style="437" customWidth="1"/>
    <col min="13147" max="13147" width="20.6640625" style="437" customWidth="1"/>
    <col min="13148" max="13151" width="16.6640625" style="437" customWidth="1"/>
    <col min="13152" max="13152" width="2.6640625" style="437" customWidth="1"/>
    <col min="13153" max="13153" width="20.6640625" style="437" customWidth="1"/>
    <col min="13154" max="13157" width="16.6640625" style="437" customWidth="1"/>
    <col min="13158" max="13158" width="2.6640625" style="437" customWidth="1"/>
    <col min="13159" max="13159" width="20.6640625" style="437" customWidth="1"/>
    <col min="13160" max="13163" width="16.6640625" style="437" customWidth="1"/>
    <col min="13164" max="13164" width="2.6640625" style="437" customWidth="1"/>
    <col min="13165" max="13165" width="20.6640625" style="437" customWidth="1"/>
    <col min="13166" max="13169" width="16.6640625" style="437" customWidth="1"/>
    <col min="13170" max="13170" width="2.77734375" style="437" customWidth="1"/>
    <col min="13171" max="13269" width="9" style="437"/>
    <col min="13270" max="13270" width="2.6640625" style="437" customWidth="1"/>
    <col min="13271" max="13271" width="20.6640625" style="437" customWidth="1"/>
    <col min="13272" max="13275" width="16.6640625" style="437" customWidth="1"/>
    <col min="13276" max="13276" width="2.6640625" style="437" customWidth="1"/>
    <col min="13277" max="13277" width="20.6640625" style="437" customWidth="1"/>
    <col min="13278" max="13281" width="16.6640625" style="437" customWidth="1"/>
    <col min="13282" max="13282" width="4" style="437" customWidth="1"/>
    <col min="13283" max="13283" width="20.6640625" style="437" customWidth="1"/>
    <col min="13284" max="13287" width="16.6640625" style="437" customWidth="1"/>
    <col min="13288" max="13288" width="2.6640625" style="437" customWidth="1"/>
    <col min="13289" max="13289" width="20.6640625" style="437" customWidth="1"/>
    <col min="13290" max="13293" width="16.6640625" style="437" customWidth="1"/>
    <col min="13294" max="13294" width="2.6640625" style="437" customWidth="1"/>
    <col min="13295" max="13295" width="20.6640625" style="437" customWidth="1"/>
    <col min="13296" max="13299" width="16.6640625" style="437" customWidth="1"/>
    <col min="13300" max="13300" width="2.6640625" style="437" customWidth="1"/>
    <col min="13301" max="13301" width="20.6640625" style="437" customWidth="1"/>
    <col min="13302" max="13305" width="16.6640625" style="437" customWidth="1"/>
    <col min="13306" max="13306" width="2.6640625" style="437" customWidth="1"/>
    <col min="13307" max="13307" width="20.6640625" style="437" customWidth="1"/>
    <col min="13308" max="13311" width="16.6640625" style="437" customWidth="1"/>
    <col min="13312" max="13312" width="2.6640625" style="437" customWidth="1"/>
    <col min="13313" max="13313" width="20.6640625" style="437" customWidth="1"/>
    <col min="13314" max="13317" width="16.6640625" style="437" customWidth="1"/>
    <col min="13318" max="13318" width="2.6640625" style="437" customWidth="1"/>
    <col min="13319" max="13319" width="20.6640625" style="437" customWidth="1"/>
    <col min="13320" max="13323" width="16.6640625" style="437" customWidth="1"/>
    <col min="13324" max="13324" width="3.77734375" style="437" customWidth="1"/>
    <col min="13325" max="13325" width="20.6640625" style="437" customWidth="1"/>
    <col min="13326" max="13329" width="16.6640625" style="437" customWidth="1"/>
    <col min="13330" max="13330" width="2.6640625" style="437" customWidth="1"/>
    <col min="13331" max="13331" width="20.6640625" style="437" customWidth="1"/>
    <col min="13332" max="13335" width="16.6640625" style="437" customWidth="1"/>
    <col min="13336" max="13336" width="4" style="437" customWidth="1"/>
    <col min="13337" max="13337" width="20.6640625" style="437" customWidth="1"/>
    <col min="13338" max="13341" width="16.6640625" style="437" customWidth="1"/>
    <col min="13342" max="13342" width="2.6640625" style="437" customWidth="1"/>
    <col min="13343" max="13343" width="20.6640625" style="437" customWidth="1"/>
    <col min="13344" max="13347" width="16.6640625" style="437" customWidth="1"/>
    <col min="13348" max="13348" width="2.6640625" style="437" customWidth="1"/>
    <col min="13349" max="13349" width="20.6640625" style="437" customWidth="1"/>
    <col min="13350" max="13353" width="16.6640625" style="437" customWidth="1"/>
    <col min="13354" max="13354" width="2.6640625" style="437" customWidth="1"/>
    <col min="13355" max="13355" width="20.6640625" style="437" customWidth="1"/>
    <col min="13356" max="13359" width="16.6640625" style="437" customWidth="1"/>
    <col min="13360" max="13360" width="2.6640625" style="437" customWidth="1"/>
    <col min="13361" max="13361" width="20.6640625" style="437" customWidth="1"/>
    <col min="13362" max="13365" width="16.6640625" style="437" customWidth="1"/>
    <col min="13366" max="13366" width="2.6640625" style="437" customWidth="1"/>
    <col min="13367" max="13367" width="20.6640625" style="437" customWidth="1"/>
    <col min="13368" max="13371" width="16.6640625" style="437" customWidth="1"/>
    <col min="13372" max="13372" width="2.6640625" style="437" customWidth="1"/>
    <col min="13373" max="13373" width="20.6640625" style="437" customWidth="1"/>
    <col min="13374" max="13377" width="16.6640625" style="437" customWidth="1"/>
    <col min="13378" max="13378" width="2.6640625" style="437" customWidth="1"/>
    <col min="13379" max="13379" width="20.6640625" style="437" customWidth="1"/>
    <col min="13380" max="13383" width="16.6640625" style="437" customWidth="1"/>
    <col min="13384" max="13384" width="2.6640625" style="437" customWidth="1"/>
    <col min="13385" max="13385" width="20.6640625" style="437" customWidth="1"/>
    <col min="13386" max="13389" width="16.6640625" style="437" customWidth="1"/>
    <col min="13390" max="13390" width="2.6640625" style="437" customWidth="1"/>
    <col min="13391" max="13391" width="20.6640625" style="437" customWidth="1"/>
    <col min="13392" max="13395" width="16.6640625" style="437" customWidth="1"/>
    <col min="13396" max="13396" width="2.6640625" style="437" customWidth="1"/>
    <col min="13397" max="13397" width="20.6640625" style="437" customWidth="1"/>
    <col min="13398" max="13401" width="16.6640625" style="437" customWidth="1"/>
    <col min="13402" max="13402" width="2.77734375" style="437" customWidth="1"/>
    <col min="13403" max="13403" width="20.6640625" style="437" customWidth="1"/>
    <col min="13404" max="13407" width="16.6640625" style="437" customWidth="1"/>
    <col min="13408" max="13408" width="2.6640625" style="437" customWidth="1"/>
    <col min="13409" max="13409" width="20.6640625" style="437" customWidth="1"/>
    <col min="13410" max="13413" width="16.6640625" style="437" customWidth="1"/>
    <col min="13414" max="13414" width="2.6640625" style="437" customWidth="1"/>
    <col min="13415" max="13415" width="20.6640625" style="437" customWidth="1"/>
    <col min="13416" max="13419" width="16.6640625" style="437" customWidth="1"/>
    <col min="13420" max="13420" width="2.6640625" style="437" customWidth="1"/>
    <col min="13421" max="13421" width="20.6640625" style="437" customWidth="1"/>
    <col min="13422" max="13425" width="16.6640625" style="437" customWidth="1"/>
    <col min="13426" max="13426" width="2.77734375" style="437" customWidth="1"/>
    <col min="13427" max="13525" width="9" style="437"/>
    <col min="13526" max="13526" width="2.6640625" style="437" customWidth="1"/>
    <col min="13527" max="13527" width="20.6640625" style="437" customWidth="1"/>
    <col min="13528" max="13531" width="16.6640625" style="437" customWidth="1"/>
    <col min="13532" max="13532" width="2.6640625" style="437" customWidth="1"/>
    <col min="13533" max="13533" width="20.6640625" style="437" customWidth="1"/>
    <col min="13534" max="13537" width="16.6640625" style="437" customWidth="1"/>
    <col min="13538" max="13538" width="4" style="437" customWidth="1"/>
    <col min="13539" max="13539" width="20.6640625" style="437" customWidth="1"/>
    <col min="13540" max="13543" width="16.6640625" style="437" customWidth="1"/>
    <col min="13544" max="13544" width="2.6640625" style="437" customWidth="1"/>
    <col min="13545" max="13545" width="20.6640625" style="437" customWidth="1"/>
    <col min="13546" max="13549" width="16.6640625" style="437" customWidth="1"/>
    <col min="13550" max="13550" width="2.6640625" style="437" customWidth="1"/>
    <col min="13551" max="13551" width="20.6640625" style="437" customWidth="1"/>
    <col min="13552" max="13555" width="16.6640625" style="437" customWidth="1"/>
    <col min="13556" max="13556" width="2.6640625" style="437" customWidth="1"/>
    <col min="13557" max="13557" width="20.6640625" style="437" customWidth="1"/>
    <col min="13558" max="13561" width="16.6640625" style="437" customWidth="1"/>
    <col min="13562" max="13562" width="2.6640625" style="437" customWidth="1"/>
    <col min="13563" max="13563" width="20.6640625" style="437" customWidth="1"/>
    <col min="13564" max="13567" width="16.6640625" style="437" customWidth="1"/>
    <col min="13568" max="13568" width="2.6640625" style="437" customWidth="1"/>
    <col min="13569" max="13569" width="20.6640625" style="437" customWidth="1"/>
    <col min="13570" max="13573" width="16.6640625" style="437" customWidth="1"/>
    <col min="13574" max="13574" width="2.6640625" style="437" customWidth="1"/>
    <col min="13575" max="13575" width="20.6640625" style="437" customWidth="1"/>
    <col min="13576" max="13579" width="16.6640625" style="437" customWidth="1"/>
    <col min="13580" max="13580" width="3.77734375" style="437" customWidth="1"/>
    <col min="13581" max="13581" width="20.6640625" style="437" customWidth="1"/>
    <col min="13582" max="13585" width="16.6640625" style="437" customWidth="1"/>
    <col min="13586" max="13586" width="2.6640625" style="437" customWidth="1"/>
    <col min="13587" max="13587" width="20.6640625" style="437" customWidth="1"/>
    <col min="13588" max="13591" width="16.6640625" style="437" customWidth="1"/>
    <col min="13592" max="13592" width="4" style="437" customWidth="1"/>
    <col min="13593" max="13593" width="20.6640625" style="437" customWidth="1"/>
    <col min="13594" max="13597" width="16.6640625" style="437" customWidth="1"/>
    <col min="13598" max="13598" width="2.6640625" style="437" customWidth="1"/>
    <col min="13599" max="13599" width="20.6640625" style="437" customWidth="1"/>
    <col min="13600" max="13603" width="16.6640625" style="437" customWidth="1"/>
    <col min="13604" max="13604" width="2.6640625" style="437" customWidth="1"/>
    <col min="13605" max="13605" width="20.6640625" style="437" customWidth="1"/>
    <col min="13606" max="13609" width="16.6640625" style="437" customWidth="1"/>
    <col min="13610" max="13610" width="2.6640625" style="437" customWidth="1"/>
    <col min="13611" max="13611" width="20.6640625" style="437" customWidth="1"/>
    <col min="13612" max="13615" width="16.6640625" style="437" customWidth="1"/>
    <col min="13616" max="13616" width="2.6640625" style="437" customWidth="1"/>
    <col min="13617" max="13617" width="20.6640625" style="437" customWidth="1"/>
    <col min="13618" max="13621" width="16.6640625" style="437" customWidth="1"/>
    <col min="13622" max="13622" width="2.6640625" style="437" customWidth="1"/>
    <col min="13623" max="13623" width="20.6640625" style="437" customWidth="1"/>
    <col min="13624" max="13627" width="16.6640625" style="437" customWidth="1"/>
    <col min="13628" max="13628" width="2.6640625" style="437" customWidth="1"/>
    <col min="13629" max="13629" width="20.6640625" style="437" customWidth="1"/>
    <col min="13630" max="13633" width="16.6640625" style="437" customWidth="1"/>
    <col min="13634" max="13634" width="2.6640625" style="437" customWidth="1"/>
    <col min="13635" max="13635" width="20.6640625" style="437" customWidth="1"/>
    <col min="13636" max="13639" width="16.6640625" style="437" customWidth="1"/>
    <col min="13640" max="13640" width="2.6640625" style="437" customWidth="1"/>
    <col min="13641" max="13641" width="20.6640625" style="437" customWidth="1"/>
    <col min="13642" max="13645" width="16.6640625" style="437" customWidth="1"/>
    <col min="13646" max="13646" width="2.6640625" style="437" customWidth="1"/>
    <col min="13647" max="13647" width="20.6640625" style="437" customWidth="1"/>
    <col min="13648" max="13651" width="16.6640625" style="437" customWidth="1"/>
    <col min="13652" max="13652" width="2.6640625" style="437" customWidth="1"/>
    <col min="13653" max="13653" width="20.6640625" style="437" customWidth="1"/>
    <col min="13654" max="13657" width="16.6640625" style="437" customWidth="1"/>
    <col min="13658" max="13658" width="2.77734375" style="437" customWidth="1"/>
    <col min="13659" max="13659" width="20.6640625" style="437" customWidth="1"/>
    <col min="13660" max="13663" width="16.6640625" style="437" customWidth="1"/>
    <col min="13664" max="13664" width="2.6640625" style="437" customWidth="1"/>
    <col min="13665" max="13665" width="20.6640625" style="437" customWidth="1"/>
    <col min="13666" max="13669" width="16.6640625" style="437" customWidth="1"/>
    <col min="13670" max="13670" width="2.6640625" style="437" customWidth="1"/>
    <col min="13671" max="13671" width="20.6640625" style="437" customWidth="1"/>
    <col min="13672" max="13675" width="16.6640625" style="437" customWidth="1"/>
    <col min="13676" max="13676" width="2.6640625" style="437" customWidth="1"/>
    <col min="13677" max="13677" width="20.6640625" style="437" customWidth="1"/>
    <col min="13678" max="13681" width="16.6640625" style="437" customWidth="1"/>
    <col min="13682" max="13682" width="2.77734375" style="437" customWidth="1"/>
    <col min="13683" max="13781" width="9" style="437"/>
    <col min="13782" max="13782" width="2.6640625" style="437" customWidth="1"/>
    <col min="13783" max="13783" width="20.6640625" style="437" customWidth="1"/>
    <col min="13784" max="13787" width="16.6640625" style="437" customWidth="1"/>
    <col min="13788" max="13788" width="2.6640625" style="437" customWidth="1"/>
    <col min="13789" max="13789" width="20.6640625" style="437" customWidth="1"/>
    <col min="13790" max="13793" width="16.6640625" style="437" customWidth="1"/>
    <col min="13794" max="13794" width="4" style="437" customWidth="1"/>
    <col min="13795" max="13795" width="20.6640625" style="437" customWidth="1"/>
    <col min="13796" max="13799" width="16.6640625" style="437" customWidth="1"/>
    <col min="13800" max="13800" width="2.6640625" style="437" customWidth="1"/>
    <col min="13801" max="13801" width="20.6640625" style="437" customWidth="1"/>
    <col min="13802" max="13805" width="16.6640625" style="437" customWidth="1"/>
    <col min="13806" max="13806" width="2.6640625" style="437" customWidth="1"/>
    <col min="13807" max="13807" width="20.6640625" style="437" customWidth="1"/>
    <col min="13808" max="13811" width="16.6640625" style="437" customWidth="1"/>
    <col min="13812" max="13812" width="2.6640625" style="437" customWidth="1"/>
    <col min="13813" max="13813" width="20.6640625" style="437" customWidth="1"/>
    <col min="13814" max="13817" width="16.6640625" style="437" customWidth="1"/>
    <col min="13818" max="13818" width="2.6640625" style="437" customWidth="1"/>
    <col min="13819" max="13819" width="20.6640625" style="437" customWidth="1"/>
    <col min="13820" max="13823" width="16.6640625" style="437" customWidth="1"/>
    <col min="13824" max="13824" width="2.6640625" style="437" customWidth="1"/>
    <col min="13825" max="13825" width="20.6640625" style="437" customWidth="1"/>
    <col min="13826" max="13829" width="16.6640625" style="437" customWidth="1"/>
    <col min="13830" max="13830" width="2.6640625" style="437" customWidth="1"/>
    <col min="13831" max="13831" width="20.6640625" style="437" customWidth="1"/>
    <col min="13832" max="13835" width="16.6640625" style="437" customWidth="1"/>
    <col min="13836" max="13836" width="3.77734375" style="437" customWidth="1"/>
    <col min="13837" max="13837" width="20.6640625" style="437" customWidth="1"/>
    <col min="13838" max="13841" width="16.6640625" style="437" customWidth="1"/>
    <col min="13842" max="13842" width="2.6640625" style="437" customWidth="1"/>
    <col min="13843" max="13843" width="20.6640625" style="437" customWidth="1"/>
    <col min="13844" max="13847" width="16.6640625" style="437" customWidth="1"/>
    <col min="13848" max="13848" width="4" style="437" customWidth="1"/>
    <col min="13849" max="13849" width="20.6640625" style="437" customWidth="1"/>
    <col min="13850" max="13853" width="16.6640625" style="437" customWidth="1"/>
    <col min="13854" max="13854" width="2.6640625" style="437" customWidth="1"/>
    <col min="13855" max="13855" width="20.6640625" style="437" customWidth="1"/>
    <col min="13856" max="13859" width="16.6640625" style="437" customWidth="1"/>
    <col min="13860" max="13860" width="2.6640625" style="437" customWidth="1"/>
    <col min="13861" max="13861" width="20.6640625" style="437" customWidth="1"/>
    <col min="13862" max="13865" width="16.6640625" style="437" customWidth="1"/>
    <col min="13866" max="13866" width="2.6640625" style="437" customWidth="1"/>
    <col min="13867" max="13867" width="20.6640625" style="437" customWidth="1"/>
    <col min="13868" max="13871" width="16.6640625" style="437" customWidth="1"/>
    <col min="13872" max="13872" width="2.6640625" style="437" customWidth="1"/>
    <col min="13873" max="13873" width="20.6640625" style="437" customWidth="1"/>
    <col min="13874" max="13877" width="16.6640625" style="437" customWidth="1"/>
    <col min="13878" max="13878" width="2.6640625" style="437" customWidth="1"/>
    <col min="13879" max="13879" width="20.6640625" style="437" customWidth="1"/>
    <col min="13880" max="13883" width="16.6640625" style="437" customWidth="1"/>
    <col min="13884" max="13884" width="2.6640625" style="437" customWidth="1"/>
    <col min="13885" max="13885" width="20.6640625" style="437" customWidth="1"/>
    <col min="13886" max="13889" width="16.6640625" style="437" customWidth="1"/>
    <col min="13890" max="13890" width="2.6640625" style="437" customWidth="1"/>
    <col min="13891" max="13891" width="20.6640625" style="437" customWidth="1"/>
    <col min="13892" max="13895" width="16.6640625" style="437" customWidth="1"/>
    <col min="13896" max="13896" width="2.6640625" style="437" customWidth="1"/>
    <col min="13897" max="13897" width="20.6640625" style="437" customWidth="1"/>
    <col min="13898" max="13901" width="16.6640625" style="437" customWidth="1"/>
    <col min="13902" max="13902" width="2.6640625" style="437" customWidth="1"/>
    <col min="13903" max="13903" width="20.6640625" style="437" customWidth="1"/>
    <col min="13904" max="13907" width="16.6640625" style="437" customWidth="1"/>
    <col min="13908" max="13908" width="2.6640625" style="437" customWidth="1"/>
    <col min="13909" max="13909" width="20.6640625" style="437" customWidth="1"/>
    <col min="13910" max="13913" width="16.6640625" style="437" customWidth="1"/>
    <col min="13914" max="13914" width="2.77734375" style="437" customWidth="1"/>
    <col min="13915" max="13915" width="20.6640625" style="437" customWidth="1"/>
    <col min="13916" max="13919" width="16.6640625" style="437" customWidth="1"/>
    <col min="13920" max="13920" width="2.6640625" style="437" customWidth="1"/>
    <col min="13921" max="13921" width="20.6640625" style="437" customWidth="1"/>
    <col min="13922" max="13925" width="16.6640625" style="437" customWidth="1"/>
    <col min="13926" max="13926" width="2.6640625" style="437" customWidth="1"/>
    <col min="13927" max="13927" width="20.6640625" style="437" customWidth="1"/>
    <col min="13928" max="13931" width="16.6640625" style="437" customWidth="1"/>
    <col min="13932" max="13932" width="2.6640625" style="437" customWidth="1"/>
    <col min="13933" max="13933" width="20.6640625" style="437" customWidth="1"/>
    <col min="13934" max="13937" width="16.6640625" style="437" customWidth="1"/>
    <col min="13938" max="13938" width="2.77734375" style="437" customWidth="1"/>
    <col min="13939" max="14037" width="9" style="437"/>
    <col min="14038" max="14038" width="2.6640625" style="437" customWidth="1"/>
    <col min="14039" max="14039" width="20.6640625" style="437" customWidth="1"/>
    <col min="14040" max="14043" width="16.6640625" style="437" customWidth="1"/>
    <col min="14044" max="14044" width="2.6640625" style="437" customWidth="1"/>
    <col min="14045" max="14045" width="20.6640625" style="437" customWidth="1"/>
    <col min="14046" max="14049" width="16.6640625" style="437" customWidth="1"/>
    <col min="14050" max="14050" width="4" style="437" customWidth="1"/>
    <col min="14051" max="14051" width="20.6640625" style="437" customWidth="1"/>
    <col min="14052" max="14055" width="16.6640625" style="437" customWidth="1"/>
    <col min="14056" max="14056" width="2.6640625" style="437" customWidth="1"/>
    <col min="14057" max="14057" width="20.6640625" style="437" customWidth="1"/>
    <col min="14058" max="14061" width="16.6640625" style="437" customWidth="1"/>
    <col min="14062" max="14062" width="2.6640625" style="437" customWidth="1"/>
    <col min="14063" max="14063" width="20.6640625" style="437" customWidth="1"/>
    <col min="14064" max="14067" width="16.6640625" style="437" customWidth="1"/>
    <col min="14068" max="14068" width="2.6640625" style="437" customWidth="1"/>
    <col min="14069" max="14069" width="20.6640625" style="437" customWidth="1"/>
    <col min="14070" max="14073" width="16.6640625" style="437" customWidth="1"/>
    <col min="14074" max="14074" width="2.6640625" style="437" customWidth="1"/>
    <col min="14075" max="14075" width="20.6640625" style="437" customWidth="1"/>
    <col min="14076" max="14079" width="16.6640625" style="437" customWidth="1"/>
    <col min="14080" max="14080" width="2.6640625" style="437" customWidth="1"/>
    <col min="14081" max="14081" width="20.6640625" style="437" customWidth="1"/>
    <col min="14082" max="14085" width="16.6640625" style="437" customWidth="1"/>
    <col min="14086" max="14086" width="2.6640625" style="437" customWidth="1"/>
    <col min="14087" max="14087" width="20.6640625" style="437" customWidth="1"/>
    <col min="14088" max="14091" width="16.6640625" style="437" customWidth="1"/>
    <col min="14092" max="14092" width="3.77734375" style="437" customWidth="1"/>
    <col min="14093" max="14093" width="20.6640625" style="437" customWidth="1"/>
    <col min="14094" max="14097" width="16.6640625" style="437" customWidth="1"/>
    <col min="14098" max="14098" width="2.6640625" style="437" customWidth="1"/>
    <col min="14099" max="14099" width="20.6640625" style="437" customWidth="1"/>
    <col min="14100" max="14103" width="16.6640625" style="437" customWidth="1"/>
    <col min="14104" max="14104" width="4" style="437" customWidth="1"/>
    <col min="14105" max="14105" width="20.6640625" style="437" customWidth="1"/>
    <col min="14106" max="14109" width="16.6640625" style="437" customWidth="1"/>
    <col min="14110" max="14110" width="2.6640625" style="437" customWidth="1"/>
    <col min="14111" max="14111" width="20.6640625" style="437" customWidth="1"/>
    <col min="14112" max="14115" width="16.6640625" style="437" customWidth="1"/>
    <col min="14116" max="14116" width="2.6640625" style="437" customWidth="1"/>
    <col min="14117" max="14117" width="20.6640625" style="437" customWidth="1"/>
    <col min="14118" max="14121" width="16.6640625" style="437" customWidth="1"/>
    <col min="14122" max="14122" width="2.6640625" style="437" customWidth="1"/>
    <col min="14123" max="14123" width="20.6640625" style="437" customWidth="1"/>
    <col min="14124" max="14127" width="16.6640625" style="437" customWidth="1"/>
    <col min="14128" max="14128" width="2.6640625" style="437" customWidth="1"/>
    <col min="14129" max="14129" width="20.6640625" style="437" customWidth="1"/>
    <col min="14130" max="14133" width="16.6640625" style="437" customWidth="1"/>
    <col min="14134" max="14134" width="2.6640625" style="437" customWidth="1"/>
    <col min="14135" max="14135" width="20.6640625" style="437" customWidth="1"/>
    <col min="14136" max="14139" width="16.6640625" style="437" customWidth="1"/>
    <col min="14140" max="14140" width="2.6640625" style="437" customWidth="1"/>
    <col min="14141" max="14141" width="20.6640625" style="437" customWidth="1"/>
    <col min="14142" max="14145" width="16.6640625" style="437" customWidth="1"/>
    <col min="14146" max="14146" width="2.6640625" style="437" customWidth="1"/>
    <col min="14147" max="14147" width="20.6640625" style="437" customWidth="1"/>
    <col min="14148" max="14151" width="16.6640625" style="437" customWidth="1"/>
    <col min="14152" max="14152" width="2.6640625" style="437" customWidth="1"/>
    <col min="14153" max="14153" width="20.6640625" style="437" customWidth="1"/>
    <col min="14154" max="14157" width="16.6640625" style="437" customWidth="1"/>
    <col min="14158" max="14158" width="2.6640625" style="437" customWidth="1"/>
    <col min="14159" max="14159" width="20.6640625" style="437" customWidth="1"/>
    <col min="14160" max="14163" width="16.6640625" style="437" customWidth="1"/>
    <col min="14164" max="14164" width="2.6640625" style="437" customWidth="1"/>
    <col min="14165" max="14165" width="20.6640625" style="437" customWidth="1"/>
    <col min="14166" max="14169" width="16.6640625" style="437" customWidth="1"/>
    <col min="14170" max="14170" width="2.77734375" style="437" customWidth="1"/>
    <col min="14171" max="14171" width="20.6640625" style="437" customWidth="1"/>
    <col min="14172" max="14175" width="16.6640625" style="437" customWidth="1"/>
    <col min="14176" max="14176" width="2.6640625" style="437" customWidth="1"/>
    <col min="14177" max="14177" width="20.6640625" style="437" customWidth="1"/>
    <col min="14178" max="14181" width="16.6640625" style="437" customWidth="1"/>
    <col min="14182" max="14182" width="2.6640625" style="437" customWidth="1"/>
    <col min="14183" max="14183" width="20.6640625" style="437" customWidth="1"/>
    <col min="14184" max="14187" width="16.6640625" style="437" customWidth="1"/>
    <col min="14188" max="14188" width="2.6640625" style="437" customWidth="1"/>
    <col min="14189" max="14189" width="20.6640625" style="437" customWidth="1"/>
    <col min="14190" max="14193" width="16.6640625" style="437" customWidth="1"/>
    <col min="14194" max="14194" width="2.77734375" style="437" customWidth="1"/>
    <col min="14195" max="14293" width="9" style="437"/>
    <col min="14294" max="14294" width="2.6640625" style="437" customWidth="1"/>
    <col min="14295" max="14295" width="20.6640625" style="437" customWidth="1"/>
    <col min="14296" max="14299" width="16.6640625" style="437" customWidth="1"/>
    <col min="14300" max="14300" width="2.6640625" style="437" customWidth="1"/>
    <col min="14301" max="14301" width="20.6640625" style="437" customWidth="1"/>
    <col min="14302" max="14305" width="16.6640625" style="437" customWidth="1"/>
    <col min="14306" max="14306" width="4" style="437" customWidth="1"/>
    <col min="14307" max="14307" width="20.6640625" style="437" customWidth="1"/>
    <col min="14308" max="14311" width="16.6640625" style="437" customWidth="1"/>
    <col min="14312" max="14312" width="2.6640625" style="437" customWidth="1"/>
    <col min="14313" max="14313" width="20.6640625" style="437" customWidth="1"/>
    <col min="14314" max="14317" width="16.6640625" style="437" customWidth="1"/>
    <col min="14318" max="14318" width="2.6640625" style="437" customWidth="1"/>
    <col min="14319" max="14319" width="20.6640625" style="437" customWidth="1"/>
    <col min="14320" max="14323" width="16.6640625" style="437" customWidth="1"/>
    <col min="14324" max="14324" width="2.6640625" style="437" customWidth="1"/>
    <col min="14325" max="14325" width="20.6640625" style="437" customWidth="1"/>
    <col min="14326" max="14329" width="16.6640625" style="437" customWidth="1"/>
    <col min="14330" max="14330" width="2.6640625" style="437" customWidth="1"/>
    <col min="14331" max="14331" width="20.6640625" style="437" customWidth="1"/>
    <col min="14332" max="14335" width="16.6640625" style="437" customWidth="1"/>
    <col min="14336" max="14336" width="2.6640625" style="437" customWidth="1"/>
    <col min="14337" max="14337" width="20.6640625" style="437" customWidth="1"/>
    <col min="14338" max="14341" width="16.6640625" style="437" customWidth="1"/>
    <col min="14342" max="14342" width="2.6640625" style="437" customWidth="1"/>
    <col min="14343" max="14343" width="20.6640625" style="437" customWidth="1"/>
    <col min="14344" max="14347" width="16.6640625" style="437" customWidth="1"/>
    <col min="14348" max="14348" width="3.77734375" style="437" customWidth="1"/>
    <col min="14349" max="14349" width="20.6640625" style="437" customWidth="1"/>
    <col min="14350" max="14353" width="16.6640625" style="437" customWidth="1"/>
    <col min="14354" max="14354" width="2.6640625" style="437" customWidth="1"/>
    <col min="14355" max="14355" width="20.6640625" style="437" customWidth="1"/>
    <col min="14356" max="14359" width="16.6640625" style="437" customWidth="1"/>
    <col min="14360" max="14360" width="4" style="437" customWidth="1"/>
    <col min="14361" max="14361" width="20.6640625" style="437" customWidth="1"/>
    <col min="14362" max="14365" width="16.6640625" style="437" customWidth="1"/>
    <col min="14366" max="14366" width="2.6640625" style="437" customWidth="1"/>
    <col min="14367" max="14367" width="20.6640625" style="437" customWidth="1"/>
    <col min="14368" max="14371" width="16.6640625" style="437" customWidth="1"/>
    <col min="14372" max="14372" width="2.6640625" style="437" customWidth="1"/>
    <col min="14373" max="14373" width="20.6640625" style="437" customWidth="1"/>
    <col min="14374" max="14377" width="16.6640625" style="437" customWidth="1"/>
    <col min="14378" max="14378" width="2.6640625" style="437" customWidth="1"/>
    <col min="14379" max="14379" width="20.6640625" style="437" customWidth="1"/>
    <col min="14380" max="14383" width="16.6640625" style="437" customWidth="1"/>
    <col min="14384" max="14384" width="2.6640625" style="437" customWidth="1"/>
    <col min="14385" max="14385" width="20.6640625" style="437" customWidth="1"/>
    <col min="14386" max="14389" width="16.6640625" style="437" customWidth="1"/>
    <col min="14390" max="14390" width="2.6640625" style="437" customWidth="1"/>
    <col min="14391" max="14391" width="20.6640625" style="437" customWidth="1"/>
    <col min="14392" max="14395" width="16.6640625" style="437" customWidth="1"/>
    <col min="14396" max="14396" width="2.6640625" style="437" customWidth="1"/>
    <col min="14397" max="14397" width="20.6640625" style="437" customWidth="1"/>
    <col min="14398" max="14401" width="16.6640625" style="437" customWidth="1"/>
    <col min="14402" max="14402" width="2.6640625" style="437" customWidth="1"/>
    <col min="14403" max="14403" width="20.6640625" style="437" customWidth="1"/>
    <col min="14404" max="14407" width="16.6640625" style="437" customWidth="1"/>
    <col min="14408" max="14408" width="2.6640625" style="437" customWidth="1"/>
    <col min="14409" max="14409" width="20.6640625" style="437" customWidth="1"/>
    <col min="14410" max="14413" width="16.6640625" style="437" customWidth="1"/>
    <col min="14414" max="14414" width="2.6640625" style="437" customWidth="1"/>
    <col min="14415" max="14415" width="20.6640625" style="437" customWidth="1"/>
    <col min="14416" max="14419" width="16.6640625" style="437" customWidth="1"/>
    <col min="14420" max="14420" width="2.6640625" style="437" customWidth="1"/>
    <col min="14421" max="14421" width="20.6640625" style="437" customWidth="1"/>
    <col min="14422" max="14425" width="16.6640625" style="437" customWidth="1"/>
    <col min="14426" max="14426" width="2.77734375" style="437" customWidth="1"/>
    <col min="14427" max="14427" width="20.6640625" style="437" customWidth="1"/>
    <col min="14428" max="14431" width="16.6640625" style="437" customWidth="1"/>
    <col min="14432" max="14432" width="2.6640625" style="437" customWidth="1"/>
    <col min="14433" max="14433" width="20.6640625" style="437" customWidth="1"/>
    <col min="14434" max="14437" width="16.6640625" style="437" customWidth="1"/>
    <col min="14438" max="14438" width="2.6640625" style="437" customWidth="1"/>
    <col min="14439" max="14439" width="20.6640625" style="437" customWidth="1"/>
    <col min="14440" max="14443" width="16.6640625" style="437" customWidth="1"/>
    <col min="14444" max="14444" width="2.6640625" style="437" customWidth="1"/>
    <col min="14445" max="14445" width="20.6640625" style="437" customWidth="1"/>
    <col min="14446" max="14449" width="16.6640625" style="437" customWidth="1"/>
    <col min="14450" max="14450" width="2.77734375" style="437" customWidth="1"/>
    <col min="14451" max="14549" width="9" style="437"/>
    <col min="14550" max="14550" width="2.6640625" style="437" customWidth="1"/>
    <col min="14551" max="14551" width="20.6640625" style="437" customWidth="1"/>
    <col min="14552" max="14555" width="16.6640625" style="437" customWidth="1"/>
    <col min="14556" max="14556" width="2.6640625" style="437" customWidth="1"/>
    <col min="14557" max="14557" width="20.6640625" style="437" customWidth="1"/>
    <col min="14558" max="14561" width="16.6640625" style="437" customWidth="1"/>
    <col min="14562" max="14562" width="4" style="437" customWidth="1"/>
    <col min="14563" max="14563" width="20.6640625" style="437" customWidth="1"/>
    <col min="14564" max="14567" width="16.6640625" style="437" customWidth="1"/>
    <col min="14568" max="14568" width="2.6640625" style="437" customWidth="1"/>
    <col min="14569" max="14569" width="20.6640625" style="437" customWidth="1"/>
    <col min="14570" max="14573" width="16.6640625" style="437" customWidth="1"/>
    <col min="14574" max="14574" width="2.6640625" style="437" customWidth="1"/>
    <col min="14575" max="14575" width="20.6640625" style="437" customWidth="1"/>
    <col min="14576" max="14579" width="16.6640625" style="437" customWidth="1"/>
    <col min="14580" max="14580" width="2.6640625" style="437" customWidth="1"/>
    <col min="14581" max="14581" width="20.6640625" style="437" customWidth="1"/>
    <col min="14582" max="14585" width="16.6640625" style="437" customWidth="1"/>
    <col min="14586" max="14586" width="2.6640625" style="437" customWidth="1"/>
    <col min="14587" max="14587" width="20.6640625" style="437" customWidth="1"/>
    <col min="14588" max="14591" width="16.6640625" style="437" customWidth="1"/>
    <col min="14592" max="14592" width="2.6640625" style="437" customWidth="1"/>
    <col min="14593" max="14593" width="20.6640625" style="437" customWidth="1"/>
    <col min="14594" max="14597" width="16.6640625" style="437" customWidth="1"/>
    <col min="14598" max="14598" width="2.6640625" style="437" customWidth="1"/>
    <col min="14599" max="14599" width="20.6640625" style="437" customWidth="1"/>
    <col min="14600" max="14603" width="16.6640625" style="437" customWidth="1"/>
    <col min="14604" max="14604" width="3.77734375" style="437" customWidth="1"/>
    <col min="14605" max="14605" width="20.6640625" style="437" customWidth="1"/>
    <col min="14606" max="14609" width="16.6640625" style="437" customWidth="1"/>
    <col min="14610" max="14610" width="2.6640625" style="437" customWidth="1"/>
    <col min="14611" max="14611" width="20.6640625" style="437" customWidth="1"/>
    <col min="14612" max="14615" width="16.6640625" style="437" customWidth="1"/>
    <col min="14616" max="14616" width="4" style="437" customWidth="1"/>
    <col min="14617" max="14617" width="20.6640625" style="437" customWidth="1"/>
    <col min="14618" max="14621" width="16.6640625" style="437" customWidth="1"/>
    <col min="14622" max="14622" width="2.6640625" style="437" customWidth="1"/>
    <col min="14623" max="14623" width="20.6640625" style="437" customWidth="1"/>
    <col min="14624" max="14627" width="16.6640625" style="437" customWidth="1"/>
    <col min="14628" max="14628" width="2.6640625" style="437" customWidth="1"/>
    <col min="14629" max="14629" width="20.6640625" style="437" customWidth="1"/>
    <col min="14630" max="14633" width="16.6640625" style="437" customWidth="1"/>
    <col min="14634" max="14634" width="2.6640625" style="437" customWidth="1"/>
    <col min="14635" max="14635" width="20.6640625" style="437" customWidth="1"/>
    <col min="14636" max="14639" width="16.6640625" style="437" customWidth="1"/>
    <col min="14640" max="14640" width="2.6640625" style="437" customWidth="1"/>
    <col min="14641" max="14641" width="20.6640625" style="437" customWidth="1"/>
    <col min="14642" max="14645" width="16.6640625" style="437" customWidth="1"/>
    <col min="14646" max="14646" width="2.6640625" style="437" customWidth="1"/>
    <col min="14647" max="14647" width="20.6640625" style="437" customWidth="1"/>
    <col min="14648" max="14651" width="16.6640625" style="437" customWidth="1"/>
    <col min="14652" max="14652" width="2.6640625" style="437" customWidth="1"/>
    <col min="14653" max="14653" width="20.6640625" style="437" customWidth="1"/>
    <col min="14654" max="14657" width="16.6640625" style="437" customWidth="1"/>
    <col min="14658" max="14658" width="2.6640625" style="437" customWidth="1"/>
    <col min="14659" max="14659" width="20.6640625" style="437" customWidth="1"/>
    <col min="14660" max="14663" width="16.6640625" style="437" customWidth="1"/>
    <col min="14664" max="14664" width="2.6640625" style="437" customWidth="1"/>
    <col min="14665" max="14665" width="20.6640625" style="437" customWidth="1"/>
    <col min="14666" max="14669" width="16.6640625" style="437" customWidth="1"/>
    <col min="14670" max="14670" width="2.6640625" style="437" customWidth="1"/>
    <col min="14671" max="14671" width="20.6640625" style="437" customWidth="1"/>
    <col min="14672" max="14675" width="16.6640625" style="437" customWidth="1"/>
    <col min="14676" max="14676" width="2.6640625" style="437" customWidth="1"/>
    <col min="14677" max="14677" width="20.6640625" style="437" customWidth="1"/>
    <col min="14678" max="14681" width="16.6640625" style="437" customWidth="1"/>
    <col min="14682" max="14682" width="2.77734375" style="437" customWidth="1"/>
    <col min="14683" max="14683" width="20.6640625" style="437" customWidth="1"/>
    <col min="14684" max="14687" width="16.6640625" style="437" customWidth="1"/>
    <col min="14688" max="14688" width="2.6640625" style="437" customWidth="1"/>
    <col min="14689" max="14689" width="20.6640625" style="437" customWidth="1"/>
    <col min="14690" max="14693" width="16.6640625" style="437" customWidth="1"/>
    <col min="14694" max="14694" width="2.6640625" style="437" customWidth="1"/>
    <col min="14695" max="14695" width="20.6640625" style="437" customWidth="1"/>
    <col min="14696" max="14699" width="16.6640625" style="437" customWidth="1"/>
    <col min="14700" max="14700" width="2.6640625" style="437" customWidth="1"/>
    <col min="14701" max="14701" width="20.6640625" style="437" customWidth="1"/>
    <col min="14702" max="14705" width="16.6640625" style="437" customWidth="1"/>
    <col min="14706" max="14706" width="2.77734375" style="437" customWidth="1"/>
    <col min="14707" max="14805" width="9" style="437"/>
    <col min="14806" max="14806" width="2.6640625" style="437" customWidth="1"/>
    <col min="14807" max="14807" width="20.6640625" style="437" customWidth="1"/>
    <col min="14808" max="14811" width="16.6640625" style="437" customWidth="1"/>
    <col min="14812" max="14812" width="2.6640625" style="437" customWidth="1"/>
    <col min="14813" max="14813" width="20.6640625" style="437" customWidth="1"/>
    <col min="14814" max="14817" width="16.6640625" style="437" customWidth="1"/>
    <col min="14818" max="14818" width="4" style="437" customWidth="1"/>
    <col min="14819" max="14819" width="20.6640625" style="437" customWidth="1"/>
    <col min="14820" max="14823" width="16.6640625" style="437" customWidth="1"/>
    <col min="14824" max="14824" width="2.6640625" style="437" customWidth="1"/>
    <col min="14825" max="14825" width="20.6640625" style="437" customWidth="1"/>
    <col min="14826" max="14829" width="16.6640625" style="437" customWidth="1"/>
    <col min="14830" max="14830" width="2.6640625" style="437" customWidth="1"/>
    <col min="14831" max="14831" width="20.6640625" style="437" customWidth="1"/>
    <col min="14832" max="14835" width="16.6640625" style="437" customWidth="1"/>
    <col min="14836" max="14836" width="2.6640625" style="437" customWidth="1"/>
    <col min="14837" max="14837" width="20.6640625" style="437" customWidth="1"/>
    <col min="14838" max="14841" width="16.6640625" style="437" customWidth="1"/>
    <col min="14842" max="14842" width="2.6640625" style="437" customWidth="1"/>
    <col min="14843" max="14843" width="20.6640625" style="437" customWidth="1"/>
    <col min="14844" max="14847" width="16.6640625" style="437" customWidth="1"/>
    <col min="14848" max="14848" width="2.6640625" style="437" customWidth="1"/>
    <col min="14849" max="14849" width="20.6640625" style="437" customWidth="1"/>
    <col min="14850" max="14853" width="16.6640625" style="437" customWidth="1"/>
    <col min="14854" max="14854" width="2.6640625" style="437" customWidth="1"/>
    <col min="14855" max="14855" width="20.6640625" style="437" customWidth="1"/>
    <col min="14856" max="14859" width="16.6640625" style="437" customWidth="1"/>
    <col min="14860" max="14860" width="3.77734375" style="437" customWidth="1"/>
    <col min="14861" max="14861" width="20.6640625" style="437" customWidth="1"/>
    <col min="14862" max="14865" width="16.6640625" style="437" customWidth="1"/>
    <col min="14866" max="14866" width="2.6640625" style="437" customWidth="1"/>
    <col min="14867" max="14867" width="20.6640625" style="437" customWidth="1"/>
    <col min="14868" max="14871" width="16.6640625" style="437" customWidth="1"/>
    <col min="14872" max="14872" width="4" style="437" customWidth="1"/>
    <col min="14873" max="14873" width="20.6640625" style="437" customWidth="1"/>
    <col min="14874" max="14877" width="16.6640625" style="437" customWidth="1"/>
    <col min="14878" max="14878" width="2.6640625" style="437" customWidth="1"/>
    <col min="14879" max="14879" width="20.6640625" style="437" customWidth="1"/>
    <col min="14880" max="14883" width="16.6640625" style="437" customWidth="1"/>
    <col min="14884" max="14884" width="2.6640625" style="437" customWidth="1"/>
    <col min="14885" max="14885" width="20.6640625" style="437" customWidth="1"/>
    <col min="14886" max="14889" width="16.6640625" style="437" customWidth="1"/>
    <col min="14890" max="14890" width="2.6640625" style="437" customWidth="1"/>
    <col min="14891" max="14891" width="20.6640625" style="437" customWidth="1"/>
    <col min="14892" max="14895" width="16.6640625" style="437" customWidth="1"/>
    <col min="14896" max="14896" width="2.6640625" style="437" customWidth="1"/>
    <col min="14897" max="14897" width="20.6640625" style="437" customWidth="1"/>
    <col min="14898" max="14901" width="16.6640625" style="437" customWidth="1"/>
    <col min="14902" max="14902" width="2.6640625" style="437" customWidth="1"/>
    <col min="14903" max="14903" width="20.6640625" style="437" customWidth="1"/>
    <col min="14904" max="14907" width="16.6640625" style="437" customWidth="1"/>
    <col min="14908" max="14908" width="2.6640625" style="437" customWidth="1"/>
    <col min="14909" max="14909" width="20.6640625" style="437" customWidth="1"/>
    <col min="14910" max="14913" width="16.6640625" style="437" customWidth="1"/>
    <col min="14914" max="14914" width="2.6640625" style="437" customWidth="1"/>
    <col min="14915" max="14915" width="20.6640625" style="437" customWidth="1"/>
    <col min="14916" max="14919" width="16.6640625" style="437" customWidth="1"/>
    <col min="14920" max="14920" width="2.6640625" style="437" customWidth="1"/>
    <col min="14921" max="14921" width="20.6640625" style="437" customWidth="1"/>
    <col min="14922" max="14925" width="16.6640625" style="437" customWidth="1"/>
    <col min="14926" max="14926" width="2.6640625" style="437" customWidth="1"/>
    <col min="14927" max="14927" width="20.6640625" style="437" customWidth="1"/>
    <col min="14928" max="14931" width="16.6640625" style="437" customWidth="1"/>
    <col min="14932" max="14932" width="2.6640625" style="437" customWidth="1"/>
    <col min="14933" max="14933" width="20.6640625" style="437" customWidth="1"/>
    <col min="14934" max="14937" width="16.6640625" style="437" customWidth="1"/>
    <col min="14938" max="14938" width="2.77734375" style="437" customWidth="1"/>
    <col min="14939" max="14939" width="20.6640625" style="437" customWidth="1"/>
    <col min="14940" max="14943" width="16.6640625" style="437" customWidth="1"/>
    <col min="14944" max="14944" width="2.6640625" style="437" customWidth="1"/>
    <col min="14945" max="14945" width="20.6640625" style="437" customWidth="1"/>
    <col min="14946" max="14949" width="16.6640625" style="437" customWidth="1"/>
    <col min="14950" max="14950" width="2.6640625" style="437" customWidth="1"/>
    <col min="14951" max="14951" width="20.6640625" style="437" customWidth="1"/>
    <col min="14952" max="14955" width="16.6640625" style="437" customWidth="1"/>
    <col min="14956" max="14956" width="2.6640625" style="437" customWidth="1"/>
    <col min="14957" max="14957" width="20.6640625" style="437" customWidth="1"/>
    <col min="14958" max="14961" width="16.6640625" style="437" customWidth="1"/>
    <col min="14962" max="14962" width="2.77734375" style="437" customWidth="1"/>
    <col min="14963" max="15061" width="9" style="437"/>
    <col min="15062" max="15062" width="2.6640625" style="437" customWidth="1"/>
    <col min="15063" max="15063" width="20.6640625" style="437" customWidth="1"/>
    <col min="15064" max="15067" width="16.6640625" style="437" customWidth="1"/>
    <col min="15068" max="15068" width="2.6640625" style="437" customWidth="1"/>
    <col min="15069" max="15069" width="20.6640625" style="437" customWidth="1"/>
    <col min="15070" max="15073" width="16.6640625" style="437" customWidth="1"/>
    <col min="15074" max="15074" width="4" style="437" customWidth="1"/>
    <col min="15075" max="15075" width="20.6640625" style="437" customWidth="1"/>
    <col min="15076" max="15079" width="16.6640625" style="437" customWidth="1"/>
    <col min="15080" max="15080" width="2.6640625" style="437" customWidth="1"/>
    <col min="15081" max="15081" width="20.6640625" style="437" customWidth="1"/>
    <col min="15082" max="15085" width="16.6640625" style="437" customWidth="1"/>
    <col min="15086" max="15086" width="2.6640625" style="437" customWidth="1"/>
    <col min="15087" max="15087" width="20.6640625" style="437" customWidth="1"/>
    <col min="15088" max="15091" width="16.6640625" style="437" customWidth="1"/>
    <col min="15092" max="15092" width="2.6640625" style="437" customWidth="1"/>
    <col min="15093" max="15093" width="20.6640625" style="437" customWidth="1"/>
    <col min="15094" max="15097" width="16.6640625" style="437" customWidth="1"/>
    <col min="15098" max="15098" width="2.6640625" style="437" customWidth="1"/>
    <col min="15099" max="15099" width="20.6640625" style="437" customWidth="1"/>
    <col min="15100" max="15103" width="16.6640625" style="437" customWidth="1"/>
    <col min="15104" max="15104" width="2.6640625" style="437" customWidth="1"/>
    <col min="15105" max="15105" width="20.6640625" style="437" customWidth="1"/>
    <col min="15106" max="15109" width="16.6640625" style="437" customWidth="1"/>
    <col min="15110" max="15110" width="2.6640625" style="437" customWidth="1"/>
    <col min="15111" max="15111" width="20.6640625" style="437" customWidth="1"/>
    <col min="15112" max="15115" width="16.6640625" style="437" customWidth="1"/>
    <col min="15116" max="15116" width="3.77734375" style="437" customWidth="1"/>
    <col min="15117" max="15117" width="20.6640625" style="437" customWidth="1"/>
    <col min="15118" max="15121" width="16.6640625" style="437" customWidth="1"/>
    <col min="15122" max="15122" width="2.6640625" style="437" customWidth="1"/>
    <col min="15123" max="15123" width="20.6640625" style="437" customWidth="1"/>
    <col min="15124" max="15127" width="16.6640625" style="437" customWidth="1"/>
    <col min="15128" max="15128" width="4" style="437" customWidth="1"/>
    <col min="15129" max="15129" width="20.6640625" style="437" customWidth="1"/>
    <col min="15130" max="15133" width="16.6640625" style="437" customWidth="1"/>
    <col min="15134" max="15134" width="2.6640625" style="437" customWidth="1"/>
    <col min="15135" max="15135" width="20.6640625" style="437" customWidth="1"/>
    <col min="15136" max="15139" width="16.6640625" style="437" customWidth="1"/>
    <col min="15140" max="15140" width="2.6640625" style="437" customWidth="1"/>
    <col min="15141" max="15141" width="20.6640625" style="437" customWidth="1"/>
    <col min="15142" max="15145" width="16.6640625" style="437" customWidth="1"/>
    <col min="15146" max="15146" width="2.6640625" style="437" customWidth="1"/>
    <col min="15147" max="15147" width="20.6640625" style="437" customWidth="1"/>
    <col min="15148" max="15151" width="16.6640625" style="437" customWidth="1"/>
    <col min="15152" max="15152" width="2.6640625" style="437" customWidth="1"/>
    <col min="15153" max="15153" width="20.6640625" style="437" customWidth="1"/>
    <col min="15154" max="15157" width="16.6640625" style="437" customWidth="1"/>
    <col min="15158" max="15158" width="2.6640625" style="437" customWidth="1"/>
    <col min="15159" max="15159" width="20.6640625" style="437" customWidth="1"/>
    <col min="15160" max="15163" width="16.6640625" style="437" customWidth="1"/>
    <col min="15164" max="15164" width="2.6640625" style="437" customWidth="1"/>
    <col min="15165" max="15165" width="20.6640625" style="437" customWidth="1"/>
    <col min="15166" max="15169" width="16.6640625" style="437" customWidth="1"/>
    <col min="15170" max="15170" width="2.6640625" style="437" customWidth="1"/>
    <col min="15171" max="15171" width="20.6640625" style="437" customWidth="1"/>
    <col min="15172" max="15175" width="16.6640625" style="437" customWidth="1"/>
    <col min="15176" max="15176" width="2.6640625" style="437" customWidth="1"/>
    <col min="15177" max="15177" width="20.6640625" style="437" customWidth="1"/>
    <col min="15178" max="15181" width="16.6640625" style="437" customWidth="1"/>
    <col min="15182" max="15182" width="2.6640625" style="437" customWidth="1"/>
    <col min="15183" max="15183" width="20.6640625" style="437" customWidth="1"/>
    <col min="15184" max="15187" width="16.6640625" style="437" customWidth="1"/>
    <col min="15188" max="15188" width="2.6640625" style="437" customWidth="1"/>
    <col min="15189" max="15189" width="20.6640625" style="437" customWidth="1"/>
    <col min="15190" max="15193" width="16.6640625" style="437" customWidth="1"/>
    <col min="15194" max="15194" width="2.77734375" style="437" customWidth="1"/>
    <col min="15195" max="15195" width="20.6640625" style="437" customWidth="1"/>
    <col min="15196" max="15199" width="16.6640625" style="437" customWidth="1"/>
    <col min="15200" max="15200" width="2.6640625" style="437" customWidth="1"/>
    <col min="15201" max="15201" width="20.6640625" style="437" customWidth="1"/>
    <col min="15202" max="15205" width="16.6640625" style="437" customWidth="1"/>
    <col min="15206" max="15206" width="2.6640625" style="437" customWidth="1"/>
    <col min="15207" max="15207" width="20.6640625" style="437" customWidth="1"/>
    <col min="15208" max="15211" width="16.6640625" style="437" customWidth="1"/>
    <col min="15212" max="15212" width="2.6640625" style="437" customWidth="1"/>
    <col min="15213" max="15213" width="20.6640625" style="437" customWidth="1"/>
    <col min="15214" max="15217" width="16.6640625" style="437" customWidth="1"/>
    <col min="15218" max="15218" width="2.77734375" style="437" customWidth="1"/>
    <col min="15219" max="15317" width="9" style="437"/>
    <col min="15318" max="15318" width="2.6640625" style="437" customWidth="1"/>
    <col min="15319" max="15319" width="20.6640625" style="437" customWidth="1"/>
    <col min="15320" max="15323" width="16.6640625" style="437" customWidth="1"/>
    <col min="15324" max="15324" width="2.6640625" style="437" customWidth="1"/>
    <col min="15325" max="15325" width="20.6640625" style="437" customWidth="1"/>
    <col min="15326" max="15329" width="16.6640625" style="437" customWidth="1"/>
    <col min="15330" max="15330" width="4" style="437" customWidth="1"/>
    <col min="15331" max="15331" width="20.6640625" style="437" customWidth="1"/>
    <col min="15332" max="15335" width="16.6640625" style="437" customWidth="1"/>
    <col min="15336" max="15336" width="2.6640625" style="437" customWidth="1"/>
    <col min="15337" max="15337" width="20.6640625" style="437" customWidth="1"/>
    <col min="15338" max="15341" width="16.6640625" style="437" customWidth="1"/>
    <col min="15342" max="15342" width="2.6640625" style="437" customWidth="1"/>
    <col min="15343" max="15343" width="20.6640625" style="437" customWidth="1"/>
    <col min="15344" max="15347" width="16.6640625" style="437" customWidth="1"/>
    <col min="15348" max="15348" width="2.6640625" style="437" customWidth="1"/>
    <col min="15349" max="15349" width="20.6640625" style="437" customWidth="1"/>
    <col min="15350" max="15353" width="16.6640625" style="437" customWidth="1"/>
    <col min="15354" max="15354" width="2.6640625" style="437" customWidth="1"/>
    <col min="15355" max="15355" width="20.6640625" style="437" customWidth="1"/>
    <col min="15356" max="15359" width="16.6640625" style="437" customWidth="1"/>
    <col min="15360" max="15360" width="2.6640625" style="437" customWidth="1"/>
    <col min="15361" max="15361" width="20.6640625" style="437" customWidth="1"/>
    <col min="15362" max="15365" width="16.6640625" style="437" customWidth="1"/>
    <col min="15366" max="15366" width="2.6640625" style="437" customWidth="1"/>
    <col min="15367" max="15367" width="20.6640625" style="437" customWidth="1"/>
    <col min="15368" max="15371" width="16.6640625" style="437" customWidth="1"/>
    <col min="15372" max="15372" width="3.77734375" style="437" customWidth="1"/>
    <col min="15373" max="15373" width="20.6640625" style="437" customWidth="1"/>
    <col min="15374" max="15377" width="16.6640625" style="437" customWidth="1"/>
    <col min="15378" max="15378" width="2.6640625" style="437" customWidth="1"/>
    <col min="15379" max="15379" width="20.6640625" style="437" customWidth="1"/>
    <col min="15380" max="15383" width="16.6640625" style="437" customWidth="1"/>
    <col min="15384" max="15384" width="4" style="437" customWidth="1"/>
    <col min="15385" max="15385" width="20.6640625" style="437" customWidth="1"/>
    <col min="15386" max="15389" width="16.6640625" style="437" customWidth="1"/>
    <col min="15390" max="15390" width="2.6640625" style="437" customWidth="1"/>
    <col min="15391" max="15391" width="20.6640625" style="437" customWidth="1"/>
    <col min="15392" max="15395" width="16.6640625" style="437" customWidth="1"/>
    <col min="15396" max="15396" width="2.6640625" style="437" customWidth="1"/>
    <col min="15397" max="15397" width="20.6640625" style="437" customWidth="1"/>
    <col min="15398" max="15401" width="16.6640625" style="437" customWidth="1"/>
    <col min="15402" max="15402" width="2.6640625" style="437" customWidth="1"/>
    <col min="15403" max="15403" width="20.6640625" style="437" customWidth="1"/>
    <col min="15404" max="15407" width="16.6640625" style="437" customWidth="1"/>
    <col min="15408" max="15408" width="2.6640625" style="437" customWidth="1"/>
    <col min="15409" max="15409" width="20.6640625" style="437" customWidth="1"/>
    <col min="15410" max="15413" width="16.6640625" style="437" customWidth="1"/>
    <col min="15414" max="15414" width="2.6640625" style="437" customWidth="1"/>
    <col min="15415" max="15415" width="20.6640625" style="437" customWidth="1"/>
    <col min="15416" max="15419" width="16.6640625" style="437" customWidth="1"/>
    <col min="15420" max="15420" width="2.6640625" style="437" customWidth="1"/>
    <col min="15421" max="15421" width="20.6640625" style="437" customWidth="1"/>
    <col min="15422" max="15425" width="16.6640625" style="437" customWidth="1"/>
    <col min="15426" max="15426" width="2.6640625" style="437" customWidth="1"/>
    <col min="15427" max="15427" width="20.6640625" style="437" customWidth="1"/>
    <col min="15428" max="15431" width="16.6640625" style="437" customWidth="1"/>
    <col min="15432" max="15432" width="2.6640625" style="437" customWidth="1"/>
    <col min="15433" max="15433" width="20.6640625" style="437" customWidth="1"/>
    <col min="15434" max="15437" width="16.6640625" style="437" customWidth="1"/>
    <col min="15438" max="15438" width="2.6640625" style="437" customWidth="1"/>
    <col min="15439" max="15439" width="20.6640625" style="437" customWidth="1"/>
    <col min="15440" max="15443" width="16.6640625" style="437" customWidth="1"/>
    <col min="15444" max="15444" width="2.6640625" style="437" customWidth="1"/>
    <col min="15445" max="15445" width="20.6640625" style="437" customWidth="1"/>
    <col min="15446" max="15449" width="16.6640625" style="437" customWidth="1"/>
    <col min="15450" max="15450" width="2.77734375" style="437" customWidth="1"/>
    <col min="15451" max="15451" width="20.6640625" style="437" customWidth="1"/>
    <col min="15452" max="15455" width="16.6640625" style="437" customWidth="1"/>
    <col min="15456" max="15456" width="2.6640625" style="437" customWidth="1"/>
    <col min="15457" max="15457" width="20.6640625" style="437" customWidth="1"/>
    <col min="15458" max="15461" width="16.6640625" style="437" customWidth="1"/>
    <col min="15462" max="15462" width="2.6640625" style="437" customWidth="1"/>
    <col min="15463" max="15463" width="20.6640625" style="437" customWidth="1"/>
    <col min="15464" max="15467" width="16.6640625" style="437" customWidth="1"/>
    <col min="15468" max="15468" width="2.6640625" style="437" customWidth="1"/>
    <col min="15469" max="15469" width="20.6640625" style="437" customWidth="1"/>
    <col min="15470" max="15473" width="16.6640625" style="437" customWidth="1"/>
    <col min="15474" max="15474" width="2.77734375" style="437" customWidth="1"/>
    <col min="15475" max="15573" width="9" style="437"/>
    <col min="15574" max="15574" width="2.6640625" style="437" customWidth="1"/>
    <col min="15575" max="15575" width="20.6640625" style="437" customWidth="1"/>
    <col min="15576" max="15579" width="16.6640625" style="437" customWidth="1"/>
    <col min="15580" max="15580" width="2.6640625" style="437" customWidth="1"/>
    <col min="15581" max="15581" width="20.6640625" style="437" customWidth="1"/>
    <col min="15582" max="15585" width="16.6640625" style="437" customWidth="1"/>
    <col min="15586" max="15586" width="4" style="437" customWidth="1"/>
    <col min="15587" max="15587" width="20.6640625" style="437" customWidth="1"/>
    <col min="15588" max="15591" width="16.6640625" style="437" customWidth="1"/>
    <col min="15592" max="15592" width="2.6640625" style="437" customWidth="1"/>
    <col min="15593" max="15593" width="20.6640625" style="437" customWidth="1"/>
    <col min="15594" max="15597" width="16.6640625" style="437" customWidth="1"/>
    <col min="15598" max="15598" width="2.6640625" style="437" customWidth="1"/>
    <col min="15599" max="15599" width="20.6640625" style="437" customWidth="1"/>
    <col min="15600" max="15603" width="16.6640625" style="437" customWidth="1"/>
    <col min="15604" max="15604" width="2.6640625" style="437" customWidth="1"/>
    <col min="15605" max="15605" width="20.6640625" style="437" customWidth="1"/>
    <col min="15606" max="15609" width="16.6640625" style="437" customWidth="1"/>
    <col min="15610" max="15610" width="2.6640625" style="437" customWidth="1"/>
    <col min="15611" max="15611" width="20.6640625" style="437" customWidth="1"/>
    <col min="15612" max="15615" width="16.6640625" style="437" customWidth="1"/>
    <col min="15616" max="15616" width="2.6640625" style="437" customWidth="1"/>
    <col min="15617" max="15617" width="20.6640625" style="437" customWidth="1"/>
    <col min="15618" max="15621" width="16.6640625" style="437" customWidth="1"/>
    <col min="15622" max="15622" width="2.6640625" style="437" customWidth="1"/>
    <col min="15623" max="15623" width="20.6640625" style="437" customWidth="1"/>
    <col min="15624" max="15627" width="16.6640625" style="437" customWidth="1"/>
    <col min="15628" max="15628" width="3.77734375" style="437" customWidth="1"/>
    <col min="15629" max="15629" width="20.6640625" style="437" customWidth="1"/>
    <col min="15630" max="15633" width="16.6640625" style="437" customWidth="1"/>
    <col min="15634" max="15634" width="2.6640625" style="437" customWidth="1"/>
    <col min="15635" max="15635" width="20.6640625" style="437" customWidth="1"/>
    <col min="15636" max="15639" width="16.6640625" style="437" customWidth="1"/>
    <col min="15640" max="15640" width="4" style="437" customWidth="1"/>
    <col min="15641" max="15641" width="20.6640625" style="437" customWidth="1"/>
    <col min="15642" max="15645" width="16.6640625" style="437" customWidth="1"/>
    <col min="15646" max="15646" width="2.6640625" style="437" customWidth="1"/>
    <col min="15647" max="15647" width="20.6640625" style="437" customWidth="1"/>
    <col min="15648" max="15651" width="16.6640625" style="437" customWidth="1"/>
    <col min="15652" max="15652" width="2.6640625" style="437" customWidth="1"/>
    <col min="15653" max="15653" width="20.6640625" style="437" customWidth="1"/>
    <col min="15654" max="15657" width="16.6640625" style="437" customWidth="1"/>
    <col min="15658" max="15658" width="2.6640625" style="437" customWidth="1"/>
    <col min="15659" max="15659" width="20.6640625" style="437" customWidth="1"/>
    <col min="15660" max="15663" width="16.6640625" style="437" customWidth="1"/>
    <col min="15664" max="15664" width="2.6640625" style="437" customWidth="1"/>
    <col min="15665" max="15665" width="20.6640625" style="437" customWidth="1"/>
    <col min="15666" max="15669" width="16.6640625" style="437" customWidth="1"/>
    <col min="15670" max="15670" width="2.6640625" style="437" customWidth="1"/>
    <col min="15671" max="15671" width="20.6640625" style="437" customWidth="1"/>
    <col min="15672" max="15675" width="16.6640625" style="437" customWidth="1"/>
    <col min="15676" max="15676" width="2.6640625" style="437" customWidth="1"/>
    <col min="15677" max="15677" width="20.6640625" style="437" customWidth="1"/>
    <col min="15678" max="15681" width="16.6640625" style="437" customWidth="1"/>
    <col min="15682" max="15682" width="2.6640625" style="437" customWidth="1"/>
    <col min="15683" max="15683" width="20.6640625" style="437" customWidth="1"/>
    <col min="15684" max="15687" width="16.6640625" style="437" customWidth="1"/>
    <col min="15688" max="15688" width="2.6640625" style="437" customWidth="1"/>
    <col min="15689" max="15689" width="20.6640625" style="437" customWidth="1"/>
    <col min="15690" max="15693" width="16.6640625" style="437" customWidth="1"/>
    <col min="15694" max="15694" width="2.6640625" style="437" customWidth="1"/>
    <col min="15695" max="15695" width="20.6640625" style="437" customWidth="1"/>
    <col min="15696" max="15699" width="16.6640625" style="437" customWidth="1"/>
    <col min="15700" max="15700" width="2.6640625" style="437" customWidth="1"/>
    <col min="15701" max="15701" width="20.6640625" style="437" customWidth="1"/>
    <col min="15702" max="15705" width="16.6640625" style="437" customWidth="1"/>
    <col min="15706" max="15706" width="2.77734375" style="437" customWidth="1"/>
    <col min="15707" max="15707" width="20.6640625" style="437" customWidth="1"/>
    <col min="15708" max="15711" width="16.6640625" style="437" customWidth="1"/>
    <col min="15712" max="15712" width="2.6640625" style="437" customWidth="1"/>
    <col min="15713" max="15713" width="20.6640625" style="437" customWidth="1"/>
    <col min="15714" max="15717" width="16.6640625" style="437" customWidth="1"/>
    <col min="15718" max="15718" width="2.6640625" style="437" customWidth="1"/>
    <col min="15719" max="15719" width="20.6640625" style="437" customWidth="1"/>
    <col min="15720" max="15723" width="16.6640625" style="437" customWidth="1"/>
    <col min="15724" max="15724" width="2.6640625" style="437" customWidth="1"/>
    <col min="15725" max="15725" width="20.6640625" style="437" customWidth="1"/>
    <col min="15726" max="15729" width="16.6640625" style="437" customWidth="1"/>
    <col min="15730" max="15730" width="2.77734375" style="437" customWidth="1"/>
    <col min="15731" max="15829" width="9" style="437"/>
    <col min="15830" max="15830" width="2.6640625" style="437" customWidth="1"/>
    <col min="15831" max="15831" width="20.6640625" style="437" customWidth="1"/>
    <col min="15832" max="15835" width="16.6640625" style="437" customWidth="1"/>
    <col min="15836" max="15836" width="2.6640625" style="437" customWidth="1"/>
    <col min="15837" max="15837" width="20.6640625" style="437" customWidth="1"/>
    <col min="15838" max="15841" width="16.6640625" style="437" customWidth="1"/>
    <col min="15842" max="15842" width="4" style="437" customWidth="1"/>
    <col min="15843" max="15843" width="20.6640625" style="437" customWidth="1"/>
    <col min="15844" max="15847" width="16.6640625" style="437" customWidth="1"/>
    <col min="15848" max="15848" width="2.6640625" style="437" customWidth="1"/>
    <col min="15849" max="15849" width="20.6640625" style="437" customWidth="1"/>
    <col min="15850" max="15853" width="16.6640625" style="437" customWidth="1"/>
    <col min="15854" max="15854" width="2.6640625" style="437" customWidth="1"/>
    <col min="15855" max="15855" width="20.6640625" style="437" customWidth="1"/>
    <col min="15856" max="15859" width="16.6640625" style="437" customWidth="1"/>
    <col min="15860" max="15860" width="2.6640625" style="437" customWidth="1"/>
    <col min="15861" max="15861" width="20.6640625" style="437" customWidth="1"/>
    <col min="15862" max="15865" width="16.6640625" style="437" customWidth="1"/>
    <col min="15866" max="15866" width="2.6640625" style="437" customWidth="1"/>
    <col min="15867" max="15867" width="20.6640625" style="437" customWidth="1"/>
    <col min="15868" max="15871" width="16.6640625" style="437" customWidth="1"/>
    <col min="15872" max="15872" width="2.6640625" style="437" customWidth="1"/>
    <col min="15873" max="15873" width="20.6640625" style="437" customWidth="1"/>
    <col min="15874" max="15877" width="16.6640625" style="437" customWidth="1"/>
    <col min="15878" max="15878" width="2.6640625" style="437" customWidth="1"/>
    <col min="15879" max="15879" width="20.6640625" style="437" customWidth="1"/>
    <col min="15880" max="15883" width="16.6640625" style="437" customWidth="1"/>
    <col min="15884" max="15884" width="3.77734375" style="437" customWidth="1"/>
    <col min="15885" max="15885" width="20.6640625" style="437" customWidth="1"/>
    <col min="15886" max="15889" width="16.6640625" style="437" customWidth="1"/>
    <col min="15890" max="15890" width="2.6640625" style="437" customWidth="1"/>
    <col min="15891" max="15891" width="20.6640625" style="437" customWidth="1"/>
    <col min="15892" max="15895" width="16.6640625" style="437" customWidth="1"/>
    <col min="15896" max="15896" width="4" style="437" customWidth="1"/>
    <col min="15897" max="15897" width="20.6640625" style="437" customWidth="1"/>
    <col min="15898" max="15901" width="16.6640625" style="437" customWidth="1"/>
    <col min="15902" max="15902" width="2.6640625" style="437" customWidth="1"/>
    <col min="15903" max="15903" width="20.6640625" style="437" customWidth="1"/>
    <col min="15904" max="15907" width="16.6640625" style="437" customWidth="1"/>
    <col min="15908" max="15908" width="2.6640625" style="437" customWidth="1"/>
    <col min="15909" max="15909" width="20.6640625" style="437" customWidth="1"/>
    <col min="15910" max="15913" width="16.6640625" style="437" customWidth="1"/>
    <col min="15914" max="15914" width="2.6640625" style="437" customWidth="1"/>
    <col min="15915" max="15915" width="20.6640625" style="437" customWidth="1"/>
    <col min="15916" max="15919" width="16.6640625" style="437" customWidth="1"/>
    <col min="15920" max="15920" width="2.6640625" style="437" customWidth="1"/>
    <col min="15921" max="15921" width="20.6640625" style="437" customWidth="1"/>
    <col min="15922" max="15925" width="16.6640625" style="437" customWidth="1"/>
    <col min="15926" max="15926" width="2.6640625" style="437" customWidth="1"/>
    <col min="15927" max="15927" width="20.6640625" style="437" customWidth="1"/>
    <col min="15928" max="15931" width="16.6640625" style="437" customWidth="1"/>
    <col min="15932" max="15932" width="2.6640625" style="437" customWidth="1"/>
    <col min="15933" max="15933" width="20.6640625" style="437" customWidth="1"/>
    <col min="15934" max="15937" width="16.6640625" style="437" customWidth="1"/>
    <col min="15938" max="15938" width="2.6640625" style="437" customWidth="1"/>
    <col min="15939" max="15939" width="20.6640625" style="437" customWidth="1"/>
    <col min="15940" max="15943" width="16.6640625" style="437" customWidth="1"/>
    <col min="15944" max="15944" width="2.6640625" style="437" customWidth="1"/>
    <col min="15945" max="15945" width="20.6640625" style="437" customWidth="1"/>
    <col min="15946" max="15949" width="16.6640625" style="437" customWidth="1"/>
    <col min="15950" max="15950" width="2.6640625" style="437" customWidth="1"/>
    <col min="15951" max="15951" width="20.6640625" style="437" customWidth="1"/>
    <col min="15952" max="15955" width="16.6640625" style="437" customWidth="1"/>
    <col min="15956" max="15956" width="2.6640625" style="437" customWidth="1"/>
    <col min="15957" max="15957" width="20.6640625" style="437" customWidth="1"/>
    <col min="15958" max="15961" width="16.6640625" style="437" customWidth="1"/>
    <col min="15962" max="15962" width="2.77734375" style="437" customWidth="1"/>
    <col min="15963" max="15963" width="20.6640625" style="437" customWidth="1"/>
    <col min="15964" max="15967" width="16.6640625" style="437" customWidth="1"/>
    <col min="15968" max="15968" width="2.6640625" style="437" customWidth="1"/>
    <col min="15969" max="15969" width="20.6640625" style="437" customWidth="1"/>
    <col min="15970" max="15973" width="16.6640625" style="437" customWidth="1"/>
    <col min="15974" max="15974" width="2.6640625" style="437" customWidth="1"/>
    <col min="15975" max="15975" width="20.6640625" style="437" customWidth="1"/>
    <col min="15976" max="15979" width="16.6640625" style="437" customWidth="1"/>
    <col min="15980" max="15980" width="2.6640625" style="437" customWidth="1"/>
    <col min="15981" max="15981" width="20.6640625" style="437" customWidth="1"/>
    <col min="15982" max="15985" width="16.6640625" style="437" customWidth="1"/>
    <col min="15986" max="15986" width="2.77734375" style="437" customWidth="1"/>
    <col min="15987" max="16085" width="9" style="437"/>
    <col min="16086" max="16086" width="2.6640625" style="437" customWidth="1"/>
    <col min="16087" max="16087" width="20.6640625" style="437" customWidth="1"/>
    <col min="16088" max="16091" width="16.6640625" style="437" customWidth="1"/>
    <col min="16092" max="16092" width="2.6640625" style="437" customWidth="1"/>
    <col min="16093" max="16093" width="20.6640625" style="437" customWidth="1"/>
    <col min="16094" max="16097" width="16.6640625" style="437" customWidth="1"/>
    <col min="16098" max="16098" width="4" style="437" customWidth="1"/>
    <col min="16099" max="16099" width="20.6640625" style="437" customWidth="1"/>
    <col min="16100" max="16103" width="16.6640625" style="437" customWidth="1"/>
    <col min="16104" max="16104" width="2.6640625" style="437" customWidth="1"/>
    <col min="16105" max="16105" width="20.6640625" style="437" customWidth="1"/>
    <col min="16106" max="16109" width="16.6640625" style="437" customWidth="1"/>
    <col min="16110" max="16110" width="2.6640625" style="437" customWidth="1"/>
    <col min="16111" max="16111" width="20.6640625" style="437" customWidth="1"/>
    <col min="16112" max="16115" width="16.6640625" style="437" customWidth="1"/>
    <col min="16116" max="16116" width="2.6640625" style="437" customWidth="1"/>
    <col min="16117" max="16117" width="20.6640625" style="437" customWidth="1"/>
    <col min="16118" max="16121" width="16.6640625" style="437" customWidth="1"/>
    <col min="16122" max="16122" width="2.6640625" style="437" customWidth="1"/>
    <col min="16123" max="16123" width="20.6640625" style="437" customWidth="1"/>
    <col min="16124" max="16127" width="16.6640625" style="437" customWidth="1"/>
    <col min="16128" max="16128" width="2.6640625" style="437" customWidth="1"/>
    <col min="16129" max="16129" width="20.6640625" style="437" customWidth="1"/>
    <col min="16130" max="16133" width="16.6640625" style="437" customWidth="1"/>
    <col min="16134" max="16134" width="2.6640625" style="437" customWidth="1"/>
    <col min="16135" max="16135" width="20.6640625" style="437" customWidth="1"/>
    <col min="16136" max="16139" width="16.6640625" style="437" customWidth="1"/>
    <col min="16140" max="16140" width="3.77734375" style="437" customWidth="1"/>
    <col min="16141" max="16141" width="20.6640625" style="437" customWidth="1"/>
    <col min="16142" max="16145" width="16.6640625" style="437" customWidth="1"/>
    <col min="16146" max="16146" width="2.6640625" style="437" customWidth="1"/>
    <col min="16147" max="16147" width="20.6640625" style="437" customWidth="1"/>
    <col min="16148" max="16151" width="16.6640625" style="437" customWidth="1"/>
    <col min="16152" max="16152" width="4" style="437" customWidth="1"/>
    <col min="16153" max="16153" width="20.6640625" style="437" customWidth="1"/>
    <col min="16154" max="16157" width="16.6640625" style="437" customWidth="1"/>
    <col min="16158" max="16158" width="2.6640625" style="437" customWidth="1"/>
    <col min="16159" max="16159" width="20.6640625" style="437" customWidth="1"/>
    <col min="16160" max="16163" width="16.6640625" style="437" customWidth="1"/>
    <col min="16164" max="16164" width="2.6640625" style="437" customWidth="1"/>
    <col min="16165" max="16165" width="20.6640625" style="437" customWidth="1"/>
    <col min="16166" max="16169" width="16.6640625" style="437" customWidth="1"/>
    <col min="16170" max="16170" width="2.6640625" style="437" customWidth="1"/>
    <col min="16171" max="16171" width="20.6640625" style="437" customWidth="1"/>
    <col min="16172" max="16175" width="16.6640625" style="437" customWidth="1"/>
    <col min="16176" max="16176" width="2.6640625" style="437" customWidth="1"/>
    <col min="16177" max="16177" width="20.6640625" style="437" customWidth="1"/>
    <col min="16178" max="16181" width="16.6640625" style="437" customWidth="1"/>
    <col min="16182" max="16182" width="2.6640625" style="437" customWidth="1"/>
    <col min="16183" max="16183" width="20.6640625" style="437" customWidth="1"/>
    <col min="16184" max="16187" width="16.6640625" style="437" customWidth="1"/>
    <col min="16188" max="16188" width="2.6640625" style="437" customWidth="1"/>
    <col min="16189" max="16189" width="20.6640625" style="437" customWidth="1"/>
    <col min="16190" max="16193" width="16.6640625" style="437" customWidth="1"/>
    <col min="16194" max="16194" width="2.6640625" style="437" customWidth="1"/>
    <col min="16195" max="16195" width="20.6640625" style="437" customWidth="1"/>
    <col min="16196" max="16199" width="16.6640625" style="437" customWidth="1"/>
    <col min="16200" max="16200" width="2.6640625" style="437" customWidth="1"/>
    <col min="16201" max="16201" width="20.6640625" style="437" customWidth="1"/>
    <col min="16202" max="16205" width="16.6640625" style="437" customWidth="1"/>
    <col min="16206" max="16206" width="2.6640625" style="437" customWidth="1"/>
    <col min="16207" max="16207" width="20.6640625" style="437" customWidth="1"/>
    <col min="16208" max="16211" width="16.6640625" style="437" customWidth="1"/>
    <col min="16212" max="16212" width="2.6640625" style="437" customWidth="1"/>
    <col min="16213" max="16213" width="20.6640625" style="437" customWidth="1"/>
    <col min="16214" max="16217" width="16.6640625" style="437" customWidth="1"/>
    <col min="16218" max="16218" width="2.77734375" style="437" customWidth="1"/>
    <col min="16219" max="16219" width="20.6640625" style="437" customWidth="1"/>
    <col min="16220" max="16223" width="16.6640625" style="437" customWidth="1"/>
    <col min="16224" max="16224" width="2.6640625" style="437" customWidth="1"/>
    <col min="16225" max="16225" width="20.6640625" style="437" customWidth="1"/>
    <col min="16226" max="16229" width="16.6640625" style="437" customWidth="1"/>
    <col min="16230" max="16230" width="2.6640625" style="437" customWidth="1"/>
    <col min="16231" max="16231" width="20.6640625" style="437" customWidth="1"/>
    <col min="16232" max="16235" width="16.6640625" style="437" customWidth="1"/>
    <col min="16236" max="16236" width="2.6640625" style="437" customWidth="1"/>
    <col min="16237" max="16237" width="20.6640625" style="437" customWidth="1"/>
    <col min="16238" max="16241" width="16.6640625" style="437" customWidth="1"/>
    <col min="16242" max="16242" width="2.77734375" style="437" customWidth="1"/>
    <col min="16243" max="16384" width="9" style="437"/>
  </cols>
  <sheetData>
    <row r="1" spans="2:138" s="431" customFormat="1" ht="41.25" customHeight="1" thickBot="1" x14ac:dyDescent="0.35">
      <c r="B1" s="1486" t="s">
        <v>307</v>
      </c>
      <c r="C1" s="1486"/>
      <c r="D1" s="432">
        <v>114</v>
      </c>
      <c r="E1" s="1485" t="s">
        <v>308</v>
      </c>
      <c r="F1" s="1485"/>
      <c r="H1" s="1486" t="s">
        <v>307</v>
      </c>
      <c r="I1" s="1486"/>
      <c r="J1" s="432">
        <v>114</v>
      </c>
      <c r="K1" s="1485" t="s">
        <v>308</v>
      </c>
      <c r="L1" s="1485"/>
      <c r="N1" s="1486" t="s">
        <v>307</v>
      </c>
      <c r="O1" s="1486"/>
      <c r="P1" s="432">
        <v>114</v>
      </c>
      <c r="Q1" s="1485" t="s">
        <v>308</v>
      </c>
      <c r="R1" s="1485"/>
      <c r="T1" s="1486" t="s">
        <v>307</v>
      </c>
      <c r="U1" s="1486"/>
      <c r="V1" s="432">
        <v>114</v>
      </c>
      <c r="W1" s="1485" t="s">
        <v>308</v>
      </c>
      <c r="X1" s="1485"/>
      <c r="Z1" s="1486" t="s">
        <v>307</v>
      </c>
      <c r="AA1" s="1486"/>
      <c r="AB1" s="432">
        <v>114</v>
      </c>
      <c r="AC1" s="1485" t="s">
        <v>308</v>
      </c>
      <c r="AD1" s="1485"/>
      <c r="AF1" s="1486" t="s">
        <v>307</v>
      </c>
      <c r="AG1" s="1486"/>
      <c r="AH1" s="432">
        <v>114</v>
      </c>
      <c r="AI1" s="1485" t="s">
        <v>308</v>
      </c>
      <c r="AJ1" s="1485"/>
      <c r="AL1" s="1486" t="s">
        <v>307</v>
      </c>
      <c r="AM1" s="1486"/>
      <c r="AN1" s="432">
        <v>114</v>
      </c>
      <c r="AO1" s="791" t="s">
        <v>308</v>
      </c>
      <c r="AP1" s="791"/>
      <c r="AR1" s="791" t="s">
        <v>307</v>
      </c>
      <c r="AS1" s="905"/>
      <c r="AT1" s="432">
        <v>114</v>
      </c>
      <c r="AU1" s="791" t="s">
        <v>308</v>
      </c>
      <c r="AV1" s="791"/>
      <c r="AX1" s="791" t="s">
        <v>307</v>
      </c>
      <c r="AY1" s="905"/>
      <c r="AZ1" s="432">
        <v>114</v>
      </c>
      <c r="BA1" s="791" t="s">
        <v>308</v>
      </c>
      <c r="BB1" s="791"/>
      <c r="BD1" s="791" t="s">
        <v>307</v>
      </c>
      <c r="BE1" s="905"/>
      <c r="BF1" s="432">
        <v>114</v>
      </c>
      <c r="BG1" s="791" t="s">
        <v>308</v>
      </c>
      <c r="BH1" s="791"/>
      <c r="BJ1" s="791" t="s">
        <v>307</v>
      </c>
      <c r="BK1" s="905"/>
      <c r="BL1" s="432">
        <v>114</v>
      </c>
      <c r="BM1" s="791" t="s">
        <v>308</v>
      </c>
      <c r="BN1" s="791"/>
      <c r="BP1" s="791" t="s">
        <v>307</v>
      </c>
      <c r="BQ1" s="905"/>
      <c r="BR1" s="432">
        <v>114</v>
      </c>
      <c r="BS1" s="791" t="s">
        <v>308</v>
      </c>
      <c r="BT1" s="791"/>
      <c r="BV1" s="791" t="s">
        <v>307</v>
      </c>
      <c r="BW1" s="905"/>
      <c r="BX1" s="432">
        <v>114</v>
      </c>
      <c r="BY1" s="791" t="s">
        <v>308</v>
      </c>
      <c r="BZ1" s="791"/>
      <c r="CB1" s="1486" t="s">
        <v>307</v>
      </c>
      <c r="CC1" s="1486"/>
      <c r="CD1" s="432">
        <v>114</v>
      </c>
      <c r="CE1" s="791" t="s">
        <v>308</v>
      </c>
      <c r="CF1" s="791"/>
      <c r="CH1" s="433"/>
      <c r="CI1" s="1486" t="s">
        <v>307</v>
      </c>
      <c r="CJ1" s="1486"/>
      <c r="CK1" s="432">
        <v>114</v>
      </c>
      <c r="CL1" s="1485" t="s">
        <v>308</v>
      </c>
      <c r="CM1" s="1485"/>
      <c r="CO1" s="1486" t="s">
        <v>307</v>
      </c>
      <c r="CP1" s="1486"/>
      <c r="CQ1" s="432">
        <v>114</v>
      </c>
      <c r="CR1" s="1485" t="s">
        <v>308</v>
      </c>
      <c r="CS1" s="1485"/>
      <c r="CU1" s="1486" t="s">
        <v>307</v>
      </c>
      <c r="CV1" s="1486"/>
      <c r="CW1" s="432">
        <v>114</v>
      </c>
      <c r="CX1" s="1485" t="s">
        <v>308</v>
      </c>
      <c r="CY1" s="1485"/>
      <c r="DA1" s="1486" t="s">
        <v>307</v>
      </c>
      <c r="DB1" s="1486"/>
      <c r="DC1" s="432">
        <v>114</v>
      </c>
      <c r="DD1" s="1485" t="s">
        <v>308</v>
      </c>
      <c r="DE1" s="1485"/>
      <c r="DH1" s="1486" t="s">
        <v>307</v>
      </c>
      <c r="DI1" s="1486"/>
      <c r="DJ1" s="432">
        <v>114</v>
      </c>
      <c r="DK1" s="791" t="s">
        <v>308</v>
      </c>
      <c r="DL1" s="791"/>
      <c r="DR1" s="1486" t="s">
        <v>307</v>
      </c>
      <c r="DS1" s="1486"/>
      <c r="DT1" s="432">
        <v>114</v>
      </c>
      <c r="DU1" s="1485" t="s">
        <v>308</v>
      </c>
      <c r="DV1" s="1485"/>
      <c r="DX1" s="1486" t="s">
        <v>307</v>
      </c>
      <c r="DY1" s="1486"/>
      <c r="DZ1" s="432">
        <v>114</v>
      </c>
      <c r="EA1" s="1485" t="s">
        <v>308</v>
      </c>
      <c r="EB1" s="1485"/>
      <c r="ED1" s="1486" t="s">
        <v>307</v>
      </c>
      <c r="EE1" s="1486"/>
      <c r="EF1" s="432">
        <v>114</v>
      </c>
      <c r="EG1" s="1485" t="s">
        <v>308</v>
      </c>
      <c r="EH1" s="1485"/>
    </row>
    <row r="2" spans="2:138" ht="27.75" customHeight="1" x14ac:dyDescent="0.3">
      <c r="B2" s="435" t="s">
        <v>309</v>
      </c>
      <c r="C2" s="436" t="s">
        <v>310</v>
      </c>
      <c r="D2" s="436" t="s">
        <v>311</v>
      </c>
      <c r="E2" s="1482" t="s">
        <v>312</v>
      </c>
      <c r="F2" s="1481"/>
      <c r="H2" s="435" t="s">
        <v>313</v>
      </c>
      <c r="I2" s="436" t="s">
        <v>310</v>
      </c>
      <c r="J2" s="436" t="s">
        <v>311</v>
      </c>
      <c r="K2" s="1482" t="s">
        <v>312</v>
      </c>
      <c r="L2" s="1481"/>
      <c r="N2" s="435" t="s">
        <v>314</v>
      </c>
      <c r="O2" s="436" t="s">
        <v>310</v>
      </c>
      <c r="P2" s="436" t="s">
        <v>311</v>
      </c>
      <c r="Q2" s="1482" t="s">
        <v>312</v>
      </c>
      <c r="R2" s="1481"/>
      <c r="T2" s="435" t="s">
        <v>315</v>
      </c>
      <c r="U2" s="436" t="s">
        <v>310</v>
      </c>
      <c r="V2" s="436" t="s">
        <v>311</v>
      </c>
      <c r="W2" s="1482" t="s">
        <v>312</v>
      </c>
      <c r="X2" s="1481"/>
      <c r="Z2" s="435" t="s">
        <v>599</v>
      </c>
      <c r="AA2" s="436" t="s">
        <v>310</v>
      </c>
      <c r="AB2" s="436" t="s">
        <v>311</v>
      </c>
      <c r="AC2" s="1482" t="s">
        <v>312</v>
      </c>
      <c r="AD2" s="1481"/>
      <c r="AF2" s="435" t="s">
        <v>600</v>
      </c>
      <c r="AG2" s="436" t="s">
        <v>310</v>
      </c>
      <c r="AH2" s="436" t="s">
        <v>311</v>
      </c>
      <c r="AI2" s="1482" t="s">
        <v>312</v>
      </c>
      <c r="AJ2" s="1481"/>
      <c r="AL2" s="435" t="s">
        <v>601</v>
      </c>
      <c r="AM2" s="436" t="s">
        <v>310</v>
      </c>
      <c r="AN2" s="436" t="s">
        <v>311</v>
      </c>
      <c r="AO2" s="1482" t="s">
        <v>312</v>
      </c>
      <c r="AP2" s="1481"/>
      <c r="AR2" s="435" t="s">
        <v>602</v>
      </c>
      <c r="AS2" s="436" t="s">
        <v>310</v>
      </c>
      <c r="AT2" s="436" t="s">
        <v>311</v>
      </c>
      <c r="AU2" s="1482" t="s">
        <v>312</v>
      </c>
      <c r="AV2" s="1481"/>
      <c r="AX2" s="435" t="s">
        <v>316</v>
      </c>
      <c r="AY2" s="436" t="s">
        <v>310</v>
      </c>
      <c r="AZ2" s="436" t="s">
        <v>311</v>
      </c>
      <c r="BA2" s="1482" t="s">
        <v>312</v>
      </c>
      <c r="BB2" s="1481"/>
      <c r="BD2" s="435" t="s">
        <v>317</v>
      </c>
      <c r="BE2" s="436" t="s">
        <v>310</v>
      </c>
      <c r="BF2" s="436" t="s">
        <v>311</v>
      </c>
      <c r="BG2" s="1482" t="s">
        <v>312</v>
      </c>
      <c r="BH2" s="1481"/>
      <c r="BJ2" s="435" t="s">
        <v>542</v>
      </c>
      <c r="BK2" s="436" t="s">
        <v>310</v>
      </c>
      <c r="BL2" s="436" t="s">
        <v>311</v>
      </c>
      <c r="BM2" s="1482" t="s">
        <v>312</v>
      </c>
      <c r="BN2" s="1481"/>
      <c r="BP2" s="435" t="s">
        <v>541</v>
      </c>
      <c r="BQ2" s="436" t="s">
        <v>310</v>
      </c>
      <c r="BR2" s="436" t="s">
        <v>311</v>
      </c>
      <c r="BS2" s="1482" t="s">
        <v>312</v>
      </c>
      <c r="BT2" s="1481"/>
      <c r="BV2" s="435" t="s">
        <v>540</v>
      </c>
      <c r="BW2" s="436" t="s">
        <v>310</v>
      </c>
      <c r="BX2" s="436" t="s">
        <v>311</v>
      </c>
      <c r="BY2" s="1482" t="s">
        <v>312</v>
      </c>
      <c r="BZ2" s="1481"/>
      <c r="CB2" s="435" t="s">
        <v>318</v>
      </c>
      <c r="CC2" s="436" t="s">
        <v>310</v>
      </c>
      <c r="CD2" s="436" t="s">
        <v>311</v>
      </c>
      <c r="CE2" s="1482" t="s">
        <v>312</v>
      </c>
      <c r="CF2" s="1481"/>
      <c r="CI2" s="435" t="s">
        <v>319</v>
      </c>
      <c r="CJ2" s="436" t="s">
        <v>310</v>
      </c>
      <c r="CK2" s="436" t="s">
        <v>311</v>
      </c>
      <c r="CL2" s="1482" t="s">
        <v>312</v>
      </c>
      <c r="CM2" s="1481"/>
      <c r="CO2" s="435" t="s">
        <v>320</v>
      </c>
      <c r="CP2" s="436" t="s">
        <v>310</v>
      </c>
      <c r="CQ2" s="436" t="s">
        <v>311</v>
      </c>
      <c r="CR2" s="1482" t="s">
        <v>312</v>
      </c>
      <c r="CS2" s="1481"/>
      <c r="CU2" s="435" t="s">
        <v>321</v>
      </c>
      <c r="CV2" s="436" t="s">
        <v>310</v>
      </c>
      <c r="CW2" s="436" t="s">
        <v>311</v>
      </c>
      <c r="CX2" s="1482" t="s">
        <v>312</v>
      </c>
      <c r="CY2" s="1481"/>
      <c r="DA2" s="435" t="s">
        <v>322</v>
      </c>
      <c r="DB2" s="436" t="s">
        <v>310</v>
      </c>
      <c r="DC2" s="436" t="s">
        <v>311</v>
      </c>
      <c r="DD2" s="1482" t="s">
        <v>312</v>
      </c>
      <c r="DE2" s="1481"/>
      <c r="DH2" s="435" t="s">
        <v>675</v>
      </c>
      <c r="DI2" s="436" t="s">
        <v>310</v>
      </c>
      <c r="DJ2" s="436" t="s">
        <v>311</v>
      </c>
      <c r="DK2" s="1482" t="s">
        <v>312</v>
      </c>
      <c r="DL2" s="1481"/>
      <c r="DR2" s="435" t="s">
        <v>319</v>
      </c>
      <c r="DS2" s="436" t="s">
        <v>310</v>
      </c>
      <c r="DT2" s="436" t="s">
        <v>311</v>
      </c>
      <c r="DU2" s="1482" t="s">
        <v>312</v>
      </c>
      <c r="DV2" s="1481"/>
      <c r="DX2" s="435" t="s">
        <v>319</v>
      </c>
      <c r="DY2" s="436" t="s">
        <v>310</v>
      </c>
      <c r="DZ2" s="436" t="s">
        <v>311</v>
      </c>
      <c r="EA2" s="1482" t="s">
        <v>312</v>
      </c>
      <c r="EB2" s="1481"/>
      <c r="ED2" s="435" t="s">
        <v>674</v>
      </c>
      <c r="EE2" s="436" t="s">
        <v>310</v>
      </c>
      <c r="EF2" s="436" t="s">
        <v>311</v>
      </c>
      <c r="EG2" s="1482" t="s">
        <v>312</v>
      </c>
      <c r="EH2" s="1481"/>
    </row>
    <row r="3" spans="2:138" ht="27.75" customHeight="1" thickBot="1" x14ac:dyDescent="0.35">
      <c r="B3" s="720" t="str">
        <f>欣鮮6月薪!B8</f>
        <v>秦卉晉</v>
      </c>
      <c r="C3" s="440" t="s">
        <v>61</v>
      </c>
      <c r="D3" s="440">
        <v>6</v>
      </c>
      <c r="E3" s="1487" t="s">
        <v>146</v>
      </c>
      <c r="F3" s="1488"/>
      <c r="H3" s="720" t="str">
        <f>欣鮮6月薪!$B9</f>
        <v>彭順達</v>
      </c>
      <c r="I3" s="440" t="s">
        <v>61</v>
      </c>
      <c r="J3" s="440">
        <v>6</v>
      </c>
      <c r="K3" s="1487" t="s">
        <v>146</v>
      </c>
      <c r="L3" s="1488"/>
      <c r="N3" s="720" t="str">
        <f>欣鮮6月薪!$B10</f>
        <v>余富美</v>
      </c>
      <c r="O3" s="440" t="s">
        <v>61</v>
      </c>
      <c r="P3" s="440">
        <v>6</v>
      </c>
      <c r="Q3" s="1487" t="s">
        <v>146</v>
      </c>
      <c r="R3" s="1488"/>
      <c r="T3" s="720" t="str">
        <f>欣鮮6月薪!$B11</f>
        <v>蘇秀育</v>
      </c>
      <c r="U3" s="440" t="s">
        <v>61</v>
      </c>
      <c r="V3" s="440">
        <v>6</v>
      </c>
      <c r="W3" s="1487" t="s">
        <v>146</v>
      </c>
      <c r="X3" s="1488"/>
      <c r="Z3" s="720" t="str">
        <f>欣鮮6月薪!$B12</f>
        <v>洪桂華</v>
      </c>
      <c r="AA3" s="440" t="s">
        <v>61</v>
      </c>
      <c r="AB3" s="440">
        <v>6</v>
      </c>
      <c r="AC3" s="1487" t="s">
        <v>146</v>
      </c>
      <c r="AD3" s="1488"/>
      <c r="AF3" s="439" t="s">
        <v>271</v>
      </c>
      <c r="AG3" s="440" t="s">
        <v>61</v>
      </c>
      <c r="AH3" s="440">
        <v>6</v>
      </c>
      <c r="AI3" s="1487" t="s">
        <v>146</v>
      </c>
      <c r="AJ3" s="1488"/>
      <c r="AL3" s="439" t="s">
        <v>433</v>
      </c>
      <c r="AM3" s="440" t="s">
        <v>61</v>
      </c>
      <c r="AN3" s="440">
        <v>6</v>
      </c>
      <c r="AO3" s="1487" t="s">
        <v>146</v>
      </c>
      <c r="AP3" s="1488"/>
      <c r="AR3" s="439" t="s">
        <v>502</v>
      </c>
      <c r="AS3" s="440" t="s">
        <v>61</v>
      </c>
      <c r="AT3" s="440">
        <v>6</v>
      </c>
      <c r="AU3" s="1487" t="s">
        <v>146</v>
      </c>
      <c r="AV3" s="1488"/>
      <c r="AX3" s="439" t="s">
        <v>503</v>
      </c>
      <c r="AY3" s="440" t="s">
        <v>61</v>
      </c>
      <c r="AZ3" s="440">
        <v>6</v>
      </c>
      <c r="BA3" s="1487" t="s">
        <v>146</v>
      </c>
      <c r="BB3" s="1488"/>
      <c r="BD3" s="439" t="s">
        <v>515</v>
      </c>
      <c r="BE3" s="440" t="s">
        <v>61</v>
      </c>
      <c r="BF3" s="440">
        <v>6</v>
      </c>
      <c r="BG3" s="1487" t="s">
        <v>146</v>
      </c>
      <c r="BH3" s="1488"/>
      <c r="BJ3" s="439" t="s">
        <v>516</v>
      </c>
      <c r="BK3" s="440" t="s">
        <v>61</v>
      </c>
      <c r="BL3" s="440">
        <f>+AH3</f>
        <v>6</v>
      </c>
      <c r="BM3" s="1487" t="s">
        <v>146</v>
      </c>
      <c r="BN3" s="1488"/>
      <c r="BP3" s="439" t="s">
        <v>635</v>
      </c>
      <c r="BQ3" s="440" t="s">
        <v>61</v>
      </c>
      <c r="BR3" s="440">
        <v>6</v>
      </c>
      <c r="BS3" s="1483" t="s">
        <v>47</v>
      </c>
      <c r="BT3" s="1484"/>
      <c r="BV3" s="439" t="s">
        <v>653</v>
      </c>
      <c r="BW3" s="440" t="s">
        <v>61</v>
      </c>
      <c r="BX3" s="440">
        <v>6</v>
      </c>
      <c r="BY3" s="1483" t="s">
        <v>47</v>
      </c>
      <c r="BZ3" s="1484"/>
      <c r="CB3" s="439" t="s">
        <v>586</v>
      </c>
      <c r="CC3" s="440" t="s">
        <v>61</v>
      </c>
      <c r="CD3" s="440">
        <v>6</v>
      </c>
      <c r="CE3" s="1487" t="s">
        <v>146</v>
      </c>
      <c r="CF3" s="1488"/>
      <c r="CI3" s="439" t="s">
        <v>3</v>
      </c>
      <c r="CJ3" s="440" t="s">
        <v>61</v>
      </c>
      <c r="CK3" s="440">
        <f>D3</f>
        <v>6</v>
      </c>
      <c r="CL3" s="1483" t="s">
        <v>47</v>
      </c>
      <c r="CM3" s="1484"/>
      <c r="CO3" s="439" t="s">
        <v>44</v>
      </c>
      <c r="CP3" s="440" t="s">
        <v>61</v>
      </c>
      <c r="CQ3" s="440">
        <f>+D3</f>
        <v>6</v>
      </c>
      <c r="CR3" s="1483" t="s">
        <v>47</v>
      </c>
      <c r="CS3" s="1484"/>
      <c r="CU3" s="439" t="s">
        <v>51</v>
      </c>
      <c r="CV3" s="440" t="s">
        <v>61</v>
      </c>
      <c r="CW3" s="440">
        <f>+D3</f>
        <v>6</v>
      </c>
      <c r="CX3" s="1483" t="s">
        <v>47</v>
      </c>
      <c r="CY3" s="1484"/>
      <c r="DA3" s="439" t="s">
        <v>218</v>
      </c>
      <c r="DB3" s="440" t="s">
        <v>61</v>
      </c>
      <c r="DC3" s="440">
        <f>+D3</f>
        <v>6</v>
      </c>
      <c r="DD3" s="1483" t="s">
        <v>47</v>
      </c>
      <c r="DE3" s="1484"/>
      <c r="DH3" s="439" t="s">
        <v>576</v>
      </c>
      <c r="DI3" s="440" t="s">
        <v>61</v>
      </c>
      <c r="DJ3" s="440" t="str">
        <f>+CL3</f>
        <v>現金</v>
      </c>
      <c r="DK3" s="1487" t="s">
        <v>146</v>
      </c>
      <c r="DL3" s="1488"/>
      <c r="DR3" s="439" t="s">
        <v>3</v>
      </c>
      <c r="DS3" s="440" t="s">
        <v>61</v>
      </c>
      <c r="DT3" s="440">
        <v>2</v>
      </c>
      <c r="DU3" s="1487" t="s">
        <v>146</v>
      </c>
      <c r="DV3" s="1488"/>
      <c r="DX3" s="439" t="s">
        <v>3</v>
      </c>
      <c r="DY3" s="440" t="s">
        <v>61</v>
      </c>
      <c r="DZ3" s="440">
        <v>3</v>
      </c>
      <c r="EA3" s="1487" t="s">
        <v>146</v>
      </c>
      <c r="EB3" s="1488"/>
      <c r="ED3" s="439" t="s">
        <v>642</v>
      </c>
      <c r="EE3" s="440" t="s">
        <v>61</v>
      </c>
      <c r="EF3" s="440">
        <v>6</v>
      </c>
      <c r="EG3" s="1487" t="s">
        <v>146</v>
      </c>
      <c r="EH3" s="1488"/>
    </row>
    <row r="4" spans="2:138" ht="27.75" customHeight="1" x14ac:dyDescent="0.3">
      <c r="B4" s="1479" t="s">
        <v>323</v>
      </c>
      <c r="C4" s="1480"/>
      <c r="D4" s="1480"/>
      <c r="E4" s="1480"/>
      <c r="F4" s="1481"/>
      <c r="H4" s="1479" t="s">
        <v>323</v>
      </c>
      <c r="I4" s="1480"/>
      <c r="J4" s="1480"/>
      <c r="K4" s="1480"/>
      <c r="L4" s="1481"/>
      <c r="N4" s="1479" t="s">
        <v>323</v>
      </c>
      <c r="O4" s="1480"/>
      <c r="P4" s="1480"/>
      <c r="Q4" s="1480"/>
      <c r="R4" s="1481"/>
      <c r="T4" s="1479" t="s">
        <v>324</v>
      </c>
      <c r="U4" s="1480"/>
      <c r="V4" s="1480"/>
      <c r="W4" s="1480"/>
      <c r="X4" s="1481"/>
      <c r="Z4" s="1479" t="s">
        <v>323</v>
      </c>
      <c r="AA4" s="1480"/>
      <c r="AB4" s="1480"/>
      <c r="AC4" s="1480"/>
      <c r="AD4" s="1481"/>
      <c r="AF4" s="1479" t="s">
        <v>323</v>
      </c>
      <c r="AG4" s="1480"/>
      <c r="AH4" s="1480"/>
      <c r="AI4" s="1480"/>
      <c r="AJ4" s="1481"/>
      <c r="AL4" s="793" t="s">
        <v>324</v>
      </c>
      <c r="AM4" s="794"/>
      <c r="AN4" s="794"/>
      <c r="AO4" s="794"/>
      <c r="AP4" s="792"/>
      <c r="AR4" s="793" t="s">
        <v>324</v>
      </c>
      <c r="AS4" s="794"/>
      <c r="AT4" s="794"/>
      <c r="AU4" s="794"/>
      <c r="AV4" s="792"/>
      <c r="AX4" s="793" t="s">
        <v>324</v>
      </c>
      <c r="AY4" s="794"/>
      <c r="AZ4" s="794"/>
      <c r="BA4" s="794"/>
      <c r="BB4" s="792"/>
      <c r="BD4" s="793" t="s">
        <v>324</v>
      </c>
      <c r="BE4" s="794"/>
      <c r="BF4" s="794"/>
      <c r="BG4" s="794"/>
      <c r="BH4" s="792"/>
      <c r="BJ4" s="793" t="s">
        <v>324</v>
      </c>
      <c r="BK4" s="794"/>
      <c r="BL4" s="794"/>
      <c r="BM4" s="794"/>
      <c r="BN4" s="792"/>
      <c r="BP4" s="793" t="s">
        <v>324</v>
      </c>
      <c r="BQ4" s="794"/>
      <c r="BR4" s="794"/>
      <c r="BS4" s="794"/>
      <c r="BT4" s="792"/>
      <c r="BV4" s="793" t="s">
        <v>324</v>
      </c>
      <c r="BW4" s="794"/>
      <c r="BX4" s="794"/>
      <c r="BY4" s="794"/>
      <c r="BZ4" s="792"/>
      <c r="CB4" s="793" t="s">
        <v>324</v>
      </c>
      <c r="CC4" s="794"/>
      <c r="CD4" s="794"/>
      <c r="CE4" s="794"/>
      <c r="CF4" s="792"/>
      <c r="CI4" s="1479" t="s">
        <v>323</v>
      </c>
      <c r="CJ4" s="1480"/>
      <c r="CK4" s="1480"/>
      <c r="CL4" s="1480"/>
      <c r="CM4" s="1481"/>
      <c r="CO4" s="1479" t="s">
        <v>323</v>
      </c>
      <c r="CP4" s="1480"/>
      <c r="CQ4" s="1480"/>
      <c r="CR4" s="1480"/>
      <c r="CS4" s="1481"/>
      <c r="CU4" s="1479" t="s">
        <v>323</v>
      </c>
      <c r="CV4" s="1480"/>
      <c r="CW4" s="1480"/>
      <c r="CX4" s="1480"/>
      <c r="CY4" s="1481"/>
      <c r="DA4" s="1479" t="s">
        <v>323</v>
      </c>
      <c r="DB4" s="1480"/>
      <c r="DC4" s="1480"/>
      <c r="DD4" s="1480"/>
      <c r="DE4" s="1481"/>
      <c r="DH4" s="793" t="s">
        <v>324</v>
      </c>
      <c r="DI4" s="794"/>
      <c r="DJ4" s="794"/>
      <c r="DK4" s="794"/>
      <c r="DL4" s="792"/>
      <c r="DR4" s="1479" t="s">
        <v>323</v>
      </c>
      <c r="DS4" s="1480"/>
      <c r="DT4" s="1480"/>
      <c r="DU4" s="1480"/>
      <c r="DV4" s="1481"/>
      <c r="DX4" s="1479" t="s">
        <v>323</v>
      </c>
      <c r="DY4" s="1480"/>
      <c r="DZ4" s="1480"/>
      <c r="EA4" s="1480"/>
      <c r="EB4" s="1481"/>
      <c r="ED4" s="1479" t="s">
        <v>323</v>
      </c>
      <c r="EE4" s="1480"/>
      <c r="EF4" s="1480"/>
      <c r="EG4" s="1480"/>
      <c r="EH4" s="1481"/>
    </row>
    <row r="5" spans="2:138" ht="27.75" customHeight="1" x14ac:dyDescent="0.3">
      <c r="B5" s="441" t="s">
        <v>325</v>
      </c>
      <c r="C5" s="1044"/>
      <c r="D5" s="443" t="s">
        <v>543</v>
      </c>
      <c r="E5" s="443" t="s">
        <v>91</v>
      </c>
      <c r="F5" s="444" t="s">
        <v>327</v>
      </c>
      <c r="H5" s="441" t="s">
        <v>328</v>
      </c>
      <c r="I5" s="442">
        <v>200</v>
      </c>
      <c r="J5" s="443" t="s">
        <v>328</v>
      </c>
      <c r="K5" s="443" t="s">
        <v>101</v>
      </c>
      <c r="L5" s="444" t="s">
        <v>327</v>
      </c>
      <c r="N5" s="441" t="s">
        <v>329</v>
      </c>
      <c r="O5" s="442">
        <v>830</v>
      </c>
      <c r="P5" s="1029" t="s">
        <v>326</v>
      </c>
      <c r="Q5" s="1029" t="s">
        <v>101</v>
      </c>
      <c r="R5" s="1030" t="s">
        <v>327</v>
      </c>
      <c r="T5" s="441" t="s">
        <v>328</v>
      </c>
      <c r="U5" s="442">
        <v>192</v>
      </c>
      <c r="V5" s="443" t="s">
        <v>331</v>
      </c>
      <c r="W5" s="443" t="s">
        <v>91</v>
      </c>
      <c r="X5" s="444" t="s">
        <v>327</v>
      </c>
      <c r="Z5" s="486" t="s">
        <v>325</v>
      </c>
      <c r="AA5" s="459">
        <f>25000</f>
        <v>25000</v>
      </c>
      <c r="AB5" s="1037" t="s">
        <v>96</v>
      </c>
      <c r="AC5" s="1037" t="s">
        <v>101</v>
      </c>
      <c r="AD5" s="1038" t="s">
        <v>327</v>
      </c>
      <c r="AF5" s="441" t="s">
        <v>328</v>
      </c>
      <c r="AG5" s="442">
        <v>192</v>
      </c>
      <c r="AH5" s="1029" t="s">
        <v>328</v>
      </c>
      <c r="AI5" s="549"/>
      <c r="AJ5" s="1030" t="s">
        <v>327</v>
      </c>
      <c r="AL5" s="441" t="s">
        <v>325</v>
      </c>
      <c r="AM5" s="442"/>
      <c r="AN5" s="443" t="s">
        <v>438</v>
      </c>
      <c r="AO5" s="443" t="s">
        <v>328</v>
      </c>
      <c r="AP5" s="444" t="s">
        <v>327</v>
      </c>
      <c r="AR5" s="441" t="s">
        <v>325</v>
      </c>
      <c r="AS5" s="442"/>
      <c r="AT5" s="443" t="s">
        <v>438</v>
      </c>
      <c r="AU5" s="443" t="s">
        <v>330</v>
      </c>
      <c r="AV5" s="444" t="s">
        <v>327</v>
      </c>
      <c r="AX5" s="1036" t="s">
        <v>325</v>
      </c>
      <c r="AY5" s="442"/>
      <c r="AZ5" s="443" t="s">
        <v>62</v>
      </c>
      <c r="BA5" s="443" t="s">
        <v>328</v>
      </c>
      <c r="BB5" s="444" t="s">
        <v>327</v>
      </c>
      <c r="BD5" s="441" t="s">
        <v>325</v>
      </c>
      <c r="BE5" s="442">
        <v>1000</v>
      </c>
      <c r="BF5" s="443" t="s">
        <v>62</v>
      </c>
      <c r="BG5" s="443" t="s">
        <v>328</v>
      </c>
      <c r="BH5" s="444" t="s">
        <v>327</v>
      </c>
      <c r="BJ5" s="441" t="s">
        <v>325</v>
      </c>
      <c r="BK5" s="442">
        <f>'欣鮮-艾克爾'!G22</f>
        <v>30000</v>
      </c>
      <c r="BL5" s="443" t="s">
        <v>62</v>
      </c>
      <c r="BM5" s="443" t="s">
        <v>328</v>
      </c>
      <c r="BN5" s="444" t="s">
        <v>327</v>
      </c>
      <c r="BP5" s="441" t="s">
        <v>325</v>
      </c>
      <c r="BQ5" s="442">
        <v>42000</v>
      </c>
      <c r="BR5" s="443" t="s">
        <v>333</v>
      </c>
      <c r="BS5" s="443" t="s">
        <v>328</v>
      </c>
      <c r="BT5" s="444" t="s">
        <v>327</v>
      </c>
      <c r="BV5" s="441" t="s">
        <v>325</v>
      </c>
      <c r="BW5" s="442">
        <v>30000</v>
      </c>
      <c r="BX5" s="443" t="s">
        <v>62</v>
      </c>
      <c r="BY5" s="443" t="s">
        <v>328</v>
      </c>
      <c r="BZ5" s="444" t="s">
        <v>327</v>
      </c>
      <c r="CB5" s="441" t="s">
        <v>325</v>
      </c>
      <c r="CC5" s="442"/>
      <c r="CD5" s="457" t="s">
        <v>333</v>
      </c>
      <c r="CE5" s="443" t="s">
        <v>328</v>
      </c>
      <c r="CF5" s="455"/>
      <c r="CI5" s="441" t="s">
        <v>325</v>
      </c>
      <c r="CJ5" s="442">
        <v>80000</v>
      </c>
      <c r="CK5" s="446"/>
      <c r="CL5" s="446"/>
      <c r="CM5" s="445"/>
      <c r="CO5" s="441" t="s">
        <v>325</v>
      </c>
      <c r="CP5" s="442">
        <v>28000</v>
      </c>
      <c r="CQ5" s="446"/>
      <c r="CR5" s="446"/>
      <c r="CS5" s="445"/>
      <c r="CU5" s="441" t="s">
        <v>325</v>
      </c>
      <c r="CV5" s="453">
        <v>47000</v>
      </c>
      <c r="CW5" s="443" t="s">
        <v>326</v>
      </c>
      <c r="CX5" s="443" t="s">
        <v>101</v>
      </c>
      <c r="CY5" s="444" t="s">
        <v>327</v>
      </c>
      <c r="DA5" s="441" t="s">
        <v>328</v>
      </c>
      <c r="DB5" s="442">
        <v>183</v>
      </c>
      <c r="DC5" s="443" t="s">
        <v>328</v>
      </c>
      <c r="DD5" s="443" t="s">
        <v>101</v>
      </c>
      <c r="DE5" s="444" t="s">
        <v>327</v>
      </c>
      <c r="DH5" s="441" t="s">
        <v>325</v>
      </c>
      <c r="DI5" s="442"/>
      <c r="DJ5" s="443" t="s">
        <v>676</v>
      </c>
      <c r="DK5" s="443" t="s">
        <v>101</v>
      </c>
      <c r="DL5" s="444" t="s">
        <v>327</v>
      </c>
      <c r="DR5" s="441" t="s">
        <v>325</v>
      </c>
      <c r="DS5" s="442">
        <v>36000</v>
      </c>
      <c r="DT5" s="1489" t="s">
        <v>63</v>
      </c>
      <c r="DU5" s="1490"/>
      <c r="DV5" s="1491"/>
      <c r="DX5" s="441" t="s">
        <v>325</v>
      </c>
      <c r="DY5" s="442">
        <v>36000</v>
      </c>
      <c r="DZ5" s="1489" t="s">
        <v>63</v>
      </c>
      <c r="EA5" s="1490"/>
      <c r="EB5" s="1491"/>
      <c r="ED5" s="441" t="s">
        <v>325</v>
      </c>
      <c r="EE5" s="442">
        <v>30000</v>
      </c>
      <c r="EF5" s="1489" t="s">
        <v>63</v>
      </c>
      <c r="EG5" s="1490"/>
      <c r="EH5" s="1491"/>
    </row>
    <row r="6" spans="2:138" ht="27.75" customHeight="1" x14ac:dyDescent="0.3">
      <c r="B6" s="447" t="s">
        <v>332</v>
      </c>
      <c r="C6" s="1026">
        <v>0</v>
      </c>
      <c r="D6" s="482">
        <v>200</v>
      </c>
      <c r="E6" s="482" t="e">
        <f>'欣鮮-艾克爾'!F8</f>
        <v>#REF!</v>
      </c>
      <c r="F6" s="450" t="e">
        <f>E6*D6</f>
        <v>#REF!</v>
      </c>
      <c r="H6" s="447" t="s">
        <v>91</v>
      </c>
      <c r="I6" s="448" t="e">
        <f>'欣鮮-艾克爾'!F9</f>
        <v>#REF!</v>
      </c>
      <c r="J6" s="449"/>
      <c r="K6" s="449"/>
      <c r="L6" s="451"/>
      <c r="N6" s="447" t="s">
        <v>332</v>
      </c>
      <c r="O6" s="442" t="e">
        <f>'欣鮮-艾克爾'!F10</f>
        <v>#REF!</v>
      </c>
      <c r="P6" s="449"/>
      <c r="Q6" s="449"/>
      <c r="R6" s="451"/>
      <c r="T6" s="447" t="s">
        <v>91</v>
      </c>
      <c r="U6" s="442" t="e">
        <f>'欣鮮-艾克爾'!F15</f>
        <v>#REF!</v>
      </c>
      <c r="V6" s="449"/>
      <c r="W6" s="449"/>
      <c r="X6" s="451"/>
      <c r="Z6" s="460" t="s">
        <v>332</v>
      </c>
      <c r="AA6" s="1039">
        <f>'欣鮮-艾克爾'!F12</f>
        <v>30</v>
      </c>
      <c r="AB6" s="1037"/>
      <c r="AC6" s="1037">
        <v>0</v>
      </c>
      <c r="AD6" s="1038">
        <f>+AC6*AB6</f>
        <v>0</v>
      </c>
      <c r="AF6" s="447" t="s">
        <v>91</v>
      </c>
      <c r="AG6" s="448" t="e">
        <f>'欣鮮-艾克爾'!F17</f>
        <v>#REF!</v>
      </c>
      <c r="AH6" s="1032"/>
      <c r="AI6" s="549"/>
      <c r="AJ6" s="1030"/>
      <c r="AL6" s="447" t="s">
        <v>332</v>
      </c>
      <c r="AM6" s="442"/>
      <c r="AN6" s="449" t="e">
        <f>'欣鮮-艾克爾'!F16</f>
        <v>#REF!</v>
      </c>
      <c r="AO6" s="730">
        <v>190</v>
      </c>
      <c r="AP6" s="450" t="e">
        <f>+AO6*AN6</f>
        <v>#REF!</v>
      </c>
      <c r="AR6" s="447" t="s">
        <v>332</v>
      </c>
      <c r="AS6" s="442"/>
      <c r="AT6" s="449">
        <v>830</v>
      </c>
      <c r="AU6" s="730">
        <f>'欣鮮-艾克爾'!F18</f>
        <v>25</v>
      </c>
      <c r="AV6" s="450">
        <f>+AU6*AT6</f>
        <v>20750</v>
      </c>
      <c r="AX6" s="1022" t="s">
        <v>332</v>
      </c>
      <c r="AY6" s="442"/>
      <c r="AZ6" s="449" t="e">
        <f>'欣鮮-艾克爾'!F19</f>
        <v>#REF!</v>
      </c>
      <c r="BA6" s="907">
        <v>192</v>
      </c>
      <c r="BB6" s="450" t="e">
        <f>+BA6*AZ6</f>
        <v>#REF!</v>
      </c>
      <c r="BD6" s="447" t="s">
        <v>332</v>
      </c>
      <c r="BE6" s="449" t="e">
        <f>'欣鮮-艾克爾'!F21</f>
        <v>#REF!</v>
      </c>
      <c r="BF6" s="449"/>
      <c r="BG6" s="730"/>
      <c r="BH6" s="450">
        <f>+BG6*BF6</f>
        <v>0</v>
      </c>
      <c r="BJ6" s="447" t="s">
        <v>332</v>
      </c>
      <c r="BK6" s="442">
        <v>29</v>
      </c>
      <c r="BL6" s="449" t="e">
        <f>'欣鮮-艾克爾'!F25</f>
        <v>#REF!</v>
      </c>
      <c r="BM6" s="907"/>
      <c r="BN6" s="450" t="e">
        <f>+BM6*BL6</f>
        <v>#REF!</v>
      </c>
      <c r="BP6" s="447" t="s">
        <v>332</v>
      </c>
      <c r="BQ6" s="449">
        <v>23</v>
      </c>
      <c r="BR6" s="449"/>
      <c r="BS6" s="730"/>
      <c r="BT6" s="450"/>
      <c r="BV6" s="447" t="s">
        <v>332</v>
      </c>
      <c r="BW6" s="442">
        <v>3</v>
      </c>
      <c r="BX6" s="449">
        <f>'欣鮮-艾克爾'!F30</f>
        <v>5</v>
      </c>
      <c r="BY6" s="907">
        <v>192</v>
      </c>
      <c r="BZ6" s="450">
        <f>+BY6*BX6</f>
        <v>960</v>
      </c>
      <c r="CB6" s="447" t="s">
        <v>332</v>
      </c>
      <c r="CC6" s="442"/>
      <c r="CD6" s="466" t="e">
        <f>#REF!</f>
        <v>#REF!</v>
      </c>
      <c r="CE6" s="456">
        <v>190</v>
      </c>
      <c r="CF6" s="450" t="e">
        <f>+CE6*CD6</f>
        <v>#REF!</v>
      </c>
      <c r="CI6" s="447" t="s">
        <v>332</v>
      </c>
      <c r="CJ6" s="442">
        <v>30</v>
      </c>
      <c r="CK6" s="446"/>
      <c r="CL6" s="446"/>
      <c r="CM6" s="445"/>
      <c r="CO6" s="447" t="s">
        <v>332</v>
      </c>
      <c r="CP6" s="442">
        <f>CJ6</f>
        <v>30</v>
      </c>
      <c r="CQ6" s="446"/>
      <c r="CR6" s="446"/>
      <c r="CS6" s="445"/>
      <c r="CU6" s="447" t="s">
        <v>332</v>
      </c>
      <c r="CV6" s="442">
        <f>CJ6</f>
        <v>30</v>
      </c>
      <c r="CW6" s="449"/>
      <c r="CX6" s="449"/>
      <c r="CY6" s="451"/>
      <c r="DA6" s="447" t="s">
        <v>91</v>
      </c>
      <c r="DB6" s="442">
        <f>'欣鮮-艾克爾'!F6</f>
        <v>16</v>
      </c>
      <c r="DC6" s="449"/>
      <c r="DD6" s="449"/>
      <c r="DE6" s="451">
        <f>+DD6*DC6</f>
        <v>0</v>
      </c>
      <c r="DH6" s="447" t="s">
        <v>332</v>
      </c>
      <c r="DI6" s="442"/>
      <c r="DJ6" s="449">
        <v>500</v>
      </c>
      <c r="DK6" s="730">
        <v>1</v>
      </c>
      <c r="DL6" s="450">
        <f>+DK6*DJ6</f>
        <v>500</v>
      </c>
      <c r="DR6" s="447" t="s">
        <v>332</v>
      </c>
      <c r="DS6" s="442">
        <v>28</v>
      </c>
      <c r="DT6" s="473" t="s">
        <v>338</v>
      </c>
      <c r="DU6" s="474" t="s">
        <v>91</v>
      </c>
      <c r="DV6" s="475" t="s">
        <v>327</v>
      </c>
      <c r="DX6" s="447" t="s">
        <v>332</v>
      </c>
      <c r="DY6" s="442">
        <v>28</v>
      </c>
      <c r="DZ6" s="473" t="s">
        <v>338</v>
      </c>
      <c r="EA6" s="474" t="s">
        <v>91</v>
      </c>
      <c r="EB6" s="475" t="s">
        <v>327</v>
      </c>
      <c r="ED6" s="447" t="s">
        <v>332</v>
      </c>
      <c r="EE6" s="442">
        <v>3</v>
      </c>
      <c r="EF6" s="473" t="s">
        <v>338</v>
      </c>
      <c r="EG6" s="474" t="s">
        <v>91</v>
      </c>
      <c r="EH6" s="475" t="s">
        <v>327</v>
      </c>
    </row>
    <row r="7" spans="2:138" ht="27.75" customHeight="1" x14ac:dyDescent="0.3">
      <c r="B7" s="447" t="s">
        <v>110</v>
      </c>
      <c r="C7" s="1027">
        <f>C5/30*C6</f>
        <v>0</v>
      </c>
      <c r="D7" s="496"/>
      <c r="E7" s="496"/>
      <c r="F7" s="1028"/>
      <c r="H7" s="447" t="s">
        <v>110</v>
      </c>
      <c r="I7" s="453" t="e">
        <f>+I6*I5</f>
        <v>#REF!</v>
      </c>
      <c r="J7" s="454"/>
      <c r="K7" s="454"/>
      <c r="L7" s="455"/>
      <c r="N7" s="447" t="s">
        <v>110</v>
      </c>
      <c r="O7" s="453" t="e">
        <f>+O6*O5</f>
        <v>#REF!</v>
      </c>
      <c r="P7" s="454"/>
      <c r="Q7" s="454"/>
      <c r="R7" s="455"/>
      <c r="T7" s="447" t="s">
        <v>110</v>
      </c>
      <c r="U7" s="453" t="e">
        <f>+U6*U5</f>
        <v>#REF!</v>
      </c>
      <c r="V7" s="456"/>
      <c r="W7" s="454"/>
      <c r="X7" s="451"/>
      <c r="Z7" s="460" t="s">
        <v>110</v>
      </c>
      <c r="AA7" s="490">
        <v>25000</v>
      </c>
      <c r="AB7" s="1040" t="s">
        <v>333</v>
      </c>
      <c r="AC7" s="449" t="s">
        <v>334</v>
      </c>
      <c r="AD7" s="721" t="s">
        <v>327</v>
      </c>
      <c r="AF7" s="447" t="s">
        <v>110</v>
      </c>
      <c r="AG7" s="453" t="e">
        <f>+AG6*AG5</f>
        <v>#REF!</v>
      </c>
      <c r="AH7" s="1032"/>
      <c r="AI7" s="549">
        <f>+AI6*AI5</f>
        <v>0</v>
      </c>
      <c r="AJ7" s="1030" t="s">
        <v>327</v>
      </c>
      <c r="AL7" s="447" t="s">
        <v>110</v>
      </c>
      <c r="AM7" s="459">
        <f>+AM6*AM5</f>
        <v>0</v>
      </c>
      <c r="AN7" s="454"/>
      <c r="AO7" s="454"/>
      <c r="AP7" s="455"/>
      <c r="AR7" s="447" t="s">
        <v>110</v>
      </c>
      <c r="AS7" s="459">
        <f>+AS6*AS5</f>
        <v>0</v>
      </c>
      <c r="AT7" s="457"/>
      <c r="AU7" s="454"/>
      <c r="AV7" s="455"/>
      <c r="AX7" s="1022" t="s">
        <v>110</v>
      </c>
      <c r="AY7" s="459">
        <f>+AY6*AY5</f>
        <v>0</v>
      </c>
      <c r="AZ7" s="457" t="s">
        <v>499</v>
      </c>
      <c r="BA7" s="457" t="s">
        <v>333</v>
      </c>
      <c r="BB7" s="455"/>
      <c r="BD7" s="447" t="s">
        <v>110</v>
      </c>
      <c r="BE7" s="459" t="e">
        <f>BE5*BE6</f>
        <v>#REF!</v>
      </c>
      <c r="BF7" s="454"/>
      <c r="BG7" s="454"/>
      <c r="BH7" s="455"/>
      <c r="BJ7" s="447" t="s">
        <v>110</v>
      </c>
      <c r="BK7" s="459">
        <f>BK5</f>
        <v>30000</v>
      </c>
      <c r="BL7" s="457" t="s">
        <v>333</v>
      </c>
      <c r="BM7" s="443" t="s">
        <v>328</v>
      </c>
      <c r="BN7" s="455"/>
      <c r="BP7" s="447" t="s">
        <v>110</v>
      </c>
      <c r="BQ7" s="459">
        <f>+BQ6*BQ5/30</f>
        <v>32200</v>
      </c>
      <c r="BR7" s="454"/>
      <c r="BS7" s="454"/>
      <c r="BT7" s="455"/>
      <c r="BV7" s="447" t="s">
        <v>110</v>
      </c>
      <c r="BW7" s="459">
        <f>BW5/30*BW6</f>
        <v>3000</v>
      </c>
      <c r="BX7" s="457" t="s">
        <v>333</v>
      </c>
      <c r="BY7" s="443" t="s">
        <v>328</v>
      </c>
      <c r="BZ7" s="455"/>
      <c r="CB7" s="447" t="s">
        <v>110</v>
      </c>
      <c r="CC7" s="453">
        <f>+CC6*CC5</f>
        <v>0</v>
      </c>
      <c r="CD7" s="454"/>
      <c r="CE7" s="454"/>
      <c r="CF7" s="455"/>
      <c r="CI7" s="447" t="s">
        <v>110</v>
      </c>
      <c r="CJ7" s="453">
        <v>80000</v>
      </c>
      <c r="CK7" s="446"/>
      <c r="CL7" s="446"/>
      <c r="CM7" s="445"/>
      <c r="CO7" s="447" t="s">
        <v>110</v>
      </c>
      <c r="CP7" s="453">
        <f>CP5</f>
        <v>28000</v>
      </c>
      <c r="CQ7" s="446"/>
      <c r="CR7" s="446"/>
      <c r="CS7" s="445"/>
      <c r="CU7" s="447" t="s">
        <v>110</v>
      </c>
      <c r="CV7" s="453">
        <v>47000</v>
      </c>
      <c r="CW7" s="454"/>
      <c r="CX7" s="454"/>
      <c r="CY7" s="455"/>
      <c r="DA7" s="447" t="s">
        <v>110</v>
      </c>
      <c r="DB7" s="453">
        <f>+DB6*DB5</f>
        <v>2928</v>
      </c>
      <c r="DC7" s="454"/>
      <c r="DD7" s="454"/>
      <c r="DE7" s="455"/>
      <c r="DH7" s="447"/>
      <c r="DI7" s="453"/>
      <c r="DJ7" s="454"/>
      <c r="DK7" s="454"/>
      <c r="DL7" s="455"/>
      <c r="DR7" s="447" t="s">
        <v>110</v>
      </c>
      <c r="DS7" s="453">
        <v>36000</v>
      </c>
      <c r="DT7" s="446">
        <v>194</v>
      </c>
      <c r="DU7" s="446">
        <v>2</v>
      </c>
      <c r="DV7" s="445">
        <f>DU7*DT7</f>
        <v>388</v>
      </c>
      <c r="DX7" s="447" t="s">
        <v>110</v>
      </c>
      <c r="DY7" s="453">
        <v>36000</v>
      </c>
      <c r="DZ7" s="446">
        <v>194</v>
      </c>
      <c r="EA7" s="446">
        <v>2</v>
      </c>
      <c r="EB7" s="445">
        <f>EA7*DZ7</f>
        <v>388</v>
      </c>
      <c r="ED7" s="447" t="s">
        <v>110</v>
      </c>
      <c r="EE7" s="453">
        <f>30000/30*EE6</f>
        <v>3000</v>
      </c>
      <c r="EF7" s="446"/>
      <c r="EG7" s="446"/>
      <c r="EH7" s="445"/>
    </row>
    <row r="8" spans="2:138" ht="27.75" customHeight="1" x14ac:dyDescent="0.3">
      <c r="B8" s="447" t="s">
        <v>335</v>
      </c>
      <c r="C8" s="1027">
        <f>欣鮮6月薪!D8</f>
        <v>0</v>
      </c>
      <c r="D8" s="496"/>
      <c r="E8" s="496"/>
      <c r="F8" s="1028"/>
      <c r="H8" s="1024" t="s">
        <v>335</v>
      </c>
      <c r="I8" s="1025">
        <f>欣鮮6月薪!$D9</f>
        <v>0</v>
      </c>
      <c r="J8" s="454"/>
      <c r="K8" s="454"/>
      <c r="L8" s="455"/>
      <c r="N8" s="447" t="s">
        <v>336</v>
      </c>
      <c r="O8" s="453">
        <f>欣鮮6月薪!E10</f>
        <v>500</v>
      </c>
      <c r="P8" s="454"/>
      <c r="Q8" s="454"/>
      <c r="R8" s="455"/>
      <c r="T8" s="452"/>
      <c r="U8" s="453">
        <f>欣鮮6月薪!$D11</f>
        <v>0</v>
      </c>
      <c r="V8" s="454"/>
      <c r="W8" s="454"/>
      <c r="X8" s="455"/>
      <c r="Z8" s="460" t="s">
        <v>335</v>
      </c>
      <c r="AA8" s="459">
        <f>欣鮮6月薪!$D12</f>
        <v>1000</v>
      </c>
      <c r="AB8" s="456">
        <v>160</v>
      </c>
      <c r="AC8" s="456" t="e">
        <f>'欣鮮-艾克爾'!F13</f>
        <v>#REF!</v>
      </c>
      <c r="AD8" s="721" t="e">
        <f>+AC8*AB8</f>
        <v>#REF!</v>
      </c>
      <c r="AF8" s="1022" t="s">
        <v>335</v>
      </c>
      <c r="AG8" s="459"/>
      <c r="AH8" s="553"/>
      <c r="AI8" s="553"/>
      <c r="AJ8" s="1033"/>
      <c r="AL8" s="452"/>
      <c r="AM8" s="459"/>
      <c r="AN8" s="454"/>
      <c r="AO8" s="454"/>
      <c r="AP8" s="455"/>
      <c r="AR8" s="1022" t="s">
        <v>335</v>
      </c>
      <c r="AS8" s="459"/>
      <c r="AT8" s="454"/>
      <c r="AU8" s="454"/>
      <c r="AV8" s="455"/>
      <c r="AX8" s="452"/>
      <c r="AY8" s="459"/>
      <c r="AZ8" s="456" t="e">
        <f>'欣鮮-艾克爾'!F20</f>
        <v>#REF!</v>
      </c>
      <c r="BA8" s="456">
        <v>830</v>
      </c>
      <c r="BB8" s="450" t="e">
        <f>+BA8*AZ8</f>
        <v>#REF!</v>
      </c>
      <c r="BD8" s="1022" t="s">
        <v>335</v>
      </c>
      <c r="BE8" s="459"/>
      <c r="BF8" s="454"/>
      <c r="BG8" s="454"/>
      <c r="BH8" s="455"/>
      <c r="BJ8" s="452" t="s">
        <v>335</v>
      </c>
      <c r="BK8" s="459"/>
      <c r="BL8" s="466" t="e">
        <f>'欣鮮-艾克爾'!F24</f>
        <v>#REF!</v>
      </c>
      <c r="BM8" s="456">
        <v>190</v>
      </c>
      <c r="BN8" s="450" t="e">
        <f>+BM8*BL8</f>
        <v>#REF!</v>
      </c>
      <c r="BP8" s="1022" t="s">
        <v>335</v>
      </c>
      <c r="BQ8" s="459"/>
      <c r="BR8" s="454"/>
      <c r="BS8" s="454"/>
      <c r="BT8" s="455"/>
      <c r="BV8" s="452" t="s">
        <v>335</v>
      </c>
      <c r="BW8" s="459"/>
      <c r="BX8" s="466"/>
      <c r="BY8" s="456"/>
      <c r="BZ8" s="450">
        <f>+BY8*BX8</f>
        <v>0</v>
      </c>
      <c r="CB8" s="452" t="s">
        <v>335</v>
      </c>
      <c r="CC8" s="453"/>
      <c r="CD8" s="454"/>
      <c r="CE8" s="454"/>
      <c r="CF8" s="455"/>
      <c r="CI8" s="460"/>
      <c r="CJ8" s="459"/>
      <c r="CK8" s="446"/>
      <c r="CL8" s="446"/>
      <c r="CM8" s="445"/>
      <c r="CO8" s="460"/>
      <c r="CP8" s="459"/>
      <c r="CQ8" s="446"/>
      <c r="CR8" s="446"/>
      <c r="CS8" s="445"/>
      <c r="CU8" s="447" t="s">
        <v>335</v>
      </c>
      <c r="CV8" s="442"/>
      <c r="CW8" s="454"/>
      <c r="CX8" s="454"/>
      <c r="CY8" s="455"/>
      <c r="DA8" s="447" t="s">
        <v>335</v>
      </c>
      <c r="DB8" s="442"/>
      <c r="DC8" s="454"/>
      <c r="DD8" s="454"/>
      <c r="DE8" s="455"/>
      <c r="DH8" s="452"/>
      <c r="DI8" s="453"/>
      <c r="DJ8" s="454"/>
      <c r="DK8" s="454"/>
      <c r="DL8" s="455"/>
      <c r="DR8" s="465" t="s">
        <v>337</v>
      </c>
      <c r="DS8" s="459">
        <v>5000</v>
      </c>
      <c r="DT8" s="446"/>
      <c r="DU8" s="446"/>
      <c r="DV8" s="445"/>
      <c r="DX8" s="465" t="s">
        <v>337</v>
      </c>
      <c r="DY8" s="459">
        <v>5000</v>
      </c>
      <c r="DZ8" s="446"/>
      <c r="EA8" s="446"/>
      <c r="EB8" s="445"/>
      <c r="ED8" s="465"/>
      <c r="EE8" s="459"/>
      <c r="EF8" s="446"/>
      <c r="EG8" s="446"/>
      <c r="EH8" s="445"/>
    </row>
    <row r="9" spans="2:138" ht="27.75" customHeight="1" x14ac:dyDescent="0.3">
      <c r="B9" s="447" t="s">
        <v>336</v>
      </c>
      <c r="C9" s="1027">
        <f>欣鮮6月薪!E8</f>
        <v>0</v>
      </c>
      <c r="D9" s="443" t="s">
        <v>528</v>
      </c>
      <c r="E9" s="443" t="s">
        <v>101</v>
      </c>
      <c r="F9" s="444" t="s">
        <v>327</v>
      </c>
      <c r="H9" s="1024" t="s">
        <v>336</v>
      </c>
      <c r="I9" s="1025">
        <f>欣鮮6月薪!$E9</f>
        <v>0</v>
      </c>
      <c r="J9" s="1489" t="s">
        <v>63</v>
      </c>
      <c r="K9" s="1490"/>
      <c r="L9" s="1491"/>
      <c r="N9" s="447" t="s">
        <v>337</v>
      </c>
      <c r="O9" s="453">
        <f>欣鮮6月薪!G10</f>
        <v>0</v>
      </c>
      <c r="P9" s="1489" t="s">
        <v>63</v>
      </c>
      <c r="Q9" s="1490"/>
      <c r="R9" s="1491"/>
      <c r="T9" s="452"/>
      <c r="U9" s="453">
        <f>欣鮮6月薪!$E11</f>
        <v>0</v>
      </c>
      <c r="V9" s="1489" t="s">
        <v>63</v>
      </c>
      <c r="W9" s="1490"/>
      <c r="X9" s="1491"/>
      <c r="Z9" s="460" t="s">
        <v>336</v>
      </c>
      <c r="AA9" s="459">
        <f>'欣鮮-艾克爾'!L12</f>
        <v>2000</v>
      </c>
      <c r="AB9" s="1041">
        <v>190</v>
      </c>
      <c r="AC9" s="456" t="e">
        <f>'欣鮮-艾克爾'!F14</f>
        <v>#REF!</v>
      </c>
      <c r="AD9" s="721" t="e">
        <f>+AC9*AB9</f>
        <v>#REF!</v>
      </c>
      <c r="AF9" s="1022" t="s">
        <v>336</v>
      </c>
      <c r="AG9" s="459"/>
      <c r="AH9" s="1034"/>
      <c r="AI9" s="553"/>
      <c r="AJ9" s="1035"/>
      <c r="AL9" s="452"/>
      <c r="AM9" s="459"/>
      <c r="AN9" s="795"/>
      <c r="AO9" s="796"/>
      <c r="AP9" s="797"/>
      <c r="AR9" s="1022" t="s">
        <v>336</v>
      </c>
      <c r="AS9" s="459"/>
      <c r="AT9" s="795"/>
      <c r="AU9" s="796"/>
      <c r="AV9" s="797"/>
      <c r="AX9" s="452"/>
      <c r="AY9" s="459"/>
      <c r="AZ9" s="795" t="s">
        <v>63</v>
      </c>
      <c r="BA9" s="796"/>
      <c r="BB9" s="797"/>
      <c r="BD9" s="1022" t="s">
        <v>336</v>
      </c>
      <c r="BE9" s="459"/>
      <c r="BF9" s="795" t="s">
        <v>430</v>
      </c>
      <c r="BG9" s="796"/>
      <c r="BH9" s="797"/>
      <c r="BJ9" s="452" t="s">
        <v>336</v>
      </c>
      <c r="BK9" s="459"/>
      <c r="BL9" s="795" t="s">
        <v>63</v>
      </c>
      <c r="BM9" s="796"/>
      <c r="BN9" s="797"/>
      <c r="BP9" s="1022" t="s">
        <v>336</v>
      </c>
      <c r="BQ9" s="459"/>
      <c r="BR9" s="795" t="s">
        <v>63</v>
      </c>
      <c r="BS9" s="796"/>
      <c r="BT9" s="797"/>
      <c r="BV9" s="452" t="s">
        <v>336</v>
      </c>
      <c r="BW9" s="459"/>
      <c r="BX9" s="795" t="s">
        <v>63</v>
      </c>
      <c r="BY9" s="796"/>
      <c r="BZ9" s="797"/>
      <c r="CB9" s="452" t="s">
        <v>336</v>
      </c>
      <c r="CC9" s="453"/>
      <c r="CD9" s="795" t="s">
        <v>578</v>
      </c>
      <c r="CE9" s="443" t="s">
        <v>328</v>
      </c>
      <c r="CF9" s="797"/>
      <c r="CI9" s="460"/>
      <c r="CJ9" s="459"/>
      <c r="CK9" s="446"/>
      <c r="CL9" s="446"/>
      <c r="CM9" s="445"/>
      <c r="CO9" s="460"/>
      <c r="CP9" s="459"/>
      <c r="CQ9" s="446"/>
      <c r="CR9" s="446"/>
      <c r="CS9" s="445"/>
      <c r="CU9" s="447" t="s">
        <v>336</v>
      </c>
      <c r="CV9" s="442"/>
      <c r="CW9" s="1489" t="s">
        <v>63</v>
      </c>
      <c r="CX9" s="1490"/>
      <c r="CY9" s="1491"/>
      <c r="DA9" s="447" t="s">
        <v>336</v>
      </c>
      <c r="DB9" s="442"/>
      <c r="DC9" s="1489" t="s">
        <v>63</v>
      </c>
      <c r="DD9" s="1490"/>
      <c r="DE9" s="1491"/>
      <c r="DH9" s="452"/>
      <c r="DI9" s="453"/>
      <c r="DJ9" s="795"/>
      <c r="DK9" s="443"/>
      <c r="DL9" s="797"/>
      <c r="DR9" s="460"/>
      <c r="DS9" s="459"/>
      <c r="DT9" s="446"/>
      <c r="DU9" s="446"/>
      <c r="DV9" s="445"/>
      <c r="DX9" s="460"/>
      <c r="DY9" s="459"/>
      <c r="DZ9" s="446"/>
      <c r="EA9" s="446"/>
      <c r="EB9" s="445"/>
      <c r="ED9" s="460"/>
      <c r="EE9" s="459"/>
      <c r="EF9" s="446"/>
      <c r="EG9" s="446"/>
      <c r="EH9" s="445"/>
    </row>
    <row r="10" spans="2:138" s="468" customFormat="1" ht="27.75" customHeight="1" x14ac:dyDescent="0.3">
      <c r="B10" s="447" t="s">
        <v>337</v>
      </c>
      <c r="C10" s="1027">
        <f>欣鮮6月薪!F8</f>
        <v>0</v>
      </c>
      <c r="D10" s="482">
        <v>2000</v>
      </c>
      <c r="E10" s="482" t="e">
        <f>'欣鮮-艾克爾'!F7</f>
        <v>#REF!</v>
      </c>
      <c r="F10" s="450" t="e">
        <f>D10*E10</f>
        <v>#REF!</v>
      </c>
      <c r="G10" s="462"/>
      <c r="H10" s="1024" t="s">
        <v>337</v>
      </c>
      <c r="I10" s="1025">
        <f>欣鮮6月薪!$F9</f>
        <v>0</v>
      </c>
      <c r="J10" s="466"/>
      <c r="K10" s="466"/>
      <c r="L10" s="467">
        <f>+K10*170</f>
        <v>0</v>
      </c>
      <c r="M10" s="462"/>
      <c r="N10" s="447" t="s">
        <v>536</v>
      </c>
      <c r="O10" s="453">
        <v>1000</v>
      </c>
      <c r="P10" s="464" t="s">
        <v>328</v>
      </c>
      <c r="Q10" s="464" t="s">
        <v>91</v>
      </c>
      <c r="R10" s="470" t="s">
        <v>36</v>
      </c>
      <c r="S10" s="462"/>
      <c r="T10" s="472"/>
      <c r="U10" s="453">
        <f>欣鮮6月薪!$F11</f>
        <v>0</v>
      </c>
      <c r="V10" s="464"/>
      <c r="W10" s="482"/>
      <c r="X10" s="467">
        <f>W10*V10</f>
        <v>0</v>
      </c>
      <c r="Y10" s="462"/>
      <c r="Z10" s="478" t="s">
        <v>337</v>
      </c>
      <c r="AA10" s="459">
        <v>3000</v>
      </c>
      <c r="AB10" s="1498" t="s">
        <v>63</v>
      </c>
      <c r="AC10" s="1499"/>
      <c r="AD10" s="1500"/>
      <c r="AE10" s="462"/>
      <c r="AF10" s="1023" t="s">
        <v>337</v>
      </c>
      <c r="AG10" s="459"/>
      <c r="AH10" s="1501" t="s">
        <v>63</v>
      </c>
      <c r="AI10" s="1502"/>
      <c r="AJ10" s="1503"/>
      <c r="AK10" s="462"/>
      <c r="AL10" s="472"/>
      <c r="AM10" s="459"/>
      <c r="AN10" s="477"/>
      <c r="AO10" s="464"/>
      <c r="AP10" s="476"/>
      <c r="AQ10" s="462"/>
      <c r="AR10" s="1023" t="s">
        <v>337</v>
      </c>
      <c r="AS10" s="459"/>
      <c r="AT10" s="477"/>
      <c r="AU10" s="464"/>
      <c r="AV10" s="476"/>
      <c r="AW10" s="462"/>
      <c r="AX10" s="472"/>
      <c r="AY10" s="459"/>
      <c r="AZ10" s="477"/>
      <c r="BA10" s="464"/>
      <c r="BB10" s="476"/>
      <c r="BC10" s="462"/>
      <c r="BD10" s="1023" t="s">
        <v>337</v>
      </c>
      <c r="BE10" s="459"/>
      <c r="BF10" s="466">
        <f>'欣鮮-艾克爾'!O21</f>
        <v>22</v>
      </c>
      <c r="BG10" s="464">
        <v>100</v>
      </c>
      <c r="BH10" s="476">
        <f>BG10*BF10</f>
        <v>2200</v>
      </c>
      <c r="BI10" s="462"/>
      <c r="BJ10" s="472" t="s">
        <v>337</v>
      </c>
      <c r="BK10" s="459"/>
      <c r="BL10" s="466" t="e">
        <f>'欣鮮-艾克爾'!F23</f>
        <v>#REF!</v>
      </c>
      <c r="BM10" s="464">
        <v>167</v>
      </c>
      <c r="BN10" s="450" t="e">
        <f>+BM10*BL10</f>
        <v>#REF!</v>
      </c>
      <c r="BO10" s="462"/>
      <c r="BP10" s="1023" t="s">
        <v>337</v>
      </c>
      <c r="BQ10" s="459"/>
      <c r="BR10" s="477"/>
      <c r="BS10" s="464"/>
      <c r="BT10" s="476"/>
      <c r="BU10" s="462"/>
      <c r="BV10" s="472" t="s">
        <v>337</v>
      </c>
      <c r="BW10" s="459"/>
      <c r="BX10" s="466">
        <v>3</v>
      </c>
      <c r="BY10" s="464">
        <v>160</v>
      </c>
      <c r="BZ10" s="450">
        <f>+BY10*BX10</f>
        <v>480</v>
      </c>
      <c r="CA10" s="462"/>
      <c r="CB10" s="472" t="s">
        <v>337</v>
      </c>
      <c r="CC10" s="453"/>
      <c r="CD10" s="1040" t="e">
        <f>#REF!</f>
        <v>#REF!</v>
      </c>
      <c r="CE10" s="464">
        <v>192</v>
      </c>
      <c r="CF10" s="476" t="e">
        <f>CE10*CD10</f>
        <v>#REF!</v>
      </c>
      <c r="CG10" s="462"/>
      <c r="CH10" s="483"/>
      <c r="CI10" s="478"/>
      <c r="CJ10" s="479"/>
      <c r="CK10" s="480"/>
      <c r="CL10" s="480"/>
      <c r="CM10" s="481"/>
      <c r="CN10" s="462"/>
      <c r="CO10" s="478"/>
      <c r="CP10" s="479"/>
      <c r="CQ10" s="480"/>
      <c r="CR10" s="480"/>
      <c r="CS10" s="481"/>
      <c r="CT10" s="462"/>
      <c r="CU10" s="465" t="s">
        <v>337</v>
      </c>
      <c r="CV10" s="463">
        <v>6000</v>
      </c>
      <c r="CW10" s="466"/>
      <c r="CX10" s="466"/>
      <c r="CY10" s="476"/>
      <c r="CZ10" s="462"/>
      <c r="DA10" s="465" t="s">
        <v>337</v>
      </c>
      <c r="DB10" s="463"/>
      <c r="DC10" s="473" t="s">
        <v>338</v>
      </c>
      <c r="DD10" s="474" t="s">
        <v>91</v>
      </c>
      <c r="DE10" s="475" t="s">
        <v>327</v>
      </c>
      <c r="DG10" s="462"/>
      <c r="DH10" s="472"/>
      <c r="DI10" s="453"/>
      <c r="DJ10" s="1040"/>
      <c r="DK10" s="464"/>
      <c r="DL10" s="476"/>
      <c r="DM10" s="462"/>
      <c r="DN10" s="462"/>
      <c r="DO10" s="462"/>
      <c r="DP10" s="462"/>
      <c r="DR10" s="478"/>
      <c r="DS10" s="479"/>
      <c r="DT10" s="480"/>
      <c r="DU10" s="480"/>
      <c r="DV10" s="481"/>
      <c r="DX10" s="478"/>
      <c r="DY10" s="479"/>
      <c r="DZ10" s="480"/>
      <c r="EA10" s="480"/>
      <c r="EB10" s="481"/>
      <c r="ED10" s="478"/>
      <c r="EE10" s="479"/>
      <c r="EF10" s="480"/>
      <c r="EG10" s="480"/>
      <c r="EH10" s="481"/>
    </row>
    <row r="11" spans="2:138" s="468" customFormat="1" ht="33.75" customHeight="1" x14ac:dyDescent="0.3">
      <c r="B11" s="1084"/>
      <c r="C11" s="479"/>
      <c r="D11" s="454"/>
      <c r="E11" s="464"/>
      <c r="F11" s="721"/>
      <c r="G11" s="462"/>
      <c r="H11" s="478"/>
      <c r="I11" s="479"/>
      <c r="J11" s="466"/>
      <c r="K11" s="466"/>
      <c r="L11" s="1085"/>
      <c r="M11" s="462"/>
      <c r="N11" s="465"/>
      <c r="O11" s="469"/>
      <c r="P11" s="466">
        <v>190</v>
      </c>
      <c r="Q11" s="466" t="e">
        <f>'欣鮮-艾克爾'!F11</f>
        <v>#REF!</v>
      </c>
      <c r="R11" s="471" t="e">
        <f>+Q11*P11</f>
        <v>#REF!</v>
      </c>
      <c r="S11" s="462"/>
      <c r="T11" s="465"/>
      <c r="U11" s="469"/>
      <c r="V11" s="466"/>
      <c r="W11" s="464"/>
      <c r="X11" s="467"/>
      <c r="Y11" s="462"/>
      <c r="Z11" s="478"/>
      <c r="AA11" s="479"/>
      <c r="AB11" s="1041"/>
      <c r="AC11" s="456">
        <v>0</v>
      </c>
      <c r="AD11" s="721">
        <f>+AC11*AB11</f>
        <v>0</v>
      </c>
      <c r="AE11" s="462"/>
      <c r="AF11" s="465"/>
      <c r="AG11" s="469"/>
      <c r="AH11" s="466"/>
      <c r="AI11" s="466"/>
      <c r="AJ11" s="461">
        <f>+AI11*AH11</f>
        <v>0</v>
      </c>
      <c r="AK11" s="462"/>
      <c r="AL11" s="465"/>
      <c r="AM11" s="469"/>
      <c r="AN11" s="1031"/>
      <c r="AO11" s="464"/>
      <c r="AP11" s="467"/>
      <c r="AQ11" s="462"/>
      <c r="AR11" s="465"/>
      <c r="AS11" s="469"/>
      <c r="AT11" s="466"/>
      <c r="AU11" s="464"/>
      <c r="AV11" s="467"/>
      <c r="AW11" s="462"/>
      <c r="AX11" s="478"/>
      <c r="AY11" s="479"/>
      <c r="AZ11" s="936"/>
      <c r="BA11" s="464"/>
      <c r="BB11" s="467"/>
      <c r="BC11" s="462"/>
      <c r="BD11" s="465"/>
      <c r="BE11" s="469"/>
      <c r="BF11" s="466"/>
      <c r="BG11" s="464"/>
      <c r="BH11" s="467"/>
      <c r="BI11" s="462"/>
      <c r="BJ11" s="465"/>
      <c r="BK11" s="469"/>
      <c r="BL11" s="466"/>
      <c r="BM11" s="464"/>
      <c r="BN11" s="467"/>
      <c r="BO11" s="462"/>
      <c r="BP11" s="465"/>
      <c r="BQ11" s="469"/>
      <c r="BR11" s="466"/>
      <c r="BS11" s="464"/>
      <c r="BT11" s="467"/>
      <c r="BU11" s="462"/>
      <c r="BV11" s="465"/>
      <c r="BW11" s="469"/>
      <c r="BX11" s="466"/>
      <c r="BY11" s="464"/>
      <c r="BZ11" s="467"/>
      <c r="CA11" s="462"/>
      <c r="CB11" s="465"/>
      <c r="CC11" s="469"/>
      <c r="CD11" s="466"/>
      <c r="CE11" s="464"/>
      <c r="CF11" s="476"/>
      <c r="CG11" s="462"/>
      <c r="CH11" s="483"/>
      <c r="CI11" s="465"/>
      <c r="CJ11" s="479"/>
      <c r="CK11" s="466"/>
      <c r="CL11" s="466"/>
      <c r="CM11" s="467"/>
      <c r="CN11" s="462"/>
      <c r="CO11" s="465"/>
      <c r="CP11" s="479"/>
      <c r="CQ11" s="466"/>
      <c r="CR11" s="466"/>
      <c r="CS11" s="467"/>
      <c r="CT11" s="462"/>
      <c r="CU11" s="465" t="s">
        <v>339</v>
      </c>
      <c r="CV11" s="463">
        <v>2000</v>
      </c>
      <c r="CW11" s="466"/>
      <c r="CX11" s="466"/>
      <c r="CY11" s="467"/>
      <c r="CZ11" s="462"/>
      <c r="DA11" s="465"/>
      <c r="DB11" s="469"/>
      <c r="DC11" s="464"/>
      <c r="DD11" s="482"/>
      <c r="DE11" s="484"/>
      <c r="DG11" s="462"/>
      <c r="DH11" s="465"/>
      <c r="DI11" s="469"/>
      <c r="DJ11" s="466"/>
      <c r="DK11" s="464"/>
      <c r="DL11" s="467"/>
      <c r="DM11" s="462"/>
      <c r="DN11" s="462"/>
      <c r="DO11" s="462"/>
      <c r="DP11" s="462"/>
      <c r="DR11" s="465"/>
      <c r="DS11" s="479"/>
      <c r="DT11" s="466"/>
      <c r="DU11" s="466"/>
      <c r="DV11" s="467"/>
      <c r="DX11" s="465"/>
      <c r="DY11" s="479"/>
      <c r="DZ11" s="466"/>
      <c r="EA11" s="466"/>
      <c r="EB11" s="467"/>
      <c r="ED11" s="465"/>
      <c r="EE11" s="479"/>
      <c r="EF11" s="466"/>
      <c r="EG11" s="466"/>
      <c r="EH11" s="467"/>
    </row>
    <row r="12" spans="2:138" ht="33.75" customHeight="1" x14ac:dyDescent="0.3">
      <c r="B12" s="1084"/>
      <c r="C12" s="459"/>
      <c r="D12" s="454"/>
      <c r="E12" s="454"/>
      <c r="F12" s="721"/>
      <c r="H12" s="486"/>
      <c r="I12" s="459"/>
      <c r="J12" s="454"/>
      <c r="K12" s="454"/>
      <c r="L12" s="520"/>
      <c r="N12" s="1084"/>
      <c r="O12" s="479"/>
      <c r="P12" s="454"/>
      <c r="Q12" s="454"/>
      <c r="R12" s="455"/>
      <c r="T12" s="1084"/>
      <c r="U12" s="479"/>
      <c r="V12" s="454"/>
      <c r="W12" s="454"/>
      <c r="X12" s="455"/>
      <c r="Z12" s="881"/>
      <c r="AA12" s="479"/>
      <c r="AB12" s="1043"/>
      <c r="AC12" s="454"/>
      <c r="AD12" s="721"/>
      <c r="AF12" s="881"/>
      <c r="AG12" s="479"/>
      <c r="AH12" s="454"/>
      <c r="AI12" s="454"/>
      <c r="AJ12" s="520"/>
      <c r="AL12" s="937"/>
      <c r="AM12" s="479"/>
      <c r="AN12" s="932"/>
      <c r="AO12" s="454"/>
      <c r="AP12" s="455"/>
      <c r="AR12" s="1084"/>
      <c r="AS12" s="479"/>
      <c r="AT12" s="454"/>
      <c r="AU12" s="454"/>
      <c r="AV12" s="520"/>
      <c r="AX12" s="1084"/>
      <c r="AY12" s="479"/>
      <c r="AZ12" s="454"/>
      <c r="BA12" s="454"/>
      <c r="BB12" s="520"/>
      <c r="BD12" s="1084"/>
      <c r="BE12" s="459"/>
      <c r="BF12" s="454"/>
      <c r="BG12" s="454"/>
      <c r="BH12" s="455"/>
      <c r="BJ12" s="1042"/>
      <c r="BK12" s="479"/>
      <c r="BL12" s="932"/>
      <c r="BM12" s="454"/>
      <c r="BN12" s="455"/>
      <c r="BP12" s="486"/>
      <c r="BQ12" s="442"/>
      <c r="BR12" s="454"/>
      <c r="BS12" s="454"/>
      <c r="BT12" s="455"/>
      <c r="BV12" s="1042"/>
      <c r="BW12" s="479"/>
      <c r="BX12" s="932"/>
      <c r="BY12" s="454"/>
      <c r="BZ12" s="455"/>
      <c r="CB12" s="486"/>
      <c r="CC12" s="442"/>
      <c r="CD12" s="454"/>
      <c r="CE12" s="454"/>
      <c r="CF12" s="455"/>
      <c r="CI12" s="486"/>
      <c r="CJ12" s="442"/>
      <c r="CK12" s="454"/>
      <c r="CL12" s="454"/>
      <c r="CM12" s="455"/>
      <c r="CO12" s="486"/>
      <c r="CP12" s="442"/>
      <c r="CQ12" s="454"/>
      <c r="CR12" s="454"/>
      <c r="CS12" s="455"/>
      <c r="CU12" s="485" t="s">
        <v>340</v>
      </c>
      <c r="CV12" s="463">
        <v>0</v>
      </c>
      <c r="CW12" s="454"/>
      <c r="CX12" s="454"/>
      <c r="CY12" s="455"/>
      <c r="DA12" s="486"/>
      <c r="DB12" s="442"/>
      <c r="DC12" s="454"/>
      <c r="DD12" s="454"/>
      <c r="DE12" s="455"/>
      <c r="DH12" s="486"/>
      <c r="DI12" s="442"/>
      <c r="DJ12" s="454"/>
      <c r="DK12" s="454"/>
      <c r="DL12" s="455"/>
      <c r="DR12" s="486"/>
      <c r="DS12" s="442"/>
      <c r="DT12" s="454"/>
      <c r="DU12" s="454"/>
      <c r="DV12" s="455"/>
      <c r="DX12" s="486"/>
      <c r="DY12" s="442"/>
      <c r="DZ12" s="454"/>
      <c r="EA12" s="454"/>
      <c r="EB12" s="455"/>
      <c r="ED12" s="486"/>
      <c r="EE12" s="442"/>
      <c r="EF12" s="454"/>
      <c r="EG12" s="454"/>
      <c r="EH12" s="455"/>
    </row>
    <row r="13" spans="2:138" ht="33.75" customHeight="1" x14ac:dyDescent="0.3">
      <c r="B13" s="1084"/>
      <c r="C13" s="459"/>
      <c r="D13" s="454"/>
      <c r="E13" s="454"/>
      <c r="F13" s="455"/>
      <c r="H13" s="486"/>
      <c r="I13" s="442"/>
      <c r="J13" s="454"/>
      <c r="K13" s="454"/>
      <c r="L13" s="455"/>
      <c r="N13" s="460"/>
      <c r="O13" s="479"/>
      <c r="P13" s="454"/>
      <c r="Q13" s="454"/>
      <c r="R13" s="455"/>
      <c r="T13" s="486"/>
      <c r="U13" s="442"/>
      <c r="V13" s="454"/>
      <c r="W13" s="454"/>
      <c r="X13" s="455"/>
      <c r="Z13" s="486"/>
      <c r="AA13" s="459"/>
      <c r="AB13" s="454"/>
      <c r="AC13" s="454"/>
      <c r="AD13" s="520"/>
      <c r="AF13" s="486"/>
      <c r="AG13" s="442"/>
      <c r="AH13" s="454"/>
      <c r="AI13" s="454"/>
      <c r="AJ13" s="455"/>
      <c r="AL13" s="486"/>
      <c r="AM13" s="442"/>
      <c r="AN13" s="454"/>
      <c r="AO13" s="454"/>
      <c r="AP13" s="455"/>
      <c r="AR13" s="486"/>
      <c r="AS13" s="442"/>
      <c r="AT13" s="454"/>
      <c r="AU13" s="454"/>
      <c r="AV13" s="455"/>
      <c r="AX13" s="486"/>
      <c r="AY13" s="442"/>
      <c r="AZ13" s="454"/>
      <c r="BA13" s="454"/>
      <c r="BB13" s="455"/>
      <c r="BD13" s="486"/>
      <c r="BE13" s="442"/>
      <c r="BF13" s="454"/>
      <c r="BG13" s="454"/>
      <c r="BH13" s="455"/>
      <c r="BJ13" s="486"/>
      <c r="BK13" s="442"/>
      <c r="BL13" s="454"/>
      <c r="BM13" s="454"/>
      <c r="BN13" s="455"/>
      <c r="BP13" s="486"/>
      <c r="BQ13" s="442"/>
      <c r="BR13" s="454"/>
      <c r="BS13" s="454"/>
      <c r="BT13" s="455"/>
      <c r="BV13" s="486"/>
      <c r="BW13" s="442"/>
      <c r="BX13" s="454"/>
      <c r="BY13" s="454"/>
      <c r="BZ13" s="455"/>
      <c r="CB13" s="486"/>
      <c r="CC13" s="442"/>
      <c r="CD13" s="454"/>
      <c r="CE13" s="454"/>
      <c r="CF13" s="455"/>
      <c r="CI13" s="486"/>
      <c r="CJ13" s="442"/>
      <c r="CK13" s="454"/>
      <c r="CL13" s="454"/>
      <c r="CM13" s="455"/>
      <c r="CO13" s="486"/>
      <c r="CP13" s="442"/>
      <c r="CQ13" s="454"/>
      <c r="CR13" s="454"/>
      <c r="CS13" s="455"/>
      <c r="CU13" s="486"/>
      <c r="CV13" s="442"/>
      <c r="CW13" s="454"/>
      <c r="CX13" s="454"/>
      <c r="CY13" s="455"/>
      <c r="DA13" s="486"/>
      <c r="DB13" s="442"/>
      <c r="DC13" s="454"/>
      <c r="DD13" s="454"/>
      <c r="DE13" s="455"/>
      <c r="DH13" s="486"/>
      <c r="DI13" s="442"/>
      <c r="DJ13" s="454"/>
      <c r="DK13" s="454"/>
      <c r="DL13" s="455"/>
      <c r="DR13" s="486"/>
      <c r="DS13" s="442"/>
      <c r="DT13" s="454"/>
      <c r="DU13" s="454"/>
      <c r="DV13" s="455"/>
      <c r="DX13" s="486"/>
      <c r="DY13" s="442"/>
      <c r="DZ13" s="454"/>
      <c r="EA13" s="454"/>
      <c r="EB13" s="455"/>
      <c r="ED13" s="486"/>
      <c r="EE13" s="442"/>
      <c r="EF13" s="454"/>
      <c r="EG13" s="454"/>
      <c r="EH13" s="455"/>
    </row>
    <row r="14" spans="2:138" ht="27.75" customHeight="1" thickBot="1" x14ac:dyDescent="0.35">
      <c r="B14" s="491" t="s">
        <v>341</v>
      </c>
      <c r="C14" s="1476" t="e">
        <f>SUM(C7:C13,F6)+F10+F11+F12</f>
        <v>#REF!</v>
      </c>
      <c r="D14" s="1477"/>
      <c r="E14" s="1477"/>
      <c r="F14" s="1478"/>
      <c r="H14" s="491" t="s">
        <v>341</v>
      </c>
      <c r="I14" s="1476" t="e">
        <f>SUM(I7:I11,L6:L8,L10:L13)</f>
        <v>#REF!</v>
      </c>
      <c r="J14" s="1477"/>
      <c r="K14" s="1477"/>
      <c r="L14" s="1478"/>
      <c r="N14" s="491" t="s">
        <v>341</v>
      </c>
      <c r="O14" s="1476" t="e">
        <f>SUM(O7:O13)+R11</f>
        <v>#REF!</v>
      </c>
      <c r="P14" s="1477"/>
      <c r="Q14" s="1477"/>
      <c r="R14" s="1478"/>
      <c r="T14" s="491" t="s">
        <v>341</v>
      </c>
      <c r="U14" s="1476" t="e">
        <f>SUM(U7:U12,X6:X8,X10:X13)</f>
        <v>#REF!</v>
      </c>
      <c r="V14" s="1477"/>
      <c r="W14" s="1477"/>
      <c r="X14" s="1478"/>
      <c r="Z14" s="491" t="s">
        <v>341</v>
      </c>
      <c r="AA14" s="1476" t="e">
        <f>SUM(AA7,AA8,AA9,AA10,AD6,AD8,AD9,AD11,AD12,AA11:AA12)</f>
        <v>#REF!</v>
      </c>
      <c r="AB14" s="1477"/>
      <c r="AC14" s="1477"/>
      <c r="AD14" s="1478"/>
      <c r="AF14" s="491" t="s">
        <v>341</v>
      </c>
      <c r="AG14" s="1476" t="e">
        <f>AG7+AI7+AG12</f>
        <v>#REF!</v>
      </c>
      <c r="AH14" s="1477"/>
      <c r="AI14" s="1477"/>
      <c r="AJ14" s="1478"/>
      <c r="AL14" s="491" t="s">
        <v>341</v>
      </c>
      <c r="AM14" s="1476" t="e">
        <f>SUM(AM7:AM12,AP6:AP8,AP10:AP13)</f>
        <v>#REF!</v>
      </c>
      <c r="AN14" s="1477"/>
      <c r="AO14" s="1477"/>
      <c r="AP14" s="1478"/>
      <c r="AR14" s="491" t="s">
        <v>341</v>
      </c>
      <c r="AS14" s="1476">
        <f>SUM(AS7:AS12,AV6:AV8,AV10:AV13)</f>
        <v>20750</v>
      </c>
      <c r="AT14" s="1477"/>
      <c r="AU14" s="1477"/>
      <c r="AV14" s="1478"/>
      <c r="AX14" s="491" t="s">
        <v>341</v>
      </c>
      <c r="AY14" s="1476" t="e">
        <f>SUM(AY7:AY12,BB6:BB8,BB10:BB13)</f>
        <v>#REF!</v>
      </c>
      <c r="AZ14" s="1477"/>
      <c r="BA14" s="1477"/>
      <c r="BB14" s="1478"/>
      <c r="BD14" s="491" t="s">
        <v>341</v>
      </c>
      <c r="BE14" s="1476" t="e">
        <f>SUM(BE7:BE12,BH6:BH8,BH10:BH13)</f>
        <v>#REF!</v>
      </c>
      <c r="BF14" s="1477"/>
      <c r="BG14" s="1477"/>
      <c r="BH14" s="1478"/>
      <c r="BJ14" s="491" t="s">
        <v>341</v>
      </c>
      <c r="BK14" s="1476" t="e">
        <f>SUM(BK7:BK12,BN6:BN8,BN10:BN13)</f>
        <v>#REF!</v>
      </c>
      <c r="BL14" s="1477"/>
      <c r="BM14" s="1477"/>
      <c r="BN14" s="1478"/>
      <c r="BP14" s="491" t="s">
        <v>341</v>
      </c>
      <c r="BQ14" s="1476">
        <f>SUM(BQ7:BQ11,BT6:BT8,BT10:BT13)</f>
        <v>32200</v>
      </c>
      <c r="BR14" s="1477"/>
      <c r="BS14" s="1477"/>
      <c r="BT14" s="1478"/>
      <c r="BV14" s="491" t="s">
        <v>341</v>
      </c>
      <c r="BW14" s="1476">
        <f>SUM(BW7:BW12,BZ6:BZ8,BZ10:BZ13)</f>
        <v>4440</v>
      </c>
      <c r="BX14" s="1477"/>
      <c r="BY14" s="1477"/>
      <c r="BZ14" s="1478"/>
      <c r="CB14" s="491" t="s">
        <v>341</v>
      </c>
      <c r="CC14" s="1476" t="e">
        <f>SUM(CC7:CC11,CF6:CF8,CF10:CF13)</f>
        <v>#REF!</v>
      </c>
      <c r="CD14" s="1477"/>
      <c r="CE14" s="1477"/>
      <c r="CF14" s="1478"/>
      <c r="CI14" s="491" t="s">
        <v>341</v>
      </c>
      <c r="CJ14" s="1476">
        <f>SUM(CJ7:CJ13)</f>
        <v>80000</v>
      </c>
      <c r="CK14" s="1477"/>
      <c r="CL14" s="1477"/>
      <c r="CM14" s="1478"/>
      <c r="CO14" s="491" t="s">
        <v>341</v>
      </c>
      <c r="CP14" s="1476">
        <f>SUM(CP7:CP13)</f>
        <v>28000</v>
      </c>
      <c r="CQ14" s="1477"/>
      <c r="CR14" s="1477"/>
      <c r="CS14" s="1478"/>
      <c r="CU14" s="491" t="s">
        <v>341</v>
      </c>
      <c r="CV14" s="1476">
        <f>SUM(CV7:CV13)</f>
        <v>55000</v>
      </c>
      <c r="CW14" s="1477"/>
      <c r="CX14" s="1477"/>
      <c r="CY14" s="1478"/>
      <c r="DA14" s="491" t="s">
        <v>341</v>
      </c>
      <c r="DB14" s="1476">
        <f>SUM(DB7:DB13)</f>
        <v>2928</v>
      </c>
      <c r="DC14" s="1477"/>
      <c r="DD14" s="1477"/>
      <c r="DE14" s="1478"/>
      <c r="DH14" s="491" t="s">
        <v>341</v>
      </c>
      <c r="DI14" s="1271">
        <f>SUM(DI7:DI11,DL6:DL8,DL10:DL13)</f>
        <v>500</v>
      </c>
      <c r="DJ14" s="1272"/>
      <c r="DK14" s="1272"/>
      <c r="DL14" s="1273"/>
      <c r="DR14" s="491" t="s">
        <v>341</v>
      </c>
      <c r="DS14" s="1476">
        <f>SUM(DS7:DS13)+DV7</f>
        <v>41388</v>
      </c>
      <c r="DT14" s="1477"/>
      <c r="DU14" s="1477"/>
      <c r="DV14" s="1478"/>
      <c r="DX14" s="491" t="s">
        <v>341</v>
      </c>
      <c r="DY14" s="1476">
        <f>SUM(DY7:DY13)+EB7</f>
        <v>41388</v>
      </c>
      <c r="DZ14" s="1477"/>
      <c r="EA14" s="1477"/>
      <c r="EB14" s="1478"/>
      <c r="ED14" s="491" t="s">
        <v>341</v>
      </c>
      <c r="EE14" s="1476">
        <f>SUM(EE7:EE13)+EH7</f>
        <v>3000</v>
      </c>
      <c r="EF14" s="1477"/>
      <c r="EG14" s="1477"/>
      <c r="EH14" s="1478"/>
    </row>
    <row r="15" spans="2:138" ht="27.75" customHeight="1" thickTop="1" x14ac:dyDescent="0.3">
      <c r="B15" s="1492" t="s">
        <v>342</v>
      </c>
      <c r="C15" s="1493"/>
      <c r="D15" s="1493"/>
      <c r="E15" s="1493"/>
      <c r="F15" s="1494"/>
      <c r="H15" s="1492" t="s">
        <v>342</v>
      </c>
      <c r="I15" s="1493"/>
      <c r="J15" s="1493"/>
      <c r="K15" s="1493"/>
      <c r="L15" s="1494"/>
      <c r="N15" s="1492" t="s">
        <v>342</v>
      </c>
      <c r="O15" s="1493"/>
      <c r="P15" s="1493"/>
      <c r="Q15" s="1493"/>
      <c r="R15" s="1494"/>
      <c r="T15" s="1492" t="s">
        <v>342</v>
      </c>
      <c r="U15" s="1493"/>
      <c r="V15" s="1493"/>
      <c r="W15" s="1493"/>
      <c r="X15" s="1494"/>
      <c r="Z15" s="1492" t="s">
        <v>342</v>
      </c>
      <c r="AA15" s="1493"/>
      <c r="AB15" s="1493"/>
      <c r="AC15" s="1493"/>
      <c r="AD15" s="1494"/>
      <c r="AF15" s="1492" t="s">
        <v>342</v>
      </c>
      <c r="AG15" s="1493"/>
      <c r="AH15" s="1493"/>
      <c r="AI15" s="1493"/>
      <c r="AJ15" s="1494"/>
      <c r="AL15" s="798" t="s">
        <v>342</v>
      </c>
      <c r="AM15" s="799"/>
      <c r="AN15" s="799"/>
      <c r="AO15" s="799"/>
      <c r="AP15" s="800"/>
      <c r="AR15" s="798" t="s">
        <v>342</v>
      </c>
      <c r="AS15" s="799"/>
      <c r="AT15" s="799"/>
      <c r="AU15" s="799"/>
      <c r="AV15" s="800"/>
      <c r="AX15" s="798" t="s">
        <v>342</v>
      </c>
      <c r="AY15" s="799"/>
      <c r="AZ15" s="799"/>
      <c r="BA15" s="799"/>
      <c r="BB15" s="800"/>
      <c r="BD15" s="798" t="s">
        <v>342</v>
      </c>
      <c r="BE15" s="799"/>
      <c r="BF15" s="799"/>
      <c r="BG15" s="799"/>
      <c r="BH15" s="800"/>
      <c r="BJ15" s="798" t="s">
        <v>342</v>
      </c>
      <c r="BK15" s="799"/>
      <c r="BL15" s="799"/>
      <c r="BM15" s="799"/>
      <c r="BN15" s="800"/>
      <c r="BP15" s="798" t="s">
        <v>342</v>
      </c>
      <c r="BQ15" s="799"/>
      <c r="BR15" s="799"/>
      <c r="BS15" s="799"/>
      <c r="BT15" s="800"/>
      <c r="BV15" s="798" t="s">
        <v>342</v>
      </c>
      <c r="BW15" s="799"/>
      <c r="BX15" s="799"/>
      <c r="BY15" s="799"/>
      <c r="BZ15" s="800"/>
      <c r="CB15" s="798" t="s">
        <v>342</v>
      </c>
      <c r="CC15" s="799"/>
      <c r="CD15" s="799"/>
      <c r="CE15" s="799"/>
      <c r="CF15" s="800"/>
      <c r="CI15" s="1492" t="s">
        <v>342</v>
      </c>
      <c r="CJ15" s="1493"/>
      <c r="CK15" s="1493"/>
      <c r="CL15" s="1493"/>
      <c r="CM15" s="1494"/>
      <c r="CO15" s="1492" t="s">
        <v>342</v>
      </c>
      <c r="CP15" s="1493"/>
      <c r="CQ15" s="1493"/>
      <c r="CR15" s="1493"/>
      <c r="CS15" s="1494"/>
      <c r="CU15" s="1492" t="s">
        <v>342</v>
      </c>
      <c r="CV15" s="1493"/>
      <c r="CW15" s="1493"/>
      <c r="CX15" s="1493"/>
      <c r="CY15" s="1494"/>
      <c r="DA15" s="1492" t="s">
        <v>342</v>
      </c>
      <c r="DB15" s="1493"/>
      <c r="DC15" s="1493"/>
      <c r="DD15" s="1493"/>
      <c r="DE15" s="1494"/>
      <c r="DH15" s="798" t="s">
        <v>342</v>
      </c>
      <c r="DI15" s="799"/>
      <c r="DJ15" s="799"/>
      <c r="DK15" s="799"/>
      <c r="DL15" s="800"/>
      <c r="DR15" s="1492" t="s">
        <v>342</v>
      </c>
      <c r="DS15" s="1493"/>
      <c r="DT15" s="1493"/>
      <c r="DU15" s="1493"/>
      <c r="DV15" s="1494"/>
      <c r="DX15" s="1492" t="s">
        <v>342</v>
      </c>
      <c r="DY15" s="1493"/>
      <c r="DZ15" s="1493"/>
      <c r="EA15" s="1493"/>
      <c r="EB15" s="1494"/>
      <c r="ED15" s="1492" t="s">
        <v>342</v>
      </c>
      <c r="EE15" s="1493"/>
      <c r="EF15" s="1493"/>
      <c r="EG15" s="1493"/>
      <c r="EH15" s="1494"/>
    </row>
    <row r="16" spans="2:138" ht="27.75" customHeight="1" x14ac:dyDescent="0.3">
      <c r="B16" s="486" t="s">
        <v>284</v>
      </c>
      <c r="C16" s="459">
        <f>欣鮮6月薪!$K$8</f>
        <v>277</v>
      </c>
      <c r="D16" s="454"/>
      <c r="E16" s="454"/>
      <c r="F16" s="492"/>
      <c r="H16" s="493" t="s">
        <v>284</v>
      </c>
      <c r="I16" s="442"/>
      <c r="J16" s="454"/>
      <c r="K16" s="454"/>
      <c r="L16" s="492"/>
      <c r="N16" s="486" t="s">
        <v>284</v>
      </c>
      <c r="O16" s="459">
        <f>欣鮮6月薪!$K10</f>
        <v>500</v>
      </c>
      <c r="P16" s="454"/>
      <c r="Q16" s="454"/>
      <c r="R16" s="492"/>
      <c r="T16" s="486" t="s">
        <v>284</v>
      </c>
      <c r="U16" s="459">
        <f>欣鮮6月薪!$K11</f>
        <v>396</v>
      </c>
      <c r="V16" s="454" t="s">
        <v>607</v>
      </c>
      <c r="W16" s="454"/>
      <c r="X16" s="492"/>
      <c r="Z16" s="486" t="s">
        <v>284</v>
      </c>
      <c r="AA16" s="459">
        <f>欣鮮6月薪!$K12</f>
        <v>1002</v>
      </c>
      <c r="AB16" s="454" t="s">
        <v>609</v>
      </c>
      <c r="AC16" s="454"/>
      <c r="AD16" s="492"/>
      <c r="AF16" s="486" t="s">
        <v>284</v>
      </c>
      <c r="AG16" s="459">
        <f>欣鮮6月薪!K13</f>
        <v>0</v>
      </c>
      <c r="AH16" s="454"/>
      <c r="AI16" s="454"/>
      <c r="AJ16" s="492"/>
      <c r="AL16" s="486" t="s">
        <v>284</v>
      </c>
      <c r="AM16" s="459">
        <f>欣鮮6月薪!K14</f>
        <v>277</v>
      </c>
      <c r="AN16" s="454"/>
      <c r="AO16" s="454"/>
      <c r="AP16" s="492"/>
      <c r="AR16" s="486" t="s">
        <v>284</v>
      </c>
      <c r="AS16" s="459">
        <v>476</v>
      </c>
      <c r="AT16" s="454" t="s">
        <v>607</v>
      </c>
      <c r="AU16" s="454"/>
      <c r="AV16" s="492"/>
      <c r="AX16" s="486" t="s">
        <v>284</v>
      </c>
      <c r="AY16" s="459">
        <v>277</v>
      </c>
      <c r="AZ16" s="454"/>
      <c r="BA16" s="454"/>
      <c r="BB16" s="492"/>
      <c r="BD16" s="486" t="s">
        <v>284</v>
      </c>
      <c r="BE16" s="459">
        <f>欣鮮6月薪!K17</f>
        <v>577</v>
      </c>
      <c r="BF16" s="454" t="s">
        <v>607</v>
      </c>
      <c r="BG16" s="454"/>
      <c r="BH16" s="492"/>
      <c r="BJ16" s="486" t="s">
        <v>284</v>
      </c>
      <c r="BK16" s="459">
        <f>欣鮮6月薪!K18</f>
        <v>758</v>
      </c>
      <c r="BL16" s="454"/>
      <c r="BM16" s="454"/>
      <c r="BN16" s="492"/>
      <c r="BP16" s="486" t="s">
        <v>284</v>
      </c>
      <c r="BQ16" s="458">
        <v>805</v>
      </c>
      <c r="BR16" s="454"/>
      <c r="BS16" s="454"/>
      <c r="BT16" s="492"/>
      <c r="BV16" s="486" t="s">
        <v>284</v>
      </c>
      <c r="BW16" s="459">
        <f>欣鮮6月薪!K20</f>
        <v>0</v>
      </c>
      <c r="BX16" s="454"/>
      <c r="BY16" s="454"/>
      <c r="BZ16" s="492"/>
      <c r="CB16" s="486" t="s">
        <v>284</v>
      </c>
      <c r="CC16" s="459">
        <f>欣鮮6月薪!K21</f>
        <v>460</v>
      </c>
      <c r="CD16" s="454"/>
      <c r="CE16" s="454"/>
      <c r="CF16" s="492"/>
      <c r="CI16" s="486" t="s">
        <v>284</v>
      </c>
      <c r="CJ16" s="442"/>
      <c r="CK16" s="454"/>
      <c r="CL16" s="454"/>
      <c r="CM16" s="492"/>
      <c r="CO16" s="486" t="s">
        <v>284</v>
      </c>
      <c r="CP16" s="442"/>
      <c r="CQ16" s="454"/>
      <c r="CR16" s="454"/>
      <c r="CS16" s="492"/>
      <c r="CU16" s="486"/>
      <c r="CV16" s="442"/>
      <c r="CW16" s="454"/>
      <c r="CX16" s="454"/>
      <c r="CY16" s="492"/>
      <c r="DA16" s="486"/>
      <c r="DB16" s="442"/>
      <c r="DC16" s="454"/>
      <c r="DD16" s="454"/>
      <c r="DE16" s="492"/>
      <c r="DH16" s="486" t="s">
        <v>284</v>
      </c>
      <c r="DI16" s="459"/>
      <c r="DJ16" s="454"/>
      <c r="DK16" s="454"/>
      <c r="DL16" s="492"/>
      <c r="DR16" s="486" t="s">
        <v>284</v>
      </c>
      <c r="DS16" s="442">
        <v>758</v>
      </c>
      <c r="DT16" s="454"/>
      <c r="DU16" s="454"/>
      <c r="DV16" s="492"/>
      <c r="DX16" s="486" t="s">
        <v>284</v>
      </c>
      <c r="DY16" s="442">
        <v>758</v>
      </c>
      <c r="DZ16" s="454"/>
      <c r="EA16" s="454"/>
      <c r="EB16" s="492"/>
      <c r="ED16" s="486" t="s">
        <v>284</v>
      </c>
      <c r="EE16" s="442"/>
      <c r="EF16" s="454"/>
      <c r="EG16" s="454"/>
      <c r="EH16" s="492"/>
    </row>
    <row r="17" spans="2:138" ht="27.75" customHeight="1" x14ac:dyDescent="0.3">
      <c r="B17" s="486" t="s">
        <v>285</v>
      </c>
      <c r="C17" s="459">
        <f>欣鮮6月薪!$L$8</f>
        <v>0</v>
      </c>
      <c r="D17" s="454"/>
      <c r="E17" s="454"/>
      <c r="F17" s="492"/>
      <c r="H17" s="493" t="s">
        <v>285</v>
      </c>
      <c r="I17" s="442"/>
      <c r="J17" s="454"/>
      <c r="K17" s="454"/>
      <c r="L17" s="492"/>
      <c r="N17" s="486" t="s">
        <v>285</v>
      </c>
      <c r="O17" s="459">
        <f>欣鮮6月薪!$L10</f>
        <v>0</v>
      </c>
      <c r="P17" s="454"/>
      <c r="Q17" s="454"/>
      <c r="R17" s="492"/>
      <c r="T17" s="493" t="s">
        <v>285</v>
      </c>
      <c r="U17" s="459"/>
      <c r="V17" s="454"/>
      <c r="W17" s="454"/>
      <c r="X17" s="492"/>
      <c r="Z17" s="486" t="s">
        <v>343</v>
      </c>
      <c r="AA17" s="459">
        <f>欣鮮6月薪!$L12</f>
        <v>1866</v>
      </c>
      <c r="AB17" s="454"/>
      <c r="AC17" s="454"/>
      <c r="AD17" s="492"/>
      <c r="AF17" s="486" t="s">
        <v>285</v>
      </c>
      <c r="AG17" s="459">
        <f>欣鮮6月薪!$L13</f>
        <v>443</v>
      </c>
      <c r="AH17" s="454"/>
      <c r="AI17" s="454"/>
      <c r="AJ17" s="492"/>
      <c r="AL17" s="486" t="s">
        <v>285</v>
      </c>
      <c r="AM17" s="459">
        <f>欣鮮6月薪!L14</f>
        <v>0</v>
      </c>
      <c r="AN17" s="454"/>
      <c r="AO17" s="454"/>
      <c r="AP17" s="492"/>
      <c r="AR17" s="486" t="s">
        <v>285</v>
      </c>
      <c r="AS17" s="459"/>
      <c r="AT17" s="454"/>
      <c r="AU17" s="454"/>
      <c r="AV17" s="492"/>
      <c r="AX17" s="486" t="s">
        <v>285</v>
      </c>
      <c r="AY17" s="459"/>
      <c r="AZ17" s="454"/>
      <c r="BA17" s="454"/>
      <c r="BB17" s="492"/>
      <c r="BD17" s="486" t="s">
        <v>285</v>
      </c>
      <c r="BE17" s="459"/>
      <c r="BF17" s="454"/>
      <c r="BG17" s="454"/>
      <c r="BH17" s="492"/>
      <c r="BJ17" s="486" t="s">
        <v>285</v>
      </c>
      <c r="BK17" s="459">
        <f>欣鮮6月薪!L18</f>
        <v>470</v>
      </c>
      <c r="BL17" s="454"/>
      <c r="BM17" s="454"/>
      <c r="BN17" s="492"/>
      <c r="BP17" s="486" t="s">
        <v>285</v>
      </c>
      <c r="BQ17" s="458">
        <v>522</v>
      </c>
      <c r="BR17" s="454"/>
      <c r="BS17" s="454"/>
      <c r="BT17" s="492"/>
      <c r="BV17" s="486" t="s">
        <v>285</v>
      </c>
      <c r="BW17" s="459">
        <f>欣鮮6月薪!L20</f>
        <v>0</v>
      </c>
      <c r="BX17" s="454"/>
      <c r="BY17" s="454"/>
      <c r="BZ17" s="492"/>
      <c r="CB17" s="486" t="s">
        <v>285</v>
      </c>
      <c r="CC17" s="459">
        <f>欣鮮6月薪!L21</f>
        <v>886</v>
      </c>
      <c r="CD17" s="454"/>
      <c r="CE17" s="454"/>
      <c r="CF17" s="492"/>
      <c r="CI17" s="486" t="s">
        <v>285</v>
      </c>
      <c r="CJ17" s="442"/>
      <c r="CK17" s="454"/>
      <c r="CL17" s="454"/>
      <c r="CM17" s="492"/>
      <c r="CO17" s="486" t="s">
        <v>285</v>
      </c>
      <c r="CP17" s="442"/>
      <c r="CQ17" s="454"/>
      <c r="CR17" s="454"/>
      <c r="CS17" s="492"/>
      <c r="CU17" s="486"/>
      <c r="CV17" s="442"/>
      <c r="CW17" s="454"/>
      <c r="CX17" s="454"/>
      <c r="CY17" s="492"/>
      <c r="DA17" s="486"/>
      <c r="DB17" s="442"/>
      <c r="DC17" s="454"/>
      <c r="DD17" s="454"/>
      <c r="DE17" s="492"/>
      <c r="DH17" s="486" t="s">
        <v>285</v>
      </c>
      <c r="DI17" s="459"/>
      <c r="DJ17" s="454"/>
      <c r="DK17" s="454"/>
      <c r="DL17" s="492"/>
      <c r="DR17" s="486" t="s">
        <v>285</v>
      </c>
      <c r="DS17" s="442">
        <v>470</v>
      </c>
      <c r="DT17" s="454"/>
      <c r="DU17" s="454"/>
      <c r="DV17" s="492"/>
      <c r="DX17" s="486" t="s">
        <v>285</v>
      </c>
      <c r="DY17" s="442">
        <v>470</v>
      </c>
      <c r="DZ17" s="454"/>
      <c r="EA17" s="454"/>
      <c r="EB17" s="492"/>
      <c r="ED17" s="486" t="s">
        <v>285</v>
      </c>
      <c r="EE17" s="442"/>
      <c r="EF17" s="454"/>
      <c r="EG17" s="454"/>
      <c r="EH17" s="492"/>
    </row>
    <row r="18" spans="2:138" ht="27.75" customHeight="1" x14ac:dyDescent="0.3">
      <c r="B18" s="486" t="s">
        <v>286</v>
      </c>
      <c r="C18" s="459">
        <f>欣鮮6月薪!$M$8</f>
        <v>160</v>
      </c>
      <c r="D18" s="454"/>
      <c r="E18" s="454"/>
      <c r="F18" s="492"/>
      <c r="H18" s="486" t="s">
        <v>286</v>
      </c>
      <c r="I18" s="442">
        <f>欣鮮6月薪!M9</f>
        <v>160</v>
      </c>
      <c r="J18" s="454"/>
      <c r="K18" s="454"/>
      <c r="L18" s="492"/>
      <c r="N18" s="486" t="s">
        <v>286</v>
      </c>
      <c r="O18" s="459">
        <f>欣鮮6月薪!$M10</f>
        <v>160</v>
      </c>
      <c r="P18" s="454"/>
      <c r="Q18" s="454"/>
      <c r="R18" s="492"/>
      <c r="T18" s="486" t="s">
        <v>286</v>
      </c>
      <c r="U18" s="459">
        <f>欣鮮6月薪!$M11</f>
        <v>160</v>
      </c>
      <c r="V18" s="454"/>
      <c r="W18" s="454"/>
      <c r="X18" s="492"/>
      <c r="Z18" s="486" t="s">
        <v>286</v>
      </c>
      <c r="AA18" s="459">
        <f>欣鮮6月薪!$M12</f>
        <v>160</v>
      </c>
      <c r="AB18" s="454"/>
      <c r="AC18" s="454"/>
      <c r="AD18" s="492"/>
      <c r="AF18" s="486" t="s">
        <v>286</v>
      </c>
      <c r="AG18" s="459">
        <f>欣鮮6月薪!$M13</f>
        <v>160</v>
      </c>
      <c r="AH18" s="454"/>
      <c r="AI18" s="454"/>
      <c r="AJ18" s="492"/>
      <c r="AL18" s="486" t="s">
        <v>286</v>
      </c>
      <c r="AM18" s="494">
        <f>欣鮮6月薪!M14</f>
        <v>160</v>
      </c>
      <c r="AN18" s="454"/>
      <c r="AO18" s="454"/>
      <c r="AP18" s="492"/>
      <c r="AR18" s="486" t="s">
        <v>286</v>
      </c>
      <c r="AS18" s="494">
        <v>160</v>
      </c>
      <c r="AT18" s="454"/>
      <c r="AU18" s="454"/>
      <c r="AV18" s="492"/>
      <c r="AX18" s="486" t="s">
        <v>286</v>
      </c>
      <c r="AY18" s="494">
        <v>160</v>
      </c>
      <c r="AZ18" s="454"/>
      <c r="BA18" s="454"/>
      <c r="BB18" s="492"/>
      <c r="BD18" s="486" t="s">
        <v>286</v>
      </c>
      <c r="BE18" s="459">
        <f>欣鮮6月薪!M17</f>
        <v>160</v>
      </c>
      <c r="BF18" s="454"/>
      <c r="BG18" s="454"/>
      <c r="BH18" s="492"/>
      <c r="BJ18" s="486" t="s">
        <v>286</v>
      </c>
      <c r="BK18" s="494">
        <v>160</v>
      </c>
      <c r="BL18" s="454"/>
      <c r="BM18" s="454"/>
      <c r="BN18" s="492"/>
      <c r="BP18" s="486" t="s">
        <v>286</v>
      </c>
      <c r="BQ18" s="539">
        <v>123</v>
      </c>
      <c r="BR18" s="454"/>
      <c r="BS18" s="454"/>
      <c r="BT18" s="492"/>
      <c r="BV18" s="486" t="s">
        <v>286</v>
      </c>
      <c r="BW18" s="494">
        <f>欣鮮6月薪!M20</f>
        <v>0</v>
      </c>
      <c r="BX18" s="454"/>
      <c r="BY18" s="454"/>
      <c r="BZ18" s="492"/>
      <c r="CB18" s="486" t="s">
        <v>286</v>
      </c>
      <c r="CC18" s="494">
        <v>160</v>
      </c>
      <c r="CD18" s="454"/>
      <c r="CE18" s="454"/>
      <c r="CF18" s="492"/>
      <c r="CI18" s="486" t="s">
        <v>286</v>
      </c>
      <c r="CJ18" s="442"/>
      <c r="CK18" s="454"/>
      <c r="CL18" s="454"/>
      <c r="CM18" s="492"/>
      <c r="CO18" s="486" t="s">
        <v>286</v>
      </c>
      <c r="CP18" s="442"/>
      <c r="CQ18" s="454"/>
      <c r="CR18" s="454"/>
      <c r="CS18" s="492"/>
      <c r="CU18" s="486"/>
      <c r="CV18" s="442"/>
      <c r="CW18" s="454"/>
      <c r="CX18" s="454"/>
      <c r="CY18" s="492"/>
      <c r="DA18" s="486"/>
      <c r="DB18" s="442"/>
      <c r="DC18" s="454"/>
      <c r="DD18" s="454"/>
      <c r="DE18" s="492"/>
      <c r="DH18" s="486" t="s">
        <v>286</v>
      </c>
      <c r="DI18" s="494"/>
      <c r="DJ18" s="454"/>
      <c r="DK18" s="454"/>
      <c r="DL18" s="492"/>
      <c r="DR18" s="486" t="s">
        <v>286</v>
      </c>
      <c r="DS18" s="442">
        <v>160</v>
      </c>
      <c r="DT18" s="454"/>
      <c r="DU18" s="454"/>
      <c r="DV18" s="492"/>
      <c r="DX18" s="486" t="s">
        <v>286</v>
      </c>
      <c r="DY18" s="442">
        <v>160</v>
      </c>
      <c r="DZ18" s="454"/>
      <c r="EA18" s="454"/>
      <c r="EB18" s="492"/>
      <c r="ED18" s="486" t="s">
        <v>286</v>
      </c>
      <c r="EE18" s="442"/>
      <c r="EF18" s="454"/>
      <c r="EG18" s="454"/>
      <c r="EH18" s="492"/>
    </row>
    <row r="19" spans="2:138" ht="27.75" customHeight="1" x14ac:dyDescent="0.3">
      <c r="B19" s="486"/>
      <c r="C19" s="459"/>
      <c r="D19" s="454"/>
      <c r="E19" s="454"/>
      <c r="F19" s="492"/>
      <c r="H19" s="486"/>
      <c r="I19" s="442"/>
      <c r="J19" s="454"/>
      <c r="K19" s="454"/>
      <c r="L19" s="492"/>
      <c r="N19" s="486"/>
      <c r="O19" s="442"/>
      <c r="P19" s="454"/>
      <c r="Q19" s="454"/>
      <c r="R19" s="492"/>
      <c r="T19" s="486"/>
      <c r="U19" s="442"/>
      <c r="V19" s="454"/>
      <c r="W19" s="454"/>
      <c r="X19" s="492"/>
      <c r="Z19" s="1131" t="s">
        <v>287</v>
      </c>
      <c r="AA19" s="488">
        <v>20000</v>
      </c>
      <c r="AB19" s="495"/>
      <c r="AC19" s="495"/>
      <c r="AD19" s="910"/>
      <c r="AF19" s="487"/>
      <c r="AG19" s="488"/>
      <c r="AH19" s="496"/>
      <c r="AI19" s="454"/>
      <c r="AJ19" s="492"/>
      <c r="AL19" s="486"/>
      <c r="AM19" s="442"/>
      <c r="AN19" s="454"/>
      <c r="AO19" s="454"/>
      <c r="AP19" s="492"/>
      <c r="AR19" s="486"/>
      <c r="AS19" s="442"/>
      <c r="AT19" s="454"/>
      <c r="AU19" s="454"/>
      <c r="AV19" s="492"/>
      <c r="AX19" s="486"/>
      <c r="AY19" s="442"/>
      <c r="AZ19" s="454"/>
      <c r="BA19" s="454"/>
      <c r="BB19" s="492"/>
      <c r="BD19" s="486"/>
      <c r="BE19" s="442"/>
      <c r="BF19" s="454"/>
      <c r="BG19" s="454"/>
      <c r="BH19" s="492"/>
      <c r="BJ19" s="912"/>
      <c r="BK19" s="911"/>
      <c r="BL19" s="454"/>
      <c r="BM19" s="454"/>
      <c r="BN19" s="492"/>
      <c r="BP19" s="486"/>
      <c r="BQ19" s="442"/>
      <c r="BR19" s="454"/>
      <c r="BS19" s="454"/>
      <c r="BT19" s="492"/>
      <c r="BV19" s="912"/>
      <c r="BW19" s="911"/>
      <c r="BX19" s="454"/>
      <c r="BY19" s="454"/>
      <c r="BZ19" s="492"/>
      <c r="CB19" s="486"/>
      <c r="CC19" s="488"/>
      <c r="CD19" s="454"/>
      <c r="CE19" s="454"/>
      <c r="CF19" s="492"/>
      <c r="CI19" s="486"/>
      <c r="CJ19" s="442"/>
      <c r="CK19" s="454"/>
      <c r="CL19" s="454"/>
      <c r="CM19" s="492"/>
      <c r="CO19" s="486"/>
      <c r="CP19" s="442"/>
      <c r="CQ19" s="454"/>
      <c r="CR19" s="454"/>
      <c r="CS19" s="492"/>
      <c r="CU19" s="486"/>
      <c r="CV19" s="442"/>
      <c r="CW19" s="454"/>
      <c r="CX19" s="454"/>
      <c r="CY19" s="492"/>
      <c r="DA19" s="486"/>
      <c r="DB19" s="442"/>
      <c r="DC19" s="454"/>
      <c r="DD19" s="454"/>
      <c r="DE19" s="492"/>
      <c r="DH19" s="486"/>
      <c r="DI19" s="488"/>
      <c r="DJ19" s="454"/>
      <c r="DK19" s="454"/>
      <c r="DL19" s="492"/>
      <c r="DR19" s="486"/>
      <c r="DS19" s="442"/>
      <c r="DT19" s="454"/>
      <c r="DU19" s="454"/>
      <c r="DV19" s="492"/>
      <c r="DX19" s="486"/>
      <c r="DY19" s="442"/>
      <c r="DZ19" s="454"/>
      <c r="EA19" s="454"/>
      <c r="EB19" s="492"/>
      <c r="ED19" s="486"/>
      <c r="EE19" s="442"/>
      <c r="EF19" s="454"/>
      <c r="EG19" s="454"/>
      <c r="EH19" s="492"/>
    </row>
    <row r="20" spans="2:138" ht="27.75" customHeight="1" x14ac:dyDescent="0.3">
      <c r="B20" s="486"/>
      <c r="C20" s="442"/>
      <c r="D20" s="454"/>
      <c r="E20" s="454"/>
      <c r="F20" s="492"/>
      <c r="H20" s="486"/>
      <c r="I20" s="442"/>
      <c r="J20" s="454"/>
      <c r="K20" s="454"/>
      <c r="L20" s="492"/>
      <c r="N20" s="486"/>
      <c r="O20" s="442"/>
      <c r="P20" s="454"/>
      <c r="Q20" s="454"/>
      <c r="R20" s="492"/>
      <c r="T20" s="486"/>
      <c r="U20" s="442"/>
      <c r="V20" s="454"/>
      <c r="W20" s="454"/>
      <c r="X20" s="492"/>
      <c r="Z20" s="486"/>
      <c r="AA20" s="442"/>
      <c r="AB20" s="454"/>
      <c r="AC20" s="454"/>
      <c r="AD20" s="492"/>
      <c r="AF20" s="486"/>
      <c r="AG20" s="442"/>
      <c r="AH20" s="454"/>
      <c r="AI20" s="454"/>
      <c r="AJ20" s="492"/>
      <c r="AL20" s="486"/>
      <c r="AM20" s="442"/>
      <c r="AN20" s="454"/>
      <c r="AO20" s="454"/>
      <c r="AP20" s="492"/>
      <c r="AR20" s="486"/>
      <c r="AS20" s="442"/>
      <c r="AT20" s="454"/>
      <c r="AU20" s="454"/>
      <c r="AV20" s="492"/>
      <c r="AX20" s="486"/>
      <c r="AY20" s="442"/>
      <c r="AZ20" s="454"/>
      <c r="BA20" s="454"/>
      <c r="BB20" s="492"/>
      <c r="BD20" s="486"/>
      <c r="BE20" s="442"/>
      <c r="BF20" s="454"/>
      <c r="BG20" s="454"/>
      <c r="BH20" s="492"/>
      <c r="BJ20" s="486"/>
      <c r="BK20" s="442"/>
      <c r="BL20" s="454"/>
      <c r="BM20" s="454"/>
      <c r="BN20" s="492"/>
      <c r="BP20" s="486"/>
      <c r="BQ20" s="442"/>
      <c r="BR20" s="454"/>
      <c r="BS20" s="454"/>
      <c r="BT20" s="492"/>
      <c r="BV20" s="486"/>
      <c r="BW20" s="442"/>
      <c r="BX20" s="454"/>
      <c r="BY20" s="454"/>
      <c r="BZ20" s="492"/>
      <c r="CB20" s="486"/>
      <c r="CC20" s="442"/>
      <c r="CD20" s="454"/>
      <c r="CE20" s="454"/>
      <c r="CF20" s="492"/>
      <c r="CI20" s="486"/>
      <c r="CJ20" s="442"/>
      <c r="CK20" s="454"/>
      <c r="CL20" s="454"/>
      <c r="CM20" s="492"/>
      <c r="CO20" s="486"/>
      <c r="CP20" s="442"/>
      <c r="CQ20" s="454"/>
      <c r="CR20" s="454"/>
      <c r="CS20" s="492"/>
      <c r="CU20" s="486"/>
      <c r="CV20" s="442"/>
      <c r="CW20" s="454"/>
      <c r="CX20" s="454"/>
      <c r="CY20" s="492"/>
      <c r="DA20" s="486"/>
      <c r="DB20" s="442"/>
      <c r="DC20" s="454"/>
      <c r="DD20" s="454"/>
      <c r="DE20" s="492"/>
      <c r="DH20" s="486"/>
      <c r="DI20" s="442"/>
      <c r="DJ20" s="454"/>
      <c r="DK20" s="454"/>
      <c r="DL20" s="492"/>
      <c r="DR20" s="486"/>
      <c r="DS20" s="442"/>
      <c r="DT20" s="454"/>
      <c r="DU20" s="454"/>
      <c r="DV20" s="492"/>
      <c r="DX20" s="486"/>
      <c r="DY20" s="442"/>
      <c r="DZ20" s="454"/>
      <c r="EA20" s="454"/>
      <c r="EB20" s="492"/>
      <c r="ED20" s="486"/>
      <c r="EE20" s="442"/>
      <c r="EF20" s="454"/>
      <c r="EG20" s="454"/>
      <c r="EH20" s="492"/>
    </row>
    <row r="21" spans="2:138" ht="27.75" customHeight="1" x14ac:dyDescent="0.3">
      <c r="B21" s="486"/>
      <c r="C21" s="442"/>
      <c r="D21" s="454"/>
      <c r="E21" s="454"/>
      <c r="F21" s="492"/>
      <c r="H21" s="486"/>
      <c r="I21" s="442"/>
      <c r="J21" s="454"/>
      <c r="K21" s="454"/>
      <c r="L21" s="492"/>
      <c r="N21" s="486"/>
      <c r="O21" s="442"/>
      <c r="P21" s="454"/>
      <c r="Q21" s="454"/>
      <c r="R21" s="492"/>
      <c r="T21" s="486"/>
      <c r="U21" s="442"/>
      <c r="V21" s="454"/>
      <c r="W21" s="454"/>
      <c r="X21" s="492"/>
      <c r="Z21" s="486"/>
      <c r="AA21" s="442"/>
      <c r="AB21" s="1"/>
      <c r="AC21" s="454"/>
      <c r="AD21" s="492"/>
      <c r="AF21" s="486"/>
      <c r="AG21" s="442"/>
      <c r="AH21" s="1"/>
      <c r="AI21" s="454"/>
      <c r="AJ21" s="492"/>
      <c r="AL21" s="486"/>
      <c r="AM21" s="442"/>
      <c r="AN21" s="454"/>
      <c r="AO21" s="454"/>
      <c r="AP21" s="492"/>
      <c r="AR21" s="486"/>
      <c r="AS21" s="442"/>
      <c r="AT21" s="454"/>
      <c r="AU21" s="454"/>
      <c r="AV21" s="492"/>
      <c r="AX21" s="486"/>
      <c r="AY21" s="442"/>
      <c r="AZ21" s="454"/>
      <c r="BA21" s="454"/>
      <c r="BB21" s="492"/>
      <c r="BD21" s="486"/>
      <c r="BE21" s="442"/>
      <c r="BF21" s="454"/>
      <c r="BG21" s="454"/>
      <c r="BH21" s="492"/>
      <c r="BJ21" s="486"/>
      <c r="BK21" s="442"/>
      <c r="BL21" s="454"/>
      <c r="BM21" s="454"/>
      <c r="BN21" s="492"/>
      <c r="BP21" s="486"/>
      <c r="BQ21" s="442"/>
      <c r="BR21" s="454"/>
      <c r="BS21" s="454"/>
      <c r="BT21" s="492"/>
      <c r="BV21" s="486"/>
      <c r="BW21" s="442"/>
      <c r="BX21" s="454"/>
      <c r="BY21" s="454"/>
      <c r="BZ21" s="492"/>
      <c r="CB21" s="486"/>
      <c r="CC21" s="442"/>
      <c r="CD21" s="454"/>
      <c r="CE21" s="454"/>
      <c r="CF21" s="492"/>
      <c r="CI21" s="486"/>
      <c r="CJ21" s="442"/>
      <c r="CK21" s="454"/>
      <c r="CL21" s="454"/>
      <c r="CM21" s="492"/>
      <c r="CO21" s="486"/>
      <c r="CP21" s="442"/>
      <c r="CQ21" s="454"/>
      <c r="CR21" s="454"/>
      <c r="CS21" s="492"/>
      <c r="CU21" s="486"/>
      <c r="CV21" s="442"/>
      <c r="CW21" s="454"/>
      <c r="CX21" s="454"/>
      <c r="CY21" s="492"/>
      <c r="DA21" s="486"/>
      <c r="DB21" s="442"/>
      <c r="DC21" s="454"/>
      <c r="DD21" s="454"/>
      <c r="DE21" s="492"/>
      <c r="DH21" s="486"/>
      <c r="DI21" s="442"/>
      <c r="DJ21" s="454"/>
      <c r="DK21" s="454"/>
      <c r="DL21" s="492"/>
      <c r="DR21" s="486"/>
      <c r="DS21" s="442"/>
      <c r="DT21" s="454"/>
      <c r="DU21" s="454"/>
      <c r="DV21" s="492"/>
      <c r="DX21" s="486"/>
      <c r="DY21" s="442"/>
      <c r="DZ21" s="454"/>
      <c r="EA21" s="454"/>
      <c r="EB21" s="492"/>
      <c r="ED21" s="486"/>
      <c r="EE21" s="442"/>
      <c r="EF21" s="454"/>
      <c r="EG21" s="454"/>
      <c r="EH21" s="492"/>
    </row>
    <row r="22" spans="2:138" ht="27.75" customHeight="1" x14ac:dyDescent="0.3">
      <c r="B22" s="486"/>
      <c r="C22" s="442"/>
      <c r="D22" s="454"/>
      <c r="E22" s="454"/>
      <c r="F22" s="492"/>
      <c r="H22" s="486"/>
      <c r="I22" s="442"/>
      <c r="J22" s="454"/>
      <c r="K22" s="454"/>
      <c r="L22" s="492"/>
      <c r="N22" s="486"/>
      <c r="O22" s="442"/>
      <c r="P22" s="454"/>
      <c r="Q22" s="454"/>
      <c r="R22" s="492"/>
      <c r="T22" s="486"/>
      <c r="U22" s="442"/>
      <c r="V22" s="454"/>
      <c r="W22" s="454"/>
      <c r="X22" s="492"/>
      <c r="Z22" s="486"/>
      <c r="AA22" s="442"/>
      <c r="AB22" s="454"/>
      <c r="AC22" s="454"/>
      <c r="AD22" s="492"/>
      <c r="AF22" s="486"/>
      <c r="AG22" s="442"/>
      <c r="AH22" s="454"/>
      <c r="AI22" s="454"/>
      <c r="AJ22" s="492"/>
      <c r="AL22" s="486"/>
      <c r="AM22" s="442"/>
      <c r="AN22" s="454"/>
      <c r="AO22" s="454"/>
      <c r="AP22" s="492"/>
      <c r="AR22" s="486"/>
      <c r="AS22" s="442"/>
      <c r="AT22" s="454"/>
      <c r="AU22" s="454"/>
      <c r="AV22" s="492"/>
      <c r="AX22" s="486"/>
      <c r="AY22" s="442"/>
      <c r="AZ22" s="454"/>
      <c r="BA22" s="454"/>
      <c r="BB22" s="492"/>
      <c r="BD22" s="486"/>
      <c r="BE22" s="442"/>
      <c r="BF22" s="454"/>
      <c r="BG22" s="454"/>
      <c r="BH22" s="492"/>
      <c r="BJ22" s="486"/>
      <c r="BK22" s="442"/>
      <c r="BL22" s="454"/>
      <c r="BM22" s="454"/>
      <c r="BN22" s="492"/>
      <c r="BP22" s="486"/>
      <c r="BQ22" s="442"/>
      <c r="BR22" s="454"/>
      <c r="BS22" s="454"/>
      <c r="BT22" s="492"/>
      <c r="BV22" s="486"/>
      <c r="BW22" s="442"/>
      <c r="BX22" s="454"/>
      <c r="BY22" s="454"/>
      <c r="BZ22" s="492"/>
      <c r="CB22" s="486"/>
      <c r="CC22" s="442"/>
      <c r="CD22" s="454"/>
      <c r="CE22" s="454"/>
      <c r="CF22" s="492"/>
      <c r="CI22" s="486"/>
      <c r="CJ22" s="442"/>
      <c r="CK22" s="454"/>
      <c r="CL22" s="454"/>
      <c r="CM22" s="492"/>
      <c r="CO22" s="486"/>
      <c r="CP22" s="442"/>
      <c r="CQ22" s="454"/>
      <c r="CR22" s="454"/>
      <c r="CS22" s="492"/>
      <c r="CU22" s="486"/>
      <c r="CV22" s="442"/>
      <c r="CW22" s="454"/>
      <c r="CX22" s="454"/>
      <c r="CY22" s="492"/>
      <c r="DA22" s="486"/>
      <c r="DB22" s="442"/>
      <c r="DC22" s="454"/>
      <c r="DD22" s="454"/>
      <c r="DE22" s="492"/>
      <c r="DH22" s="486"/>
      <c r="DI22" s="442"/>
      <c r="DJ22" s="454"/>
      <c r="DK22" s="454"/>
      <c r="DL22" s="492"/>
      <c r="DR22" s="486"/>
      <c r="DS22" s="442"/>
      <c r="DT22" s="454"/>
      <c r="DU22" s="454"/>
      <c r="DV22" s="492"/>
      <c r="DX22" s="486"/>
      <c r="DY22" s="442"/>
      <c r="DZ22" s="454"/>
      <c r="EA22" s="454"/>
      <c r="EB22" s="492"/>
      <c r="ED22" s="486"/>
      <c r="EE22" s="442"/>
      <c r="EF22" s="454"/>
      <c r="EG22" s="454"/>
      <c r="EH22" s="492"/>
    </row>
    <row r="23" spans="2:138" ht="27.75" customHeight="1" x14ac:dyDescent="0.3">
      <c r="B23" s="441" t="s">
        <v>345</v>
      </c>
      <c r="C23" s="1495">
        <f>SUM(C16:C22)</f>
        <v>437</v>
      </c>
      <c r="D23" s="1496"/>
      <c r="E23" s="1496"/>
      <c r="F23" s="1497"/>
      <c r="H23" s="441" t="s">
        <v>345</v>
      </c>
      <c r="I23" s="1495">
        <f>SUM(I16:I22)</f>
        <v>160</v>
      </c>
      <c r="J23" s="1496"/>
      <c r="K23" s="1496"/>
      <c r="L23" s="1497"/>
      <c r="N23" s="441" t="s">
        <v>345</v>
      </c>
      <c r="O23" s="1495">
        <f>SUM(O16:O22)</f>
        <v>660</v>
      </c>
      <c r="P23" s="1496"/>
      <c r="Q23" s="1496"/>
      <c r="R23" s="1497"/>
      <c r="T23" s="441" t="s">
        <v>345</v>
      </c>
      <c r="U23" s="1495">
        <f>SUM(U16:U22)</f>
        <v>556</v>
      </c>
      <c r="V23" s="1496"/>
      <c r="W23" s="1496"/>
      <c r="X23" s="1497"/>
      <c r="Z23" s="441" t="s">
        <v>345</v>
      </c>
      <c r="AA23" s="1495">
        <f>SUM(AA16:AA22)</f>
        <v>23028</v>
      </c>
      <c r="AB23" s="1496"/>
      <c r="AC23" s="1496"/>
      <c r="AD23" s="1497"/>
      <c r="AF23" s="441" t="s">
        <v>345</v>
      </c>
      <c r="AG23" s="1495">
        <f>SUM(AG16:AG22)</f>
        <v>603</v>
      </c>
      <c r="AH23" s="1496"/>
      <c r="AI23" s="1496"/>
      <c r="AJ23" s="1497"/>
      <c r="AL23" s="441" t="s">
        <v>345</v>
      </c>
      <c r="AM23" s="801">
        <f>SUM(AM16:AM22)</f>
        <v>437</v>
      </c>
      <c r="AN23" s="802"/>
      <c r="AO23" s="802"/>
      <c r="AP23" s="803"/>
      <c r="AR23" s="441" t="s">
        <v>345</v>
      </c>
      <c r="AS23" s="801">
        <f>SUM(AS16:AS22)</f>
        <v>636</v>
      </c>
      <c r="AT23" s="802"/>
      <c r="AU23" s="802"/>
      <c r="AV23" s="803"/>
      <c r="AX23" s="441" t="s">
        <v>345</v>
      </c>
      <c r="AY23" s="801">
        <f>SUM(AY16:AY22)</f>
        <v>437</v>
      </c>
      <c r="AZ23" s="802"/>
      <c r="BA23" s="802"/>
      <c r="BB23" s="803"/>
      <c r="BD23" s="441" t="s">
        <v>345</v>
      </c>
      <c r="BE23" s="801">
        <f>SUM(BE16:BE22)</f>
        <v>737</v>
      </c>
      <c r="BF23" s="802"/>
      <c r="BG23" s="802"/>
      <c r="BH23" s="803"/>
      <c r="BJ23" s="441" t="s">
        <v>345</v>
      </c>
      <c r="BK23" s="801">
        <f>SUM(BK16:BK22)</f>
        <v>1388</v>
      </c>
      <c r="BL23" s="802"/>
      <c r="BM23" s="802"/>
      <c r="BN23" s="803"/>
      <c r="BP23" s="441" t="s">
        <v>345</v>
      </c>
      <c r="BQ23" s="801">
        <f>SUM(BQ16:BQ22)</f>
        <v>1450</v>
      </c>
      <c r="BR23" s="802"/>
      <c r="BS23" s="802"/>
      <c r="BT23" s="803"/>
      <c r="BV23" s="441" t="s">
        <v>345</v>
      </c>
      <c r="BW23" s="801">
        <f>SUM(BW16:BW22)</f>
        <v>0</v>
      </c>
      <c r="BX23" s="802"/>
      <c r="BY23" s="802"/>
      <c r="BZ23" s="803"/>
      <c r="CB23" s="441" t="s">
        <v>345</v>
      </c>
      <c r="CC23" s="801">
        <f>SUM(CC16:CC22)</f>
        <v>1506</v>
      </c>
      <c r="CD23" s="802"/>
      <c r="CE23" s="802"/>
      <c r="CF23" s="803"/>
      <c r="CI23" s="441" t="s">
        <v>345</v>
      </c>
      <c r="CJ23" s="1495">
        <f>SUM(CJ16:CJ22)</f>
        <v>0</v>
      </c>
      <c r="CK23" s="1496"/>
      <c r="CL23" s="1496"/>
      <c r="CM23" s="1497"/>
      <c r="CO23" s="441" t="s">
        <v>345</v>
      </c>
      <c r="CP23" s="1495">
        <f>SUM(CP16:CP22)</f>
        <v>0</v>
      </c>
      <c r="CQ23" s="1496"/>
      <c r="CR23" s="1496"/>
      <c r="CS23" s="1497"/>
      <c r="CU23" s="441" t="s">
        <v>345</v>
      </c>
      <c r="CV23" s="1495">
        <f>SUM(CV16:CV22)</f>
        <v>0</v>
      </c>
      <c r="CW23" s="1496"/>
      <c r="CX23" s="1496"/>
      <c r="CY23" s="1497"/>
      <c r="DA23" s="441" t="s">
        <v>345</v>
      </c>
      <c r="DB23" s="1495">
        <f>SUM(DB16:DB22)</f>
        <v>0</v>
      </c>
      <c r="DC23" s="1496"/>
      <c r="DD23" s="1496"/>
      <c r="DE23" s="1497"/>
      <c r="DH23" s="441" t="s">
        <v>345</v>
      </c>
      <c r="DI23" s="801">
        <f>SUM(DI16:DI22)</f>
        <v>0</v>
      </c>
      <c r="DJ23" s="802"/>
      <c r="DK23" s="802"/>
      <c r="DL23" s="803"/>
      <c r="DR23" s="441" t="s">
        <v>345</v>
      </c>
      <c r="DS23" s="1495">
        <f>SUM(DS16:DS22)</f>
        <v>1388</v>
      </c>
      <c r="DT23" s="1496"/>
      <c r="DU23" s="1496"/>
      <c r="DV23" s="1497"/>
      <c r="DX23" s="441" t="s">
        <v>345</v>
      </c>
      <c r="DY23" s="1495">
        <f>SUM(DY16:DY22)</f>
        <v>1388</v>
      </c>
      <c r="DZ23" s="1496"/>
      <c r="EA23" s="1496"/>
      <c r="EB23" s="1497"/>
      <c r="ED23" s="441" t="s">
        <v>345</v>
      </c>
      <c r="EE23" s="1495">
        <f>SUM(EE16:EE22)</f>
        <v>0</v>
      </c>
      <c r="EF23" s="1496"/>
      <c r="EG23" s="1496"/>
      <c r="EH23" s="1497"/>
    </row>
    <row r="24" spans="2:138" ht="27.75" customHeight="1" x14ac:dyDescent="0.3">
      <c r="B24" s="498" t="s">
        <v>346</v>
      </c>
      <c r="C24" s="1516" t="e">
        <f>SUM(C14-C23)</f>
        <v>#REF!</v>
      </c>
      <c r="D24" s="1517"/>
      <c r="E24" s="1517"/>
      <c r="F24" s="1518"/>
      <c r="G24" s="196"/>
      <c r="H24" s="498" t="s">
        <v>346</v>
      </c>
      <c r="I24" s="1516" t="e">
        <f>SUM(I14-I23)</f>
        <v>#REF!</v>
      </c>
      <c r="J24" s="1517"/>
      <c r="K24" s="1517"/>
      <c r="L24" s="1518"/>
      <c r="M24" s="196"/>
      <c r="N24" s="498" t="s">
        <v>346</v>
      </c>
      <c r="O24" s="1516" t="e">
        <f>SUM(O14-O23)</f>
        <v>#REF!</v>
      </c>
      <c r="P24" s="1517"/>
      <c r="Q24" s="1517"/>
      <c r="R24" s="1518"/>
      <c r="S24" s="196"/>
      <c r="T24" s="498" t="s">
        <v>346</v>
      </c>
      <c r="U24" s="1516" t="e">
        <f>SUM(U14-U23)</f>
        <v>#REF!</v>
      </c>
      <c r="V24" s="1517"/>
      <c r="W24" s="1517"/>
      <c r="X24" s="1518"/>
      <c r="Y24" s="196"/>
      <c r="Z24" s="498" t="s">
        <v>346</v>
      </c>
      <c r="AA24" s="1516" t="e">
        <f>SUM(AA14-AA23)</f>
        <v>#REF!</v>
      </c>
      <c r="AB24" s="1517"/>
      <c r="AC24" s="1517"/>
      <c r="AD24" s="1518"/>
      <c r="AE24" s="196"/>
      <c r="AF24" s="498" t="s">
        <v>346</v>
      </c>
      <c r="AG24" s="1516" t="e">
        <f>SUM(AG14-AG23)</f>
        <v>#REF!</v>
      </c>
      <c r="AH24" s="1517"/>
      <c r="AI24" s="1517"/>
      <c r="AJ24" s="1518"/>
      <c r="AK24" s="196"/>
      <c r="AL24" s="498" t="s">
        <v>346</v>
      </c>
      <c r="AM24" s="804" t="e">
        <f>SUM(AM14-AM23)</f>
        <v>#REF!</v>
      </c>
      <c r="AN24" s="805"/>
      <c r="AO24" s="805"/>
      <c r="AP24" s="806"/>
      <c r="AQ24" s="196"/>
      <c r="AR24" s="498" t="s">
        <v>346</v>
      </c>
      <c r="AS24" s="804">
        <f>SUM(AS14-AS23)</f>
        <v>20114</v>
      </c>
      <c r="AT24" s="805"/>
      <c r="AU24" s="805"/>
      <c r="AV24" s="806"/>
      <c r="AW24" s="196"/>
      <c r="AX24" s="498" t="s">
        <v>346</v>
      </c>
      <c r="AY24" s="804" t="e">
        <f>SUM(AY14-AY23)</f>
        <v>#REF!</v>
      </c>
      <c r="AZ24" s="805"/>
      <c r="BA24" s="805"/>
      <c r="BB24" s="806"/>
      <c r="BC24" s="196"/>
      <c r="BD24" s="498" t="s">
        <v>346</v>
      </c>
      <c r="BE24" s="804" t="e">
        <f>SUM(BE14-BE23)</f>
        <v>#REF!</v>
      </c>
      <c r="BF24" s="805"/>
      <c r="BG24" s="805"/>
      <c r="BH24" s="806"/>
      <c r="BI24" s="196"/>
      <c r="BJ24" s="498" t="s">
        <v>346</v>
      </c>
      <c r="BK24" s="804" t="e">
        <f>SUM(BK14-BK23)</f>
        <v>#REF!</v>
      </c>
      <c r="BL24" s="805"/>
      <c r="BM24" s="805"/>
      <c r="BN24" s="806"/>
      <c r="BO24" s="196"/>
      <c r="BP24" s="498" t="s">
        <v>346</v>
      </c>
      <c r="BQ24" s="804">
        <f>SUM(BQ14-BQ23)</f>
        <v>30750</v>
      </c>
      <c r="BR24" s="805"/>
      <c r="BS24" s="805"/>
      <c r="BT24" s="806"/>
      <c r="BU24" s="196"/>
      <c r="BV24" s="498" t="s">
        <v>346</v>
      </c>
      <c r="BW24" s="804">
        <f>SUM(BW14-BW23)</f>
        <v>4440</v>
      </c>
      <c r="BX24" s="805"/>
      <c r="BY24" s="805"/>
      <c r="BZ24" s="806"/>
      <c r="CA24" s="196"/>
      <c r="CB24" s="498" t="s">
        <v>346</v>
      </c>
      <c r="CC24" s="1532" t="e">
        <f>SUM(CC14-CC23)</f>
        <v>#REF!</v>
      </c>
      <c r="CD24" s="1533"/>
      <c r="CE24" s="1533"/>
      <c r="CF24" s="1534"/>
      <c r="CG24" s="196"/>
      <c r="CH24" s="499"/>
      <c r="CI24" s="498" t="s">
        <v>346</v>
      </c>
      <c r="CJ24" s="1516">
        <f>SUM(CJ14-CJ23)</f>
        <v>80000</v>
      </c>
      <c r="CK24" s="1517"/>
      <c r="CL24" s="1517"/>
      <c r="CM24" s="1518"/>
      <c r="CN24" s="196"/>
      <c r="CO24" s="498" t="s">
        <v>346</v>
      </c>
      <c r="CP24" s="1516">
        <f>SUM(CP14-CP23)</f>
        <v>28000</v>
      </c>
      <c r="CQ24" s="1517"/>
      <c r="CR24" s="1517"/>
      <c r="CS24" s="1518"/>
      <c r="CT24" s="196"/>
      <c r="CU24" s="498" t="s">
        <v>346</v>
      </c>
      <c r="CV24" s="1516">
        <f>SUM(CV14-CV23)</f>
        <v>55000</v>
      </c>
      <c r="CW24" s="1517"/>
      <c r="CX24" s="1517"/>
      <c r="CY24" s="1518"/>
      <c r="CZ24" s="196"/>
      <c r="DA24" s="498" t="s">
        <v>346</v>
      </c>
      <c r="DB24" s="1516">
        <f>SUM(DB14-DB23)</f>
        <v>2928</v>
      </c>
      <c r="DC24" s="1517"/>
      <c r="DD24" s="1517"/>
      <c r="DE24" s="1518"/>
      <c r="DG24" s="196"/>
      <c r="DH24" s="498" t="s">
        <v>346</v>
      </c>
      <c r="DI24" s="1532">
        <f>SUM(DI14-DI23)</f>
        <v>500</v>
      </c>
      <c r="DJ24" s="1533"/>
      <c r="DK24" s="1533"/>
      <c r="DL24" s="1534"/>
      <c r="DM24" s="196"/>
      <c r="DN24" s="196"/>
      <c r="DO24" s="196"/>
      <c r="DP24" s="196"/>
      <c r="DR24" s="498" t="s">
        <v>346</v>
      </c>
      <c r="DS24" s="1516">
        <f>SUM(DS14-DS23)</f>
        <v>40000</v>
      </c>
      <c r="DT24" s="1517"/>
      <c r="DU24" s="1517"/>
      <c r="DV24" s="1518"/>
      <c r="DX24" s="498" t="s">
        <v>346</v>
      </c>
      <c r="DY24" s="1516">
        <f>SUM(DY14-DY23)</f>
        <v>40000</v>
      </c>
      <c r="DZ24" s="1517"/>
      <c r="EA24" s="1517"/>
      <c r="EB24" s="1518"/>
      <c r="ED24" s="498" t="s">
        <v>346</v>
      </c>
      <c r="EE24" s="1516">
        <f>SUM(EE14-EE23)</f>
        <v>3000</v>
      </c>
      <c r="EF24" s="1517"/>
      <c r="EG24" s="1517"/>
      <c r="EH24" s="1518"/>
    </row>
    <row r="25" spans="2:138" s="501" customFormat="1" ht="21" customHeight="1" x14ac:dyDescent="0.3">
      <c r="B25" s="1519" t="s">
        <v>4</v>
      </c>
      <c r="C25" s="1520"/>
      <c r="D25" s="1520"/>
      <c r="E25" s="1520"/>
      <c r="F25" s="1521"/>
      <c r="G25" s="500"/>
      <c r="H25" s="1519" t="s">
        <v>4</v>
      </c>
      <c r="I25" s="1520"/>
      <c r="J25" s="1520"/>
      <c r="K25" s="1520"/>
      <c r="L25" s="1521"/>
      <c r="M25" s="500"/>
      <c r="N25" s="1519" t="s">
        <v>4</v>
      </c>
      <c r="O25" s="1522"/>
      <c r="P25" s="1522"/>
      <c r="Q25" s="1522"/>
      <c r="R25" s="1523"/>
      <c r="S25" s="500"/>
      <c r="T25" s="1519" t="s">
        <v>4</v>
      </c>
      <c r="U25" s="1512"/>
      <c r="V25" s="1512"/>
      <c r="W25" s="1512"/>
      <c r="X25" s="1513"/>
      <c r="Y25" s="500"/>
      <c r="Z25" s="1519" t="s">
        <v>4</v>
      </c>
      <c r="AA25" s="927" t="s">
        <v>608</v>
      </c>
      <c r="AB25" s="927"/>
      <c r="AC25" s="927"/>
      <c r="AD25" s="928"/>
      <c r="AE25" s="500"/>
      <c r="AF25" s="1519" t="s">
        <v>4</v>
      </c>
      <c r="AG25" s="1512"/>
      <c r="AH25" s="1512"/>
      <c r="AI25" s="1512"/>
      <c r="AJ25" s="1513"/>
      <c r="AK25" s="500"/>
      <c r="AL25" s="820" t="s">
        <v>4</v>
      </c>
      <c r="AM25" s="821"/>
      <c r="AN25" s="821"/>
      <c r="AO25" s="821"/>
      <c r="AP25" s="822"/>
      <c r="AQ25" s="500"/>
      <c r="AR25" s="820" t="s">
        <v>4</v>
      </c>
      <c r="AS25" s="821" t="s">
        <v>520</v>
      </c>
      <c r="AT25" s="821"/>
      <c r="AU25" s="821"/>
      <c r="AV25" s="822"/>
      <c r="AW25" s="500"/>
      <c r="AX25" s="820" t="s">
        <v>4</v>
      </c>
      <c r="AY25" s="821"/>
      <c r="AZ25" s="821"/>
      <c r="BA25" s="821"/>
      <c r="BB25" s="822"/>
      <c r="BC25" s="500"/>
      <c r="BD25" s="820" t="s">
        <v>4</v>
      </c>
      <c r="BE25" s="821"/>
      <c r="BF25" s="821"/>
      <c r="BG25" s="821"/>
      <c r="BH25" s="822"/>
      <c r="BI25" s="500"/>
      <c r="BJ25" s="820" t="s">
        <v>4</v>
      </c>
      <c r="BK25" s="1520"/>
      <c r="BL25" s="1520"/>
      <c r="BM25" s="1520"/>
      <c r="BN25" s="1521"/>
      <c r="BO25" s="500"/>
      <c r="BP25" s="820" t="s">
        <v>4</v>
      </c>
      <c r="BQ25" s="1525" t="s">
        <v>672</v>
      </c>
      <c r="BR25" s="1525"/>
      <c r="BS25" s="1525"/>
      <c r="BT25" s="1526"/>
      <c r="BU25" s="500"/>
      <c r="BV25" s="820" t="s">
        <v>4</v>
      </c>
      <c r="BW25" s="1345" t="s">
        <v>673</v>
      </c>
      <c r="BX25" s="1276"/>
      <c r="BY25" s="1276"/>
      <c r="BZ25" s="1277"/>
      <c r="CA25" s="500"/>
      <c r="CB25" s="820" t="s">
        <v>4</v>
      </c>
      <c r="CC25" s="1527" t="s">
        <v>592</v>
      </c>
      <c r="CD25" s="1527"/>
      <c r="CE25" s="1527"/>
      <c r="CF25" s="1528"/>
      <c r="CG25" s="500"/>
      <c r="CH25" s="503"/>
      <c r="CI25" s="1524" t="s">
        <v>4</v>
      </c>
      <c r="CJ25" s="1520"/>
      <c r="CK25" s="1520"/>
      <c r="CL25" s="1520"/>
      <c r="CM25" s="1521"/>
      <c r="CN25" s="500"/>
      <c r="CO25" s="1524" t="s">
        <v>4</v>
      </c>
      <c r="CP25" s="1520"/>
      <c r="CQ25" s="1520"/>
      <c r="CR25" s="1520"/>
      <c r="CS25" s="1521"/>
      <c r="CT25" s="500"/>
      <c r="CU25" s="1519" t="s">
        <v>4</v>
      </c>
      <c r="CV25" s="1520"/>
      <c r="CW25" s="1520"/>
      <c r="CX25" s="1520"/>
      <c r="CY25" s="1521"/>
      <c r="CZ25" s="500"/>
      <c r="DA25" s="1519" t="s">
        <v>4</v>
      </c>
      <c r="DB25" s="1520"/>
      <c r="DC25" s="1520"/>
      <c r="DD25" s="1520"/>
      <c r="DE25" s="1521"/>
      <c r="DG25" s="500"/>
      <c r="DH25" s="820" t="s">
        <v>4</v>
      </c>
      <c r="DI25" s="1520" t="s">
        <v>677</v>
      </c>
      <c r="DJ25" s="1520"/>
      <c r="DK25" s="1520"/>
      <c r="DL25" s="1521"/>
      <c r="DM25" s="500"/>
      <c r="DN25" s="500"/>
      <c r="DO25" s="500"/>
      <c r="DP25" s="500"/>
      <c r="DR25" s="1524" t="s">
        <v>4</v>
      </c>
      <c r="DS25" s="1520"/>
      <c r="DT25" s="1520"/>
      <c r="DU25" s="1520"/>
      <c r="DV25" s="1521"/>
      <c r="DX25" s="1524" t="s">
        <v>4</v>
      </c>
      <c r="DY25" s="1520"/>
      <c r="DZ25" s="1520"/>
      <c r="EA25" s="1520"/>
      <c r="EB25" s="1521"/>
      <c r="ED25" s="1524" t="s">
        <v>4</v>
      </c>
      <c r="EE25" s="1520"/>
      <c r="EF25" s="1520"/>
      <c r="EG25" s="1520"/>
      <c r="EH25" s="1521"/>
    </row>
    <row r="26" spans="2:138" s="501" customFormat="1" ht="21" customHeight="1" x14ac:dyDescent="0.3">
      <c r="B26" s="1519"/>
      <c r="C26" s="1514"/>
      <c r="D26" s="1514"/>
      <c r="E26" s="1514"/>
      <c r="F26" s="1515"/>
      <c r="G26" s="500"/>
      <c r="H26" s="1519"/>
      <c r="I26" s="1514"/>
      <c r="J26" s="1514"/>
      <c r="K26" s="1514"/>
      <c r="L26" s="1515"/>
      <c r="M26" s="500"/>
      <c r="N26" s="1519"/>
      <c r="O26" s="1514"/>
      <c r="P26" s="1514"/>
      <c r="Q26" s="1514"/>
      <c r="R26" s="1515"/>
      <c r="S26" s="500"/>
      <c r="T26" s="1519"/>
      <c r="U26" s="1514"/>
      <c r="V26" s="1514"/>
      <c r="W26" s="1514"/>
      <c r="X26" s="1515"/>
      <c r="Y26" s="500"/>
      <c r="Z26" s="1519"/>
      <c r="AA26" s="1514" t="s">
        <v>656</v>
      </c>
      <c r="AB26" s="1514"/>
      <c r="AC26" s="1514"/>
      <c r="AD26" s="1515"/>
      <c r="AE26" s="500"/>
      <c r="AF26" s="1519"/>
      <c r="AG26" s="1514"/>
      <c r="AH26" s="1514"/>
      <c r="AI26" s="1514"/>
      <c r="AJ26" s="1515"/>
      <c r="AK26" s="500"/>
      <c r="AL26" s="807"/>
      <c r="AM26" s="1514"/>
      <c r="AN26" s="1514"/>
      <c r="AO26" s="1514"/>
      <c r="AP26" s="1515"/>
      <c r="AQ26" s="500"/>
      <c r="AR26" s="807"/>
      <c r="AS26" s="1514"/>
      <c r="AT26" s="1514"/>
      <c r="AU26" s="1514"/>
      <c r="AV26" s="1515"/>
      <c r="AW26" s="500"/>
      <c r="AX26" s="807"/>
      <c r="AY26" s="1514"/>
      <c r="AZ26" s="1514"/>
      <c r="BA26" s="1514"/>
      <c r="BB26" s="1515"/>
      <c r="BC26" s="500"/>
      <c r="BD26" s="807"/>
      <c r="BE26" s="1514"/>
      <c r="BF26" s="1514"/>
      <c r="BG26" s="1514"/>
      <c r="BH26" s="1515"/>
      <c r="BI26" s="500"/>
      <c r="BJ26" s="807"/>
      <c r="BK26" s="1514"/>
      <c r="BL26" s="1514"/>
      <c r="BM26" s="1514"/>
      <c r="BN26" s="1515"/>
      <c r="BO26" s="500"/>
      <c r="BP26" s="807"/>
      <c r="BU26" s="500"/>
      <c r="BV26" s="807"/>
      <c r="BW26" s="1274"/>
      <c r="BX26" s="1274"/>
      <c r="BY26" s="1274"/>
      <c r="BZ26" s="1275"/>
      <c r="CA26" s="500"/>
      <c r="CB26" s="807"/>
      <c r="CC26" s="1529"/>
      <c r="CD26" s="1529"/>
      <c r="CE26" s="1529"/>
      <c r="CF26" s="1530"/>
      <c r="CG26" s="500"/>
      <c r="CH26" s="503"/>
      <c r="CI26" s="1519"/>
      <c r="CJ26" s="1514"/>
      <c r="CK26" s="1514"/>
      <c r="CL26" s="1514"/>
      <c r="CM26" s="1515"/>
      <c r="CN26" s="500"/>
      <c r="CO26" s="1519"/>
      <c r="CP26" s="1514"/>
      <c r="CQ26" s="1514"/>
      <c r="CR26" s="1514"/>
      <c r="CS26" s="1515"/>
      <c r="CT26" s="500"/>
      <c r="CU26" s="1519"/>
      <c r="CV26" s="1514"/>
      <c r="CW26" s="1514"/>
      <c r="CX26" s="1514"/>
      <c r="CY26" s="1515"/>
      <c r="CZ26" s="500"/>
      <c r="DA26" s="1519"/>
      <c r="DB26" s="1514"/>
      <c r="DC26" s="1514"/>
      <c r="DD26" s="1514"/>
      <c r="DE26" s="1515"/>
      <c r="DG26" s="500"/>
      <c r="DH26" s="807"/>
      <c r="DI26" s="1346"/>
      <c r="DJ26" s="1346"/>
      <c r="DK26" s="1346"/>
      <c r="DL26" s="1347"/>
      <c r="DM26" s="500"/>
      <c r="DN26" s="500"/>
      <c r="DO26" s="500"/>
      <c r="DP26" s="500"/>
      <c r="DR26" s="1519"/>
      <c r="DS26" s="1514"/>
      <c r="DT26" s="1514"/>
      <c r="DU26" s="1514"/>
      <c r="DV26" s="1515"/>
      <c r="DX26" s="1519"/>
      <c r="DY26" s="1514"/>
      <c r="DZ26" s="1514"/>
      <c r="EA26" s="1514"/>
      <c r="EB26" s="1515"/>
      <c r="ED26" s="1519"/>
      <c r="EE26" s="1514"/>
      <c r="EF26" s="1514"/>
      <c r="EG26" s="1514"/>
      <c r="EH26" s="1515"/>
    </row>
    <row r="27" spans="2:138" ht="46.5" customHeight="1" x14ac:dyDescent="0.3">
      <c r="B27" s="504"/>
      <c r="C27" s="1506"/>
      <c r="D27" s="1506"/>
      <c r="E27" s="1506"/>
      <c r="F27" s="1507"/>
      <c r="H27" s="504"/>
      <c r="I27" s="1508"/>
      <c r="J27" s="1508"/>
      <c r="K27" s="1508"/>
      <c r="L27" s="1509"/>
      <c r="N27" s="504"/>
      <c r="O27" s="1510"/>
      <c r="P27" s="1510"/>
      <c r="Q27" s="1510"/>
      <c r="R27" s="1511"/>
      <c r="T27" s="504"/>
      <c r="U27" s="1512"/>
      <c r="V27" s="1512"/>
      <c r="W27" s="1512"/>
      <c r="X27" s="1513"/>
      <c r="Z27" s="504"/>
      <c r="AA27" s="1514"/>
      <c r="AB27" s="1514"/>
      <c r="AC27" s="1514"/>
      <c r="AD27" s="1515"/>
      <c r="AF27" s="1057"/>
      <c r="AG27" s="1512"/>
      <c r="AH27" s="1512"/>
      <c r="AI27" s="1512"/>
      <c r="AJ27" s="1513"/>
      <c r="AL27" s="504"/>
      <c r="AM27" s="502"/>
      <c r="AN27" s="502"/>
      <c r="AO27" s="502"/>
      <c r="AP27" s="808"/>
      <c r="AR27" s="504"/>
      <c r="AS27" s="1510"/>
      <c r="AT27" s="1510"/>
      <c r="AU27" s="1510"/>
      <c r="AV27" s="1511"/>
      <c r="AX27" s="504"/>
      <c r="AY27" s="1510"/>
      <c r="AZ27" s="1510"/>
      <c r="BA27" s="1510"/>
      <c r="BB27" s="1511"/>
      <c r="BD27" s="504"/>
      <c r="BE27" s="1512"/>
      <c r="BF27" s="1512"/>
      <c r="BG27" s="1512"/>
      <c r="BH27" s="1513"/>
      <c r="BJ27" s="504"/>
      <c r="BK27" s="1514"/>
      <c r="BL27" s="1514"/>
      <c r="BM27" s="1514"/>
      <c r="BN27" s="1515"/>
      <c r="BP27" s="504"/>
      <c r="BQ27" s="502"/>
      <c r="BR27" s="502"/>
      <c r="BS27" s="502"/>
      <c r="BT27" s="808"/>
      <c r="BV27" s="504"/>
      <c r="BW27" s="1514"/>
      <c r="BX27" s="1514"/>
      <c r="BY27" s="1514"/>
      <c r="BZ27" s="1515"/>
      <c r="CB27" s="504"/>
      <c r="CC27" s="927" t="s">
        <v>593</v>
      </c>
      <c r="CD27" s="1166"/>
      <c r="CE27" s="1166"/>
      <c r="CF27" s="1167"/>
      <c r="CI27" s="504"/>
      <c r="CJ27" s="1508"/>
      <c r="CK27" s="1508"/>
      <c r="CL27" s="1508"/>
      <c r="CM27" s="1509"/>
      <c r="CO27" s="504"/>
      <c r="CP27" s="1508"/>
      <c r="CQ27" s="1508"/>
      <c r="CR27" s="1508"/>
      <c r="CS27" s="1509"/>
      <c r="CU27" s="504"/>
      <c r="CV27" s="1508"/>
      <c r="CW27" s="1508"/>
      <c r="CX27" s="1508"/>
      <c r="CY27" s="1509"/>
      <c r="DA27" s="504"/>
      <c r="DB27" s="1508"/>
      <c r="DC27" s="1508"/>
      <c r="DD27" s="1508"/>
      <c r="DE27" s="1509"/>
      <c r="DH27" s="504"/>
      <c r="DI27" s="1346"/>
      <c r="DJ27" s="1346"/>
      <c r="DK27" s="1346"/>
      <c r="DL27" s="1347"/>
      <c r="DR27" s="504"/>
      <c r="DS27" s="1508"/>
      <c r="DT27" s="1508"/>
      <c r="DU27" s="1508"/>
      <c r="DV27" s="1509"/>
      <c r="DX27" s="504"/>
      <c r="DY27" s="1508"/>
      <c r="DZ27" s="1508"/>
      <c r="EA27" s="1508"/>
      <c r="EB27" s="1509"/>
      <c r="ED27" s="504"/>
      <c r="EE27" s="1508"/>
      <c r="EF27" s="1508"/>
      <c r="EG27" s="1508"/>
      <c r="EH27" s="1509"/>
    </row>
    <row r="28" spans="2:138" ht="30" customHeight="1" thickBot="1" x14ac:dyDescent="0.35">
      <c r="B28" s="505"/>
      <c r="C28" s="1504"/>
      <c r="D28" s="1504"/>
      <c r="E28" s="1504"/>
      <c r="F28" s="1505"/>
      <c r="H28" s="505"/>
      <c r="I28" s="1504"/>
      <c r="J28" s="1504"/>
      <c r="K28" s="1504"/>
      <c r="L28" s="1505"/>
      <c r="N28" s="505"/>
      <c r="O28" s="1504"/>
      <c r="P28" s="1504"/>
      <c r="Q28" s="1504"/>
      <c r="R28" s="1505"/>
      <c r="T28" s="505"/>
      <c r="U28" s="1504"/>
      <c r="V28" s="1504"/>
      <c r="W28" s="1504"/>
      <c r="X28" s="1505"/>
      <c r="Z28" s="505"/>
      <c r="AA28" s="1504"/>
      <c r="AB28" s="1504"/>
      <c r="AC28" s="1504"/>
      <c r="AD28" s="1505"/>
      <c r="AF28" s="505"/>
      <c r="AG28" s="1504"/>
      <c r="AH28" s="1504"/>
      <c r="AI28" s="1504"/>
      <c r="AJ28" s="1505"/>
      <c r="AL28" s="505"/>
      <c r="AM28" s="809"/>
      <c r="AN28" s="809"/>
      <c r="AO28" s="809"/>
      <c r="AP28" s="810"/>
      <c r="AR28" s="505"/>
      <c r="AS28" s="809"/>
      <c r="AT28" s="809"/>
      <c r="AU28" s="809"/>
      <c r="AV28" s="810"/>
      <c r="AX28" s="505"/>
      <c r="AY28" s="809"/>
      <c r="AZ28" s="809"/>
      <c r="BA28" s="809"/>
      <c r="BB28" s="810"/>
      <c r="BD28" s="505"/>
      <c r="BE28" s="809"/>
      <c r="BF28" s="809"/>
      <c r="BG28" s="809"/>
      <c r="BH28" s="810"/>
      <c r="BJ28" s="505"/>
      <c r="BK28" s="809"/>
      <c r="BL28" s="809"/>
      <c r="BM28" s="809"/>
      <c r="BN28" s="810"/>
      <c r="BP28" s="505"/>
      <c r="BQ28" s="809"/>
      <c r="BR28" s="809"/>
      <c r="BS28" s="809"/>
      <c r="BT28" s="810"/>
      <c r="BV28" s="505"/>
      <c r="BW28" s="809"/>
      <c r="BX28" s="809"/>
      <c r="BY28" s="809"/>
      <c r="BZ28" s="810"/>
      <c r="CB28" s="505"/>
      <c r="CC28" s="1168"/>
      <c r="CD28" s="1168"/>
      <c r="CE28" s="1168"/>
      <c r="CF28" s="1169"/>
      <c r="CI28" s="505"/>
      <c r="CJ28" s="1504"/>
      <c r="CK28" s="1504"/>
      <c r="CL28" s="1504"/>
      <c r="CM28" s="1505"/>
      <c r="CO28" s="505"/>
      <c r="CP28" s="1504"/>
      <c r="CQ28" s="1504"/>
      <c r="CR28" s="1504"/>
      <c r="CS28" s="1505"/>
      <c r="CU28" s="505"/>
      <c r="CV28" s="1504"/>
      <c r="CW28" s="1504"/>
      <c r="CX28" s="1504"/>
      <c r="CY28" s="1505"/>
      <c r="DA28" s="505"/>
      <c r="DB28" s="1504"/>
      <c r="DC28" s="1504"/>
      <c r="DD28" s="1504"/>
      <c r="DE28" s="1505"/>
      <c r="DH28" s="505"/>
      <c r="DI28" s="1348"/>
      <c r="DJ28" s="1348"/>
      <c r="DK28" s="1348"/>
      <c r="DL28" s="1349"/>
      <c r="DR28" s="505"/>
      <c r="DS28" s="1504"/>
      <c r="DT28" s="1504"/>
      <c r="DU28" s="1504"/>
      <c r="DV28" s="1505"/>
      <c r="DX28" s="505"/>
      <c r="DY28" s="1504"/>
      <c r="DZ28" s="1504"/>
      <c r="EA28" s="1504"/>
      <c r="EB28" s="1505"/>
      <c r="ED28" s="505"/>
      <c r="EE28" s="1504"/>
      <c r="EF28" s="1504"/>
      <c r="EG28" s="1504"/>
      <c r="EH28" s="1505"/>
    </row>
    <row r="30" spans="2:138" x14ac:dyDescent="0.3">
      <c r="AM30" s="524"/>
      <c r="AS30" s="524"/>
      <c r="AY30" s="524"/>
      <c r="BE30" s="524"/>
      <c r="BK30" s="524"/>
      <c r="BQ30" s="524"/>
      <c r="BW30" s="524"/>
      <c r="CC30" s="524"/>
    </row>
    <row r="31" spans="2:138" x14ac:dyDescent="0.3">
      <c r="BJ31" s="934"/>
      <c r="BL31" s="935"/>
      <c r="BM31" s="1531"/>
      <c r="BN31" s="1531"/>
      <c r="BV31" s="934"/>
      <c r="BX31" s="935"/>
      <c r="BY31" s="1531"/>
      <c r="BZ31" s="1531"/>
    </row>
  </sheetData>
  <mergeCells count="237">
    <mergeCell ref="DY24:EB24"/>
    <mergeCell ref="DX25:DX26"/>
    <mergeCell ref="DY25:EB25"/>
    <mergeCell ref="DY26:EB26"/>
    <mergeCell ref="DY27:EB27"/>
    <mergeCell ref="DY28:EB28"/>
    <mergeCell ref="ED1:EE1"/>
    <mergeCell ref="EG1:EH1"/>
    <mergeCell ref="EG2:EH2"/>
    <mergeCell ref="EG3:EH3"/>
    <mergeCell ref="ED4:EH4"/>
    <mergeCell ref="EF5:EH5"/>
    <mergeCell ref="EE14:EH14"/>
    <mergeCell ref="ED15:EH15"/>
    <mergeCell ref="EE23:EH23"/>
    <mergeCell ref="EE24:EH24"/>
    <mergeCell ref="ED25:ED26"/>
    <mergeCell ref="EE25:EH25"/>
    <mergeCell ref="EE26:EH26"/>
    <mergeCell ref="EE27:EH27"/>
    <mergeCell ref="EE28:EH28"/>
    <mergeCell ref="DX1:DY1"/>
    <mergeCell ref="EA1:EB1"/>
    <mergeCell ref="EA2:EB2"/>
    <mergeCell ref="EA3:EB3"/>
    <mergeCell ref="DX4:EB4"/>
    <mergeCell ref="DZ5:EB5"/>
    <mergeCell ref="DY14:EB14"/>
    <mergeCell ref="DX15:EB15"/>
    <mergeCell ref="DY23:EB23"/>
    <mergeCell ref="DR1:DS1"/>
    <mergeCell ref="DU1:DV1"/>
    <mergeCell ref="DU2:DV2"/>
    <mergeCell ref="DU3:DV3"/>
    <mergeCell ref="DR4:DV4"/>
    <mergeCell ref="DS14:DV14"/>
    <mergeCell ref="DR15:DV15"/>
    <mergeCell ref="DS23:DV23"/>
    <mergeCell ref="DS24:DV24"/>
    <mergeCell ref="DR25:DR26"/>
    <mergeCell ref="DS25:DV25"/>
    <mergeCell ref="DS26:DV26"/>
    <mergeCell ref="DS27:DV27"/>
    <mergeCell ref="DS28:DV28"/>
    <mergeCell ref="DT5:DV5"/>
    <mergeCell ref="CC24:CF24"/>
    <mergeCell ref="AS27:AV27"/>
    <mergeCell ref="AY27:BB27"/>
    <mergeCell ref="BE27:BH27"/>
    <mergeCell ref="DI25:DL25"/>
    <mergeCell ref="CU25:CU26"/>
    <mergeCell ref="CV25:CY25"/>
    <mergeCell ref="DA25:DA26"/>
    <mergeCell ref="DB24:DE24"/>
    <mergeCell ref="DI24:DL24"/>
    <mergeCell ref="CJ24:CM24"/>
    <mergeCell ref="CP24:CS24"/>
    <mergeCell ref="CV24:CY24"/>
    <mergeCell ref="CV14:CY14"/>
    <mergeCell ref="DB14:DE14"/>
    <mergeCell ref="CJ14:CM14"/>
    <mergeCell ref="DA15:DE15"/>
    <mergeCell ref="BM31:BN31"/>
    <mergeCell ref="CJ28:CM28"/>
    <mergeCell ref="CP28:CS28"/>
    <mergeCell ref="CV28:CY28"/>
    <mergeCell ref="DB28:DE28"/>
    <mergeCell ref="DB27:DE27"/>
    <mergeCell ref="CJ27:CM27"/>
    <mergeCell ref="CP27:CS27"/>
    <mergeCell ref="CV27:CY27"/>
    <mergeCell ref="BK27:BN27"/>
    <mergeCell ref="BW27:BZ27"/>
    <mergeCell ref="BY31:BZ31"/>
    <mergeCell ref="DB23:DE23"/>
    <mergeCell ref="CU15:CY15"/>
    <mergeCell ref="AY26:BB26"/>
    <mergeCell ref="BE26:BH26"/>
    <mergeCell ref="CO25:CO26"/>
    <mergeCell ref="DB25:DE25"/>
    <mergeCell ref="BK25:BN26"/>
    <mergeCell ref="CJ25:CM25"/>
    <mergeCell ref="CV26:CY26"/>
    <mergeCell ref="CJ26:CM26"/>
    <mergeCell ref="CP25:CS25"/>
    <mergeCell ref="CI25:CI26"/>
    <mergeCell ref="BQ25:BT25"/>
    <mergeCell ref="CP26:CS26"/>
    <mergeCell ref="DB26:DE26"/>
    <mergeCell ref="CC25:CF26"/>
    <mergeCell ref="B25:B26"/>
    <mergeCell ref="C25:F25"/>
    <mergeCell ref="H25:H26"/>
    <mergeCell ref="I25:L25"/>
    <mergeCell ref="N25:N26"/>
    <mergeCell ref="O25:R25"/>
    <mergeCell ref="T25:T26"/>
    <mergeCell ref="U25:X25"/>
    <mergeCell ref="AS26:AV26"/>
    <mergeCell ref="C26:F26"/>
    <mergeCell ref="AF25:AF26"/>
    <mergeCell ref="I26:L26"/>
    <mergeCell ref="O26:R26"/>
    <mergeCell ref="AM26:AP26"/>
    <mergeCell ref="Z25:Z26"/>
    <mergeCell ref="AG25:AJ25"/>
    <mergeCell ref="U26:X26"/>
    <mergeCell ref="AA26:AD26"/>
    <mergeCell ref="AG26:AJ26"/>
    <mergeCell ref="AB10:AD10"/>
    <mergeCell ref="AH10:AJ10"/>
    <mergeCell ref="DC9:DE9"/>
    <mergeCell ref="CW9:CY9"/>
    <mergeCell ref="V9:X9"/>
    <mergeCell ref="C28:F28"/>
    <mergeCell ref="I28:L28"/>
    <mergeCell ref="O28:R28"/>
    <mergeCell ref="C27:F27"/>
    <mergeCell ref="I27:L27"/>
    <mergeCell ref="O27:R27"/>
    <mergeCell ref="AG27:AJ27"/>
    <mergeCell ref="U27:X27"/>
    <mergeCell ref="AA27:AD27"/>
    <mergeCell ref="U28:X28"/>
    <mergeCell ref="AA28:AD28"/>
    <mergeCell ref="AG28:AJ28"/>
    <mergeCell ref="U24:X24"/>
    <mergeCell ref="AA24:AD24"/>
    <mergeCell ref="AG24:AJ24"/>
    <mergeCell ref="C24:F24"/>
    <mergeCell ref="I24:L24"/>
    <mergeCell ref="O24:R24"/>
    <mergeCell ref="U14:X14"/>
    <mergeCell ref="T15:X15"/>
    <mergeCell ref="Z15:AD15"/>
    <mergeCell ref="CV23:CY23"/>
    <mergeCell ref="U23:X23"/>
    <mergeCell ref="C14:F14"/>
    <mergeCell ref="I14:L14"/>
    <mergeCell ref="O14:R14"/>
    <mergeCell ref="B15:F15"/>
    <mergeCell ref="H15:L15"/>
    <mergeCell ref="CJ23:CM23"/>
    <mergeCell ref="CP23:CS23"/>
    <mergeCell ref="AF15:AJ15"/>
    <mergeCell ref="AA23:AD23"/>
    <mergeCell ref="AG23:AJ23"/>
    <mergeCell ref="N15:R15"/>
    <mergeCell ref="AA14:AD14"/>
    <mergeCell ref="AG14:AJ14"/>
    <mergeCell ref="CP14:CS14"/>
    <mergeCell ref="C23:F23"/>
    <mergeCell ref="I23:L23"/>
    <mergeCell ref="O23:R23"/>
    <mergeCell ref="CI15:CM15"/>
    <mergeCell ref="CO15:CS15"/>
    <mergeCell ref="AM14:AP14"/>
    <mergeCell ref="J9:L9"/>
    <mergeCell ref="P9:R9"/>
    <mergeCell ref="CI1:CJ1"/>
    <mergeCell ref="CL1:CM1"/>
    <mergeCell ref="CO1:CP1"/>
    <mergeCell ref="CR1:CS1"/>
    <mergeCell ref="E3:F3"/>
    <mergeCell ref="K3:L3"/>
    <mergeCell ref="Q3:R3"/>
    <mergeCell ref="CL2:CM2"/>
    <mergeCell ref="CR2:CS2"/>
    <mergeCell ref="W2:X2"/>
    <mergeCell ref="AC2:AD2"/>
    <mergeCell ref="AI2:AJ2"/>
    <mergeCell ref="B4:F4"/>
    <mergeCell ref="H4:L4"/>
    <mergeCell ref="N4:R4"/>
    <mergeCell ref="CE3:CF3"/>
    <mergeCell ref="AU2:AV2"/>
    <mergeCell ref="B1:C1"/>
    <mergeCell ref="H1:I1"/>
    <mergeCell ref="K1:L1"/>
    <mergeCell ref="AL1:AM1"/>
    <mergeCell ref="N1:O1"/>
    <mergeCell ref="DK3:DL3"/>
    <mergeCell ref="AC3:AD3"/>
    <mergeCell ref="W3:X3"/>
    <mergeCell ref="AU3:AV3"/>
    <mergeCell ref="E2:F2"/>
    <mergeCell ref="DH1:DI1"/>
    <mergeCell ref="CX3:CY3"/>
    <mergeCell ref="DD3:DE3"/>
    <mergeCell ref="AO3:AP3"/>
    <mergeCell ref="AI3:AJ3"/>
    <mergeCell ref="CL3:CM3"/>
    <mergeCell ref="CR3:CS3"/>
    <mergeCell ref="BA3:BB3"/>
    <mergeCell ref="BG3:BH3"/>
    <mergeCell ref="BM3:BN3"/>
    <mergeCell ref="K2:L2"/>
    <mergeCell ref="Q2:R2"/>
    <mergeCell ref="DA1:DB1"/>
    <mergeCell ref="DD1:DE1"/>
    <mergeCell ref="CU1:CV1"/>
    <mergeCell ref="CX2:CY2"/>
    <mergeCell ref="DD2:DE2"/>
    <mergeCell ref="DK2:DL2"/>
    <mergeCell ref="E1:F1"/>
    <mergeCell ref="Q1:R1"/>
    <mergeCell ref="CX1:CY1"/>
    <mergeCell ref="AF1:AG1"/>
    <mergeCell ref="AI1:AJ1"/>
    <mergeCell ref="T1:U1"/>
    <mergeCell ref="CB1:CC1"/>
    <mergeCell ref="W1:X1"/>
    <mergeCell ref="Z1:AA1"/>
    <mergeCell ref="AC1:AD1"/>
    <mergeCell ref="CU4:CY4"/>
    <mergeCell ref="DA4:DE4"/>
    <mergeCell ref="T4:X4"/>
    <mergeCell ref="Z4:AD4"/>
    <mergeCell ref="AF4:AJ4"/>
    <mergeCell ref="AO2:AP2"/>
    <mergeCell ref="CE2:CF2"/>
    <mergeCell ref="BY2:BZ2"/>
    <mergeCell ref="BS3:BT3"/>
    <mergeCell ref="BS2:BT2"/>
    <mergeCell ref="BM2:BN2"/>
    <mergeCell ref="BG2:BH2"/>
    <mergeCell ref="BA2:BB2"/>
    <mergeCell ref="BY3:BZ3"/>
    <mergeCell ref="AS14:AV14"/>
    <mergeCell ref="AY14:BB14"/>
    <mergeCell ref="BE14:BH14"/>
    <mergeCell ref="BK14:BN14"/>
    <mergeCell ref="BQ14:BT14"/>
    <mergeCell ref="BW14:BZ14"/>
    <mergeCell ref="CC14:CF14"/>
    <mergeCell ref="CI4:CM4"/>
    <mergeCell ref="CO4:CS4"/>
  </mergeCells>
  <phoneticPr fontId="2" type="noConversion"/>
  <pageMargins left="0.7" right="0.7" top="0.75" bottom="0.75" header="0.3" footer="0.3"/>
  <pageSetup paperSize="9" scale="9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85A7-439F-484B-AC01-0C2596AE2B68}">
  <sheetPr>
    <pageSetUpPr fitToPage="1"/>
  </sheetPr>
  <dimension ref="A1:AL39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5" sqref="O5"/>
    </sheetView>
  </sheetViews>
  <sheetFormatPr defaultColWidth="9" defaultRowHeight="19.8" x14ac:dyDescent="0.4"/>
  <cols>
    <col min="1" max="1" width="7" style="667" customWidth="1"/>
    <col min="2" max="2" width="8.44140625" style="416" customWidth="1"/>
    <col min="3" max="3" width="6.77734375" style="427" customWidth="1"/>
    <col min="4" max="4" width="10.6640625" style="669" customWidth="1"/>
    <col min="5" max="5" width="7.109375" style="428" customWidth="1"/>
    <col min="6" max="8" width="5.88671875" style="428" customWidth="1"/>
    <col min="9" max="9" width="6" style="428" customWidth="1"/>
    <col min="10" max="10" width="5.21875" style="428" customWidth="1"/>
    <col min="11" max="11" width="8.44140625" style="428" customWidth="1"/>
    <col min="12" max="12" width="7.77734375" style="428" bestFit="1" customWidth="1"/>
    <col min="13" max="13" width="8.44140625" style="428" customWidth="1"/>
    <col min="14" max="14" width="7.21875" style="428" customWidth="1"/>
    <col min="15" max="15" width="8.33203125" style="428" customWidth="1"/>
    <col min="16" max="16" width="6.88671875" style="674" customWidth="1"/>
    <col min="17" max="17" width="7.109375" style="428" customWidth="1"/>
    <col min="18" max="18" width="6.21875" style="428" customWidth="1"/>
    <col min="19" max="19" width="7.88671875" style="428" customWidth="1"/>
    <col min="20" max="20" width="10.21875" style="670" customWidth="1"/>
    <col min="21" max="21" width="16.109375" style="675" customWidth="1"/>
    <col min="22" max="22" width="13.6640625" style="676" customWidth="1"/>
    <col min="23" max="23" width="13" style="677" customWidth="1"/>
    <col min="24" max="24" width="2.88671875" style="421" customWidth="1"/>
    <col min="25" max="25" width="8.77734375" style="421" bestFit="1" customWidth="1"/>
    <col min="26" max="26" width="9.33203125" style="421" customWidth="1"/>
    <col min="27" max="27" width="6.109375" style="380" bestFit="1" customWidth="1"/>
    <col min="28" max="28" width="3.6640625" style="380" customWidth="1"/>
    <col min="29" max="29" width="6.21875" style="380" customWidth="1"/>
    <col min="30" max="30" width="6.77734375" style="380" bestFit="1" customWidth="1"/>
    <col min="31" max="31" width="5.33203125" style="380" bestFit="1" customWidth="1"/>
    <col min="32" max="33" width="4.44140625" style="380" bestFit="1" customWidth="1"/>
    <col min="34" max="35" width="3.44140625" style="380" bestFit="1" customWidth="1"/>
    <col min="36" max="36" width="9" style="380" customWidth="1"/>
    <col min="37" max="16384" width="9" style="380"/>
  </cols>
  <sheetData>
    <row r="1" spans="1:38" s="371" customFormat="1" ht="35.25" customHeight="1" thickBot="1" x14ac:dyDescent="0.35">
      <c r="A1" s="558" t="s">
        <v>547</v>
      </c>
      <c r="B1" s="559" t="s">
        <v>40</v>
      </c>
      <c r="C1" s="560">
        <v>6</v>
      </c>
      <c r="D1" s="561" t="s">
        <v>375</v>
      </c>
      <c r="E1" s="562"/>
      <c r="F1" s="563"/>
      <c r="G1" s="563"/>
      <c r="H1" s="564"/>
      <c r="I1" s="563"/>
      <c r="J1" s="563"/>
      <c r="K1" s="563" t="s">
        <v>274</v>
      </c>
      <c r="L1" s="563"/>
      <c r="M1" s="565"/>
      <c r="N1" s="563" t="s">
        <v>275</v>
      </c>
      <c r="O1" s="563"/>
      <c r="P1" s="566"/>
      <c r="Q1" s="565"/>
      <c r="R1" s="565"/>
      <c r="S1" s="565"/>
      <c r="T1" s="567"/>
      <c r="U1" s="568"/>
      <c r="V1" s="569"/>
      <c r="W1" s="570"/>
      <c r="X1" s="376"/>
      <c r="Y1" s="571"/>
      <c r="Z1" s="571"/>
      <c r="AA1" s="572"/>
    </row>
    <row r="2" spans="1:38" ht="25.5" customHeight="1" x14ac:dyDescent="0.3">
      <c r="A2" s="573" t="s">
        <v>45</v>
      </c>
      <c r="B2" s="574" t="s">
        <v>376</v>
      </c>
      <c r="C2" s="575"/>
      <c r="D2" s="1557" t="s">
        <v>276</v>
      </c>
      <c r="E2" s="1559" t="s">
        <v>377</v>
      </c>
      <c r="F2" s="1539" t="s">
        <v>278</v>
      </c>
      <c r="G2" s="1541" t="s">
        <v>280</v>
      </c>
      <c r="H2" s="1541" t="s">
        <v>378</v>
      </c>
      <c r="I2" s="1537" t="s">
        <v>379</v>
      </c>
      <c r="J2" s="1539" t="s">
        <v>380</v>
      </c>
      <c r="K2" s="1541" t="s">
        <v>381</v>
      </c>
      <c r="L2" s="1537" t="s">
        <v>63</v>
      </c>
      <c r="M2" s="1546" t="s">
        <v>382</v>
      </c>
      <c r="N2" s="1541" t="s">
        <v>369</v>
      </c>
      <c r="O2" s="1541" t="s">
        <v>371</v>
      </c>
      <c r="P2" s="1548" t="s">
        <v>286</v>
      </c>
      <c r="Q2" s="1549" t="s">
        <v>344</v>
      </c>
      <c r="R2" s="1539" t="s">
        <v>383</v>
      </c>
      <c r="S2" s="1551" t="s">
        <v>384</v>
      </c>
      <c r="T2" s="576" t="s">
        <v>290</v>
      </c>
      <c r="U2" s="1553" t="s">
        <v>4</v>
      </c>
      <c r="V2" s="1555" t="s">
        <v>385</v>
      </c>
      <c r="W2" s="1561" t="s">
        <v>47</v>
      </c>
      <c r="Y2" s="577" t="s">
        <v>178</v>
      </c>
      <c r="Z2" s="578" t="s">
        <v>386</v>
      </c>
      <c r="AA2" s="91" t="s">
        <v>387</v>
      </c>
      <c r="AB2" s="407"/>
      <c r="AC2" s="407">
        <v>1000</v>
      </c>
      <c r="AD2" s="380">
        <v>500</v>
      </c>
      <c r="AE2" s="380">
        <v>100</v>
      </c>
      <c r="AF2" s="380">
        <v>50</v>
      </c>
      <c r="AG2" s="380">
        <v>10</v>
      </c>
      <c r="AH2" s="380">
        <v>5</v>
      </c>
      <c r="AI2" s="380">
        <v>1</v>
      </c>
      <c r="AK2" s="1310" t="s">
        <v>665</v>
      </c>
    </row>
    <row r="3" spans="1:38" ht="30.75" customHeight="1" thickBot="1" x14ac:dyDescent="0.35">
      <c r="A3" s="579" t="s">
        <v>388</v>
      </c>
      <c r="B3" s="580" t="s">
        <v>389</v>
      </c>
      <c r="C3" s="581"/>
      <c r="D3" s="1558"/>
      <c r="E3" s="1560"/>
      <c r="F3" s="1542"/>
      <c r="G3" s="1542"/>
      <c r="H3" s="1542"/>
      <c r="I3" s="1538"/>
      <c r="J3" s="1540"/>
      <c r="K3" s="1542"/>
      <c r="L3" s="1538"/>
      <c r="M3" s="1547"/>
      <c r="N3" s="1540"/>
      <c r="O3" s="1542"/>
      <c r="P3" s="1542"/>
      <c r="Q3" s="1550"/>
      <c r="R3" s="1542"/>
      <c r="S3" s="1552"/>
      <c r="T3" s="583" t="s">
        <v>296</v>
      </c>
      <c r="U3" s="1554"/>
      <c r="V3" s="1556"/>
      <c r="W3" s="1562"/>
      <c r="Y3" s="584">
        <f>+Z3*AA3</f>
        <v>209000</v>
      </c>
      <c r="Z3" s="585">
        <v>1000</v>
      </c>
      <c r="AA3" s="586">
        <f>+AC3</f>
        <v>209</v>
      </c>
      <c r="AB3" s="407"/>
      <c r="AC3" s="380">
        <f>SUM(AC4:AC40)</f>
        <v>209</v>
      </c>
      <c r="AD3" s="380">
        <f t="shared" ref="AD3:AI3" si="0">SUM(AD4:AD39)</f>
        <v>3</v>
      </c>
      <c r="AE3" s="380">
        <f t="shared" si="0"/>
        <v>11</v>
      </c>
      <c r="AF3" s="380">
        <f t="shared" si="0"/>
        <v>2</v>
      </c>
      <c r="AG3" s="380">
        <f t="shared" si="0"/>
        <v>12</v>
      </c>
      <c r="AH3" s="380">
        <f t="shared" si="0"/>
        <v>2</v>
      </c>
      <c r="AI3" s="380">
        <f t="shared" si="0"/>
        <v>13</v>
      </c>
      <c r="AJ3" s="1312">
        <f>AC3*1000+500*AD3+100*AE3+50*AF3+10*AG3+5*AH3+1*AI3</f>
        <v>211843</v>
      </c>
      <c r="AK3" s="1311" t="e">
        <f>AJ3-W32</f>
        <v>#REF!</v>
      </c>
      <c r="AL3" s="390"/>
    </row>
    <row r="4" spans="1:38" ht="15.75" customHeight="1" x14ac:dyDescent="0.4">
      <c r="A4" s="587" t="s">
        <v>397</v>
      </c>
      <c r="B4" s="588" t="s">
        <v>390</v>
      </c>
      <c r="C4" s="589">
        <v>1</v>
      </c>
      <c r="D4" s="743" t="s">
        <v>391</v>
      </c>
      <c r="E4" s="391">
        <f>工廠!I3</f>
        <v>30000</v>
      </c>
      <c r="F4" s="391">
        <v>1000</v>
      </c>
      <c r="G4" s="391">
        <f>工廠!K3</f>
        <v>3000</v>
      </c>
      <c r="H4" s="391"/>
      <c r="I4" s="385">
        <f>1000+5000</f>
        <v>6000</v>
      </c>
      <c r="J4" s="385"/>
      <c r="K4" s="590"/>
      <c r="L4" s="591" t="e">
        <f>工廠!P3</f>
        <v>#REF!</v>
      </c>
      <c r="M4" s="592" t="e">
        <f>SUM(E4:L4)</f>
        <v>#REF!</v>
      </c>
      <c r="N4" s="391">
        <v>835</v>
      </c>
      <c r="O4" s="391">
        <v>563</v>
      </c>
      <c r="P4" s="412">
        <v>160</v>
      </c>
      <c r="Q4" s="391">
        <v>0</v>
      </c>
      <c r="R4" s="391"/>
      <c r="S4" s="387">
        <f>SUM(N4:R4)</f>
        <v>1558</v>
      </c>
      <c r="T4" s="593" t="e">
        <f>+M4-S4</f>
        <v>#REF!</v>
      </c>
      <c r="U4" s="594"/>
      <c r="V4" s="602" t="e">
        <f>T4-K4-L4</f>
        <v>#REF!</v>
      </c>
      <c r="W4" s="599" t="e">
        <f>K4+L4</f>
        <v>#REF!</v>
      </c>
      <c r="X4" s="737"/>
      <c r="Y4" s="596">
        <f t="shared" ref="Y4:Y9" si="1">+Z4*AA4</f>
        <v>1500</v>
      </c>
      <c r="Z4" s="585">
        <v>500</v>
      </c>
      <c r="AA4" s="586">
        <f>+AD3</f>
        <v>3</v>
      </c>
      <c r="AC4" s="380">
        <v>9</v>
      </c>
      <c r="AD4" s="380">
        <v>1</v>
      </c>
      <c r="AE4" s="380">
        <v>2</v>
      </c>
      <c r="AG4" s="380">
        <v>2</v>
      </c>
      <c r="AI4" s="380">
        <v>1</v>
      </c>
      <c r="AJ4" s="380">
        <f>AC4*1000+500*AD4+100*AE4+50*AF4+10*AG4+5*AH4+1*AI4</f>
        <v>9721</v>
      </c>
      <c r="AK4" s="1311" t="e">
        <f>W4-AJ4</f>
        <v>#REF!</v>
      </c>
    </row>
    <row r="5" spans="1:38" ht="16.5" customHeight="1" x14ac:dyDescent="0.4">
      <c r="A5" s="587" t="s">
        <v>397</v>
      </c>
      <c r="B5" s="588" t="s">
        <v>390</v>
      </c>
      <c r="C5" s="589">
        <v>2</v>
      </c>
      <c r="D5" s="722" t="s">
        <v>393</v>
      </c>
      <c r="E5" s="391">
        <f>工廠!I4</f>
        <v>28113.5</v>
      </c>
      <c r="F5" s="391"/>
      <c r="G5" s="391"/>
      <c r="H5" s="391"/>
      <c r="I5" s="385"/>
      <c r="J5" s="385"/>
      <c r="K5" s="385"/>
      <c r="L5" s="402" t="e">
        <f>工廠!P4</f>
        <v>#REF!</v>
      </c>
      <c r="M5" s="592" t="e">
        <f t="shared" ref="M5:M8" si="2">SUM(E5:L5)</f>
        <v>#REF!</v>
      </c>
      <c r="N5" s="391">
        <v>658</v>
      </c>
      <c r="O5" s="391">
        <v>443</v>
      </c>
      <c r="P5" s="412">
        <v>160</v>
      </c>
      <c r="Q5" s="391"/>
      <c r="R5" s="391"/>
      <c r="S5" s="387">
        <f>SUM(N5:R5)</f>
        <v>1261</v>
      </c>
      <c r="T5" s="593" t="e">
        <f>+M5-S5</f>
        <v>#REF!</v>
      </c>
      <c r="U5" s="594"/>
      <c r="V5" s="598" t="e">
        <f>T5</f>
        <v>#REF!</v>
      </c>
      <c r="W5" s="595"/>
      <c r="X5" s="737"/>
      <c r="Y5" s="596">
        <f t="shared" si="1"/>
        <v>1100</v>
      </c>
      <c r="Z5" s="585">
        <v>100</v>
      </c>
      <c r="AA5" s="586">
        <f>+AE3</f>
        <v>11</v>
      </c>
      <c r="AK5" s="1310"/>
    </row>
    <row r="6" spans="1:38" x14ac:dyDescent="0.4">
      <c r="A6" s="597" t="s">
        <v>304</v>
      </c>
      <c r="B6" s="588" t="s">
        <v>390</v>
      </c>
      <c r="C6" s="589">
        <v>3</v>
      </c>
      <c r="D6" s="723" t="s">
        <v>141</v>
      </c>
      <c r="E6" s="391">
        <v>28590</v>
      </c>
      <c r="F6" s="391"/>
      <c r="G6" s="391"/>
      <c r="H6" s="391"/>
      <c r="I6" s="385"/>
      <c r="J6" s="385"/>
      <c r="K6" s="385"/>
      <c r="L6" s="402" t="e">
        <f>工廠!P5</f>
        <v>#REF!</v>
      </c>
      <c r="M6" s="592" t="e">
        <f t="shared" si="2"/>
        <v>#REF!</v>
      </c>
      <c r="N6" s="391">
        <v>658</v>
      </c>
      <c r="O6" s="391">
        <v>443</v>
      </c>
      <c r="P6" s="412">
        <v>160</v>
      </c>
      <c r="Q6" s="391">
        <v>2500</v>
      </c>
      <c r="R6" s="391"/>
      <c r="S6" s="387">
        <f>SUM(N6:R6)</f>
        <v>3761</v>
      </c>
      <c r="T6" s="593" t="e">
        <f t="shared" ref="T6:T17" si="3">+M6-S6</f>
        <v>#REF!</v>
      </c>
      <c r="U6" s="601"/>
      <c r="V6" s="602"/>
      <c r="W6" s="599" t="e">
        <f>T6</f>
        <v>#REF!</v>
      </c>
      <c r="X6" s="737"/>
      <c r="Y6" s="596">
        <f>+Z6*AA6</f>
        <v>100</v>
      </c>
      <c r="Z6" s="585">
        <v>50</v>
      </c>
      <c r="AA6" s="586">
        <f>+AF3</f>
        <v>2</v>
      </c>
      <c r="AC6" s="380">
        <v>31</v>
      </c>
      <c r="AE6" s="380">
        <v>3</v>
      </c>
      <c r="AG6" s="380">
        <v>3</v>
      </c>
      <c r="AI6" s="380">
        <v>4</v>
      </c>
      <c r="AJ6" s="380">
        <f t="shared" ref="AJ6:AJ10" si="4">AC6*1000+500*AD6+100*AE6+50*AF6+10*AG6+5*AH6+1*AI6</f>
        <v>31334</v>
      </c>
      <c r="AK6" s="1311" t="e">
        <f>W6-AJ6</f>
        <v>#REF!</v>
      </c>
    </row>
    <row r="7" spans="1:38" ht="17.100000000000001" customHeight="1" x14ac:dyDescent="0.4">
      <c r="A7" s="597" t="s">
        <v>304</v>
      </c>
      <c r="B7" s="588" t="s">
        <v>390</v>
      </c>
      <c r="C7" s="589">
        <v>4</v>
      </c>
      <c r="D7" s="743" t="s">
        <v>392</v>
      </c>
      <c r="E7" s="391">
        <v>28590</v>
      </c>
      <c r="F7" s="391"/>
      <c r="G7" s="391"/>
      <c r="H7" s="391"/>
      <c r="I7" s="600"/>
      <c r="J7" s="600"/>
      <c r="K7" s="600"/>
      <c r="L7" s="402" t="e">
        <f>工廠!P6</f>
        <v>#REF!</v>
      </c>
      <c r="M7" s="592" t="e">
        <f t="shared" si="2"/>
        <v>#REF!</v>
      </c>
      <c r="N7" s="391">
        <v>658</v>
      </c>
      <c r="O7" s="391">
        <v>443</v>
      </c>
      <c r="P7" s="412">
        <v>160</v>
      </c>
      <c r="Q7" s="391">
        <v>2500</v>
      </c>
      <c r="R7" s="391"/>
      <c r="S7" s="387">
        <f t="shared" ref="S7:S14" si="5">SUM(N7:R7)</f>
        <v>3761</v>
      </c>
      <c r="T7" s="593" t="e">
        <f t="shared" si="3"/>
        <v>#REF!</v>
      </c>
      <c r="U7" s="594"/>
      <c r="V7" s="598"/>
      <c r="W7" s="599" t="e">
        <f t="shared" ref="W7:W10" si="6">T7</f>
        <v>#REF!</v>
      </c>
      <c r="X7" s="737"/>
      <c r="Y7" s="596">
        <f t="shared" si="1"/>
        <v>120</v>
      </c>
      <c r="Z7" s="585">
        <v>10</v>
      </c>
      <c r="AA7" s="586">
        <f>+AG3</f>
        <v>12</v>
      </c>
      <c r="AC7" s="380">
        <v>28</v>
      </c>
      <c r="AE7" s="380">
        <v>3</v>
      </c>
      <c r="AF7" s="380">
        <v>0</v>
      </c>
      <c r="AH7" s="380">
        <v>1</v>
      </c>
      <c r="AI7" s="380">
        <v>3</v>
      </c>
      <c r="AJ7" s="380">
        <f t="shared" si="4"/>
        <v>28308</v>
      </c>
      <c r="AK7" s="1311" t="e">
        <f t="shared" ref="AK7:AK8" si="7">W7-AJ7</f>
        <v>#REF!</v>
      </c>
    </row>
    <row r="8" spans="1:38" ht="17.100000000000001" customHeight="1" x14ac:dyDescent="0.4">
      <c r="A8" s="597" t="s">
        <v>304</v>
      </c>
      <c r="B8" s="588" t="s">
        <v>390</v>
      </c>
      <c r="C8" s="589">
        <v>5</v>
      </c>
      <c r="D8" s="723" t="s">
        <v>394</v>
      </c>
      <c r="E8" s="391">
        <v>28590</v>
      </c>
      <c r="F8" s="391"/>
      <c r="G8" s="391">
        <f>工廠!$K$7</f>
        <v>500</v>
      </c>
      <c r="H8" s="391"/>
      <c r="I8" s="385"/>
      <c r="J8" s="385"/>
      <c r="K8" s="590" t="e">
        <f>工廠!U7</f>
        <v>#REF!</v>
      </c>
      <c r="L8" s="402" t="e">
        <f>工廠!P7</f>
        <v>#REF!</v>
      </c>
      <c r="M8" s="592" t="e">
        <f t="shared" si="2"/>
        <v>#REF!</v>
      </c>
      <c r="N8" s="391">
        <v>658</v>
      </c>
      <c r="O8" s="391">
        <v>443</v>
      </c>
      <c r="P8" s="412">
        <v>160</v>
      </c>
      <c r="Q8" s="391">
        <v>2500</v>
      </c>
      <c r="R8" s="391"/>
      <c r="S8" s="387">
        <f>SUM(N8:R8)</f>
        <v>3761</v>
      </c>
      <c r="T8" s="593" t="e">
        <f t="shared" si="3"/>
        <v>#REF!</v>
      </c>
      <c r="U8" s="601"/>
      <c r="V8" s="598"/>
      <c r="W8" s="599" t="e">
        <f t="shared" si="6"/>
        <v>#REF!</v>
      </c>
      <c r="X8" s="737"/>
      <c r="Y8" s="596">
        <f t="shared" si="1"/>
        <v>10</v>
      </c>
      <c r="Z8" s="585">
        <v>5</v>
      </c>
      <c r="AA8" s="586">
        <f>+AH3</f>
        <v>2</v>
      </c>
      <c r="AC8" s="380">
        <v>30</v>
      </c>
      <c r="AD8" s="380">
        <v>1</v>
      </c>
      <c r="AE8" s="380">
        <v>1</v>
      </c>
      <c r="AF8" s="380">
        <v>1</v>
      </c>
      <c r="AG8" s="380">
        <v>4</v>
      </c>
      <c r="AH8" s="380">
        <v>1</v>
      </c>
      <c r="AI8" s="380">
        <v>3</v>
      </c>
      <c r="AJ8" s="380">
        <f t="shared" si="4"/>
        <v>30698</v>
      </c>
      <c r="AK8" s="1311" t="e">
        <f t="shared" si="7"/>
        <v>#REF!</v>
      </c>
    </row>
    <row r="9" spans="1:38" ht="18.75" customHeight="1" x14ac:dyDescent="0.4">
      <c r="A9" s="597" t="s">
        <v>304</v>
      </c>
      <c r="B9" s="588" t="s">
        <v>390</v>
      </c>
      <c r="C9" s="589">
        <v>6</v>
      </c>
      <c r="D9" s="1129" t="s">
        <v>395</v>
      </c>
      <c r="E9" s="391">
        <v>28590</v>
      </c>
      <c r="F9" s="391"/>
      <c r="G9" s="391"/>
      <c r="H9" s="391"/>
      <c r="I9" s="385"/>
      <c r="J9" s="385"/>
      <c r="K9" s="385"/>
      <c r="L9" s="402" t="e">
        <f>工廠!P9</f>
        <v>#REF!</v>
      </c>
      <c r="M9" s="592" t="e">
        <f t="shared" ref="M9:M13" si="8">SUM(E9:L9)</f>
        <v>#REF!</v>
      </c>
      <c r="N9" s="391">
        <v>658</v>
      </c>
      <c r="O9" s="391">
        <v>443</v>
      </c>
      <c r="P9" s="412">
        <f>160</f>
        <v>160</v>
      </c>
      <c r="Q9" s="391">
        <v>2500</v>
      </c>
      <c r="R9" s="391"/>
      <c r="S9" s="387">
        <f t="shared" si="5"/>
        <v>3761</v>
      </c>
      <c r="T9" s="593" t="e">
        <f t="shared" si="3"/>
        <v>#REF!</v>
      </c>
      <c r="U9" s="594"/>
      <c r="V9" s="598"/>
      <c r="W9" s="599" t="e">
        <f t="shared" si="6"/>
        <v>#REF!</v>
      </c>
      <c r="X9" s="737"/>
      <c r="Y9" s="596">
        <f t="shared" si="1"/>
        <v>13</v>
      </c>
      <c r="Z9" s="585">
        <v>1</v>
      </c>
      <c r="AA9" s="586">
        <f>AI3</f>
        <v>13</v>
      </c>
      <c r="AC9" s="380">
        <v>32</v>
      </c>
      <c r="AD9" s="380">
        <v>1</v>
      </c>
      <c r="AE9" s="380">
        <v>2</v>
      </c>
      <c r="AF9" s="380">
        <v>1</v>
      </c>
      <c r="AG9" s="380">
        <v>1</v>
      </c>
      <c r="AI9" s="380">
        <v>2</v>
      </c>
      <c r="AJ9" s="380">
        <f t="shared" si="4"/>
        <v>32762</v>
      </c>
      <c r="AK9" s="390" t="e">
        <f>W9-AJ9</f>
        <v>#REF!</v>
      </c>
    </row>
    <row r="10" spans="1:38" ht="18.75" customHeight="1" thickBot="1" x14ac:dyDescent="0.45">
      <c r="A10" s="597" t="s">
        <v>304</v>
      </c>
      <c r="B10" s="588" t="s">
        <v>390</v>
      </c>
      <c r="C10" s="589">
        <v>7</v>
      </c>
      <c r="D10" s="1129" t="s">
        <v>170</v>
      </c>
      <c r="E10" s="391"/>
      <c r="F10" s="391"/>
      <c r="G10" s="391"/>
      <c r="H10" s="391"/>
      <c r="I10" s="385"/>
      <c r="J10" s="385"/>
      <c r="K10" s="385"/>
      <c r="L10" s="402">
        <v>4020</v>
      </c>
      <c r="M10" s="592">
        <f t="shared" si="8"/>
        <v>4020</v>
      </c>
      <c r="N10" s="391"/>
      <c r="O10" s="391"/>
      <c r="P10" s="412"/>
      <c r="Q10" s="391"/>
      <c r="R10" s="391"/>
      <c r="S10" s="387">
        <f t="shared" ref="S10" si="9">SUM(N10:R10)</f>
        <v>0</v>
      </c>
      <c r="T10" s="593">
        <f t="shared" si="3"/>
        <v>4020</v>
      </c>
      <c r="U10" s="594"/>
      <c r="V10" s="598"/>
      <c r="W10" s="599">
        <f t="shared" si="6"/>
        <v>4020</v>
      </c>
      <c r="X10" s="737"/>
      <c r="Y10" s="1187"/>
      <c r="Z10" s="824"/>
      <c r="AA10" s="1188"/>
      <c r="AC10" s="380">
        <v>4</v>
      </c>
      <c r="AG10" s="380">
        <v>2</v>
      </c>
      <c r="AJ10" s="380">
        <f t="shared" si="4"/>
        <v>4020</v>
      </c>
      <c r="AK10" s="390"/>
    </row>
    <row r="11" spans="1:38" ht="17.100000000000001" customHeight="1" thickBot="1" x14ac:dyDescent="0.45">
      <c r="A11" s="587" t="s">
        <v>397</v>
      </c>
      <c r="B11" s="588" t="s">
        <v>390</v>
      </c>
      <c r="C11" s="589">
        <v>8</v>
      </c>
      <c r="D11" s="723" t="s">
        <v>80</v>
      </c>
      <c r="E11" s="391">
        <f>工廠!I11</f>
        <v>15680</v>
      </c>
      <c r="F11" s="391">
        <f>工廠!O11</f>
        <v>500</v>
      </c>
      <c r="G11" s="391">
        <f>工廠!K11</f>
        <v>1568</v>
      </c>
      <c r="H11" s="391">
        <f>工廠!L11</f>
        <v>952.38095238095241</v>
      </c>
      <c r="I11" s="385">
        <f>工廠!J11</f>
        <v>1960</v>
      </c>
      <c r="J11" s="385"/>
      <c r="K11" s="385"/>
      <c r="L11" s="402" t="e">
        <f>工廠!P11</f>
        <v>#REF!</v>
      </c>
      <c r="M11" s="592" t="e">
        <f t="shared" si="8"/>
        <v>#REF!</v>
      </c>
      <c r="N11" s="391">
        <v>525</v>
      </c>
      <c r="O11" s="391">
        <f>443*3</f>
        <v>1329</v>
      </c>
      <c r="P11" s="604"/>
      <c r="Q11" s="391"/>
      <c r="R11" s="391"/>
      <c r="S11" s="387">
        <f>SUM(N11:R11)</f>
        <v>1854</v>
      </c>
      <c r="T11" s="593" t="e">
        <f t="shared" si="3"/>
        <v>#REF!</v>
      </c>
      <c r="U11" s="594"/>
      <c r="V11" s="598" t="e">
        <f t="shared" ref="V11:V16" si="10">T11</f>
        <v>#REF!</v>
      </c>
      <c r="W11" s="595"/>
      <c r="X11" s="737"/>
      <c r="Y11" s="1316" t="s">
        <v>10</v>
      </c>
      <c r="Z11" s="1544">
        <f>SUM(Y3:Y9)</f>
        <v>211843</v>
      </c>
      <c r="AA11" s="1545"/>
      <c r="AK11" s="390"/>
    </row>
    <row r="12" spans="1:38" ht="17.100000000000001" customHeight="1" x14ac:dyDescent="0.4">
      <c r="A12" s="587" t="s">
        <v>397</v>
      </c>
      <c r="B12" s="609" t="s">
        <v>398</v>
      </c>
      <c r="C12" s="589">
        <v>8</v>
      </c>
      <c r="D12" s="722" t="s">
        <v>14</v>
      </c>
      <c r="E12" s="401" t="e">
        <f>#REF!</f>
        <v>#REF!</v>
      </c>
      <c r="F12" s="391">
        <v>1000</v>
      </c>
      <c r="G12" s="391" t="e">
        <f>#REF!</f>
        <v>#REF!</v>
      </c>
      <c r="H12" s="391"/>
      <c r="I12" s="608"/>
      <c r="J12" s="610"/>
      <c r="K12" s="610"/>
      <c r="L12" s="402" t="e">
        <f>#REF!</f>
        <v>#REF!</v>
      </c>
      <c r="M12" s="611" t="e">
        <f t="shared" si="8"/>
        <v>#REF!</v>
      </c>
      <c r="N12" s="391">
        <v>870</v>
      </c>
      <c r="O12" s="391">
        <f>540+540</f>
        <v>1080</v>
      </c>
      <c r="P12" s="412">
        <v>160</v>
      </c>
      <c r="Q12" s="391"/>
      <c r="R12" s="391"/>
      <c r="S12" s="387">
        <f>SUM(N12:R12)</f>
        <v>2110</v>
      </c>
      <c r="T12" s="593" t="e">
        <f t="shared" si="3"/>
        <v>#REF!</v>
      </c>
      <c r="U12" s="594" t="s">
        <v>506</v>
      </c>
      <c r="V12" s="598" t="e">
        <f t="shared" si="10"/>
        <v>#REF!</v>
      </c>
      <c r="W12" s="595"/>
      <c r="X12" s="737"/>
      <c r="Y12" s="605"/>
      <c r="Z12" s="606"/>
      <c r="AA12" s="606"/>
      <c r="AK12" s="390"/>
    </row>
    <row r="13" spans="1:38" ht="17.100000000000001" customHeight="1" x14ac:dyDescent="0.4">
      <c r="A13" s="587" t="s">
        <v>397</v>
      </c>
      <c r="B13" s="609" t="s">
        <v>398</v>
      </c>
      <c r="C13" s="589">
        <v>9</v>
      </c>
      <c r="D13" s="722" t="s">
        <v>572</v>
      </c>
      <c r="E13" s="401" t="e">
        <f>#REF!</f>
        <v>#REF!</v>
      </c>
      <c r="F13" s="391" t="e">
        <f>#REF!</f>
        <v>#REF!</v>
      </c>
      <c r="G13" s="391" t="e">
        <f>#REF!</f>
        <v>#REF!</v>
      </c>
      <c r="H13" s="391"/>
      <c r="I13" s="608"/>
      <c r="J13" s="610"/>
      <c r="K13" s="610"/>
      <c r="L13" s="402" t="e">
        <f>#REF!</f>
        <v>#REF!</v>
      </c>
      <c r="M13" s="611" t="e">
        <f t="shared" si="8"/>
        <v>#REF!</v>
      </c>
      <c r="N13" s="391">
        <v>0</v>
      </c>
      <c r="O13" s="391">
        <v>540</v>
      </c>
      <c r="P13" s="412">
        <v>160</v>
      </c>
      <c r="Q13" s="391"/>
      <c r="R13" s="391"/>
      <c r="S13" s="387">
        <f>SUM(N13:R13)</f>
        <v>700</v>
      </c>
      <c r="T13" s="593" t="e">
        <f t="shared" si="3"/>
        <v>#REF!</v>
      </c>
      <c r="U13" s="594" t="s">
        <v>574</v>
      </c>
      <c r="V13" s="598" t="e">
        <f t="shared" si="10"/>
        <v>#REF!</v>
      </c>
      <c r="W13" s="595"/>
      <c r="X13" s="737"/>
      <c r="Y13" s="605"/>
      <c r="Z13" s="606"/>
      <c r="AA13" s="606"/>
      <c r="AK13" s="390"/>
    </row>
    <row r="14" spans="1:38" ht="17.100000000000001" customHeight="1" x14ac:dyDescent="0.4">
      <c r="A14" s="587" t="s">
        <v>397</v>
      </c>
      <c r="B14" s="609" t="s">
        <v>399</v>
      </c>
      <c r="C14" s="589">
        <v>10</v>
      </c>
      <c r="D14" s="722" t="s">
        <v>570</v>
      </c>
      <c r="E14" s="401" t="e">
        <f>#REF!</f>
        <v>#REF!</v>
      </c>
      <c r="F14" s="391" t="e">
        <f>#REF!</f>
        <v>#REF!</v>
      </c>
      <c r="G14" s="391" t="e">
        <f>#REF!</f>
        <v>#REF!</v>
      </c>
      <c r="H14" s="391"/>
      <c r="I14" s="385"/>
      <c r="J14" s="385"/>
      <c r="K14" s="385"/>
      <c r="L14" s="402" t="e">
        <f>#REF!</f>
        <v>#REF!</v>
      </c>
      <c r="M14" s="611" t="e">
        <f t="shared" ref="M14:M16" si="11">SUM(E14:L14)</f>
        <v>#REF!</v>
      </c>
      <c r="N14" s="391">
        <v>1145</v>
      </c>
      <c r="O14" s="391">
        <f>822</f>
        <v>822</v>
      </c>
      <c r="P14" s="412">
        <v>160</v>
      </c>
      <c r="Q14" s="391"/>
      <c r="R14" s="391">
        <f>53000*6%</f>
        <v>3180</v>
      </c>
      <c r="S14" s="387">
        <f t="shared" si="5"/>
        <v>5307</v>
      </c>
      <c r="T14" s="593" t="e">
        <f t="shared" si="3"/>
        <v>#REF!</v>
      </c>
      <c r="U14" s="601" t="s">
        <v>531</v>
      </c>
      <c r="V14" s="598" t="e">
        <f t="shared" si="10"/>
        <v>#REF!</v>
      </c>
      <c r="W14" s="595"/>
      <c r="X14" s="737"/>
      <c r="Y14" s="605"/>
      <c r="Z14" s="606"/>
      <c r="AA14" s="606"/>
      <c r="AK14" s="390"/>
    </row>
    <row r="15" spans="1:38" ht="17.100000000000001" customHeight="1" x14ac:dyDescent="0.4">
      <c r="A15" s="587" t="s">
        <v>397</v>
      </c>
      <c r="B15" s="609" t="s">
        <v>399</v>
      </c>
      <c r="C15" s="589">
        <v>11</v>
      </c>
      <c r="D15" s="722" t="s">
        <v>400</v>
      </c>
      <c r="E15" s="401" t="e">
        <f>#REF!</f>
        <v>#REF!</v>
      </c>
      <c r="F15" s="391" t="e">
        <f>#REF!</f>
        <v>#REF!</v>
      </c>
      <c r="G15" s="391" t="e">
        <f>#REF!</f>
        <v>#REF!</v>
      </c>
      <c r="H15" s="391"/>
      <c r="I15" s="385"/>
      <c r="J15" s="385"/>
      <c r="K15" s="385"/>
      <c r="L15" s="402" t="e">
        <f>#REF!</f>
        <v>#REF!</v>
      </c>
      <c r="M15" s="611" t="e">
        <f>SUM(E15:L15)</f>
        <v>#REF!</v>
      </c>
      <c r="N15" s="391">
        <v>1050</v>
      </c>
      <c r="O15" s="391">
        <v>651</v>
      </c>
      <c r="P15" s="412">
        <v>160</v>
      </c>
      <c r="Q15" s="391"/>
      <c r="R15" s="391"/>
      <c r="S15" s="387">
        <f>SUM(N15:R15)</f>
        <v>1861</v>
      </c>
      <c r="T15" s="593" t="e">
        <f t="shared" si="3"/>
        <v>#REF!</v>
      </c>
      <c r="U15" s="601" t="s">
        <v>532</v>
      </c>
      <c r="V15" s="598" t="e">
        <f t="shared" si="10"/>
        <v>#REF!</v>
      </c>
      <c r="W15" s="595"/>
      <c r="X15" s="737"/>
      <c r="Y15" s="607"/>
      <c r="Z15" s="607" t="e">
        <f>+W32</f>
        <v>#REF!</v>
      </c>
      <c r="AA15" s="389"/>
      <c r="AD15" s="389"/>
      <c r="AK15" s="390"/>
    </row>
    <row r="16" spans="1:38" ht="17.100000000000001" customHeight="1" x14ac:dyDescent="0.4">
      <c r="A16" s="587" t="s">
        <v>397</v>
      </c>
      <c r="B16" s="609" t="s">
        <v>399</v>
      </c>
      <c r="C16" s="589">
        <v>12</v>
      </c>
      <c r="D16" s="722" t="s">
        <v>351</v>
      </c>
      <c r="E16" s="401" t="e">
        <f>#REF!</f>
        <v>#REF!</v>
      </c>
      <c r="F16" s="391" t="e">
        <f>#REF!</f>
        <v>#REF!</v>
      </c>
      <c r="G16" s="391" t="e">
        <f>#REF!</f>
        <v>#REF!</v>
      </c>
      <c r="H16" s="391"/>
      <c r="I16" s="385"/>
      <c r="J16" s="385"/>
      <c r="K16" s="385"/>
      <c r="L16" s="402" t="e">
        <f>#REF!</f>
        <v>#REF!</v>
      </c>
      <c r="M16" s="611" t="e">
        <f t="shared" si="11"/>
        <v>#REF!</v>
      </c>
      <c r="N16" s="604">
        <v>0</v>
      </c>
      <c r="O16" s="391">
        <v>622</v>
      </c>
      <c r="P16" s="412">
        <v>160</v>
      </c>
      <c r="Q16" s="391"/>
      <c r="R16" s="391"/>
      <c r="S16" s="387">
        <f>SUM(N16:R16)</f>
        <v>782</v>
      </c>
      <c r="T16" s="593" t="e">
        <f t="shared" si="3"/>
        <v>#REF!</v>
      </c>
      <c r="U16" s="601" t="s">
        <v>496</v>
      </c>
      <c r="V16" s="598" t="e">
        <f t="shared" si="10"/>
        <v>#REF!</v>
      </c>
      <c r="W16" s="595"/>
      <c r="X16" s="737"/>
      <c r="Y16" s="607"/>
      <c r="Z16" s="607"/>
      <c r="AA16" s="389"/>
      <c r="AK16" s="390"/>
    </row>
    <row r="17" spans="1:37" ht="17.100000000000001" customHeight="1" x14ac:dyDescent="0.4">
      <c r="A17" s="1136" t="s">
        <v>397</v>
      </c>
      <c r="B17" s="609" t="s">
        <v>399</v>
      </c>
      <c r="C17" s="589">
        <v>13</v>
      </c>
      <c r="D17" s="1165" t="s">
        <v>504</v>
      </c>
      <c r="E17" s="401" t="e">
        <f>#REF!</f>
        <v>#REF!</v>
      </c>
      <c r="F17" s="391" t="e">
        <f>#REF!</f>
        <v>#REF!</v>
      </c>
      <c r="G17" s="391" t="e">
        <f>#REF!</f>
        <v>#REF!</v>
      </c>
      <c r="H17" s="391"/>
      <c r="I17" s="608"/>
      <c r="J17" s="385"/>
      <c r="K17" s="610"/>
      <c r="L17" s="402" t="e">
        <f>#REF!</f>
        <v>#REF!</v>
      </c>
      <c r="M17" s="611" t="e">
        <f>SUM(E17:L17)</f>
        <v>#REF!</v>
      </c>
      <c r="N17" s="391">
        <f>800</f>
        <v>800</v>
      </c>
      <c r="O17" s="965">
        <f>540+540*3</f>
        <v>2160</v>
      </c>
      <c r="P17" s="412">
        <v>160</v>
      </c>
      <c r="Q17" s="391"/>
      <c r="R17" s="391"/>
      <c r="S17" s="387">
        <f>SUM(N17:R17)</f>
        <v>3120</v>
      </c>
      <c r="T17" s="593" t="e">
        <f t="shared" si="3"/>
        <v>#REF!</v>
      </c>
      <c r="U17" s="594"/>
      <c r="V17" s="598" t="e">
        <f>T17</f>
        <v>#REF!</v>
      </c>
      <c r="W17" s="595"/>
      <c r="X17" s="737"/>
      <c r="Y17" s="1138"/>
      <c r="Z17" s="1139"/>
      <c r="AA17" s="1139"/>
      <c r="AK17" s="390"/>
    </row>
    <row r="18" spans="1:37" ht="17.100000000000001" customHeight="1" thickBot="1" x14ac:dyDescent="0.45">
      <c r="A18" s="1136" t="s">
        <v>397</v>
      </c>
      <c r="B18" s="609" t="s">
        <v>398</v>
      </c>
      <c r="C18" s="612">
        <v>14</v>
      </c>
      <c r="D18" s="1260" t="s">
        <v>631</v>
      </c>
      <c r="E18" s="405">
        <v>25497</v>
      </c>
      <c r="F18" s="414"/>
      <c r="G18" s="414">
        <v>1733</v>
      </c>
      <c r="H18" s="414"/>
      <c r="I18" s="385"/>
      <c r="J18" s="385"/>
      <c r="K18" s="385"/>
      <c r="L18" s="729"/>
      <c r="M18" s="611">
        <f t="shared" ref="M18" si="12">SUM(E18:L18)</f>
        <v>27230</v>
      </c>
      <c r="N18" s="405"/>
      <c r="O18" s="405"/>
      <c r="P18" s="613">
        <v>160</v>
      </c>
      <c r="Q18" s="405"/>
      <c r="R18" s="405"/>
      <c r="S18" s="387">
        <f>SUM(N18:R18)</f>
        <v>160</v>
      </c>
      <c r="T18" s="593">
        <f t="shared" ref="T18" si="13">+M18-S18</f>
        <v>27070</v>
      </c>
      <c r="U18" s="601"/>
      <c r="V18" s="598">
        <f>T18</f>
        <v>27070</v>
      </c>
      <c r="W18" s="614"/>
      <c r="X18" s="737"/>
      <c r="Y18" s="607"/>
      <c r="Z18" s="607"/>
      <c r="AA18" s="389"/>
      <c r="AK18" s="390"/>
    </row>
    <row r="19" spans="1:37" ht="17.25" customHeight="1" thickBot="1" x14ac:dyDescent="0.35">
      <c r="A19" s="615"/>
      <c r="B19" s="616"/>
      <c r="C19" s="616"/>
      <c r="D19" s="617" t="s">
        <v>401</v>
      </c>
      <c r="E19" s="618" t="e">
        <f>SUM(E4:E18)</f>
        <v>#REF!</v>
      </c>
      <c r="F19" s="618" t="e">
        <f t="shared" ref="F19:T19" si="14">SUM(F4:F18)</f>
        <v>#REF!</v>
      </c>
      <c r="G19" s="618" t="e">
        <f t="shared" si="14"/>
        <v>#REF!</v>
      </c>
      <c r="H19" s="618">
        <f t="shared" si="14"/>
        <v>952.38095238095241</v>
      </c>
      <c r="I19" s="618">
        <f t="shared" si="14"/>
        <v>7960</v>
      </c>
      <c r="J19" s="618">
        <f t="shared" si="14"/>
        <v>0</v>
      </c>
      <c r="K19" s="618" t="e">
        <f t="shared" si="14"/>
        <v>#REF!</v>
      </c>
      <c r="L19" s="618" t="e">
        <f t="shared" si="14"/>
        <v>#REF!</v>
      </c>
      <c r="M19" s="618" t="e">
        <f t="shared" si="14"/>
        <v>#REF!</v>
      </c>
      <c r="N19" s="618">
        <f t="shared" si="14"/>
        <v>8515</v>
      </c>
      <c r="O19" s="618">
        <f t="shared" si="14"/>
        <v>9982</v>
      </c>
      <c r="P19" s="618">
        <f t="shared" si="14"/>
        <v>2080</v>
      </c>
      <c r="Q19" s="618">
        <f t="shared" si="14"/>
        <v>10000</v>
      </c>
      <c r="R19" s="618">
        <f t="shared" si="14"/>
        <v>3180</v>
      </c>
      <c r="S19" s="618">
        <f t="shared" si="14"/>
        <v>33757</v>
      </c>
      <c r="T19" s="618" t="e">
        <f t="shared" si="14"/>
        <v>#REF!</v>
      </c>
      <c r="U19" s="601"/>
      <c r="V19" s="1286" t="e">
        <f>SUM(V4:V18)</f>
        <v>#REF!</v>
      </c>
      <c r="W19" s="1287" t="e">
        <f>SUM(W4:W18)</f>
        <v>#REF!</v>
      </c>
      <c r="X19" s="737"/>
      <c r="Y19" s="727" t="s">
        <v>55</v>
      </c>
      <c r="Z19" s="1543" t="e">
        <f>SUM(M4:M11)</f>
        <v>#REF!</v>
      </c>
      <c r="AA19" s="1543"/>
      <c r="AK19" s="390"/>
    </row>
    <row r="20" spans="1:37" ht="16.2" x14ac:dyDescent="0.3">
      <c r="A20" s="619"/>
      <c r="B20" s="620"/>
      <c r="C20" s="1564"/>
      <c r="D20" s="1566" t="s">
        <v>402</v>
      </c>
      <c r="E20" s="1568" t="s">
        <v>403</v>
      </c>
      <c r="F20" s="1570">
        <v>0</v>
      </c>
      <c r="G20" s="1539" t="s">
        <v>212</v>
      </c>
      <c r="H20" s="1575"/>
      <c r="I20" s="621"/>
      <c r="J20" s="621"/>
      <c r="K20" s="1577"/>
      <c r="L20" s="1575"/>
      <c r="M20" s="1578" t="s">
        <v>404</v>
      </c>
      <c r="N20" s="622"/>
      <c r="O20" s="623"/>
      <c r="P20" s="624"/>
      <c r="Q20" s="625"/>
      <c r="R20" s="1539" t="s">
        <v>383</v>
      </c>
      <c r="S20" s="626" t="s">
        <v>289</v>
      </c>
      <c r="T20" s="627" t="s">
        <v>290</v>
      </c>
      <c r="U20" s="742"/>
      <c r="V20" s="1555" t="s">
        <v>385</v>
      </c>
      <c r="W20" s="1561" t="s">
        <v>47</v>
      </c>
      <c r="X20" s="737"/>
      <c r="Y20" s="727" t="s">
        <v>396</v>
      </c>
      <c r="Z20" s="1543">
        <f>SUM(M22:M26)</f>
        <v>184100</v>
      </c>
      <c r="AA20" s="1543"/>
      <c r="AK20" s="390"/>
    </row>
    <row r="21" spans="1:37" ht="16.8" thickBot="1" x14ac:dyDescent="0.35">
      <c r="A21" s="628"/>
      <c r="B21" s="574" t="s">
        <v>405</v>
      </c>
      <c r="C21" s="1565"/>
      <c r="D21" s="1567"/>
      <c r="E21" s="1569"/>
      <c r="F21" s="1571"/>
      <c r="G21" s="1540"/>
      <c r="H21" s="1576"/>
      <c r="I21" s="582"/>
      <c r="J21" s="582"/>
      <c r="K21" s="1538"/>
      <c r="L21" s="1576"/>
      <c r="M21" s="1579"/>
      <c r="N21" s="629"/>
      <c r="O21" s="630"/>
      <c r="P21" s="631"/>
      <c r="Q21" s="632"/>
      <c r="R21" s="1542"/>
      <c r="S21" s="633" t="s">
        <v>295</v>
      </c>
      <c r="T21" s="634" t="s">
        <v>296</v>
      </c>
      <c r="U21" s="601"/>
      <c r="V21" s="1572"/>
      <c r="W21" s="1573"/>
      <c r="X21" s="737"/>
      <c r="Y21" s="727" t="s">
        <v>35</v>
      </c>
      <c r="Z21" s="1543" t="e">
        <f>SUM(M12:M18)</f>
        <v>#REF!</v>
      </c>
      <c r="AA21" s="1543"/>
      <c r="AK21" s="390"/>
    </row>
    <row r="22" spans="1:37" ht="18.899999999999999" customHeight="1" x14ac:dyDescent="0.4">
      <c r="A22" s="597" t="s">
        <v>304</v>
      </c>
      <c r="B22" s="635" t="s">
        <v>406</v>
      </c>
      <c r="C22" s="636">
        <v>1</v>
      </c>
      <c r="D22" s="637" t="s">
        <v>297</v>
      </c>
      <c r="E22" s="385">
        <v>70000</v>
      </c>
      <c r="F22" s="385"/>
      <c r="G22" s="385"/>
      <c r="H22" s="385"/>
      <c r="I22" s="385"/>
      <c r="J22" s="385"/>
      <c r="K22" s="391"/>
      <c r="L22" s="385"/>
      <c r="M22" s="603">
        <f t="shared" ref="M22:M26" si="15">SUM(E22:L22)</f>
        <v>70000</v>
      </c>
      <c r="N22" s="385"/>
      <c r="O22" s="385"/>
      <c r="P22" s="638"/>
      <c r="Q22" s="385"/>
      <c r="R22" s="385"/>
      <c r="S22" s="387"/>
      <c r="T22" s="593">
        <f>+M22</f>
        <v>70000</v>
      </c>
      <c r="U22" s="601"/>
      <c r="V22" s="1264"/>
      <c r="W22" s="642">
        <f>70000</f>
        <v>70000</v>
      </c>
      <c r="X22" s="737"/>
      <c r="Y22" s="728" t="s">
        <v>61</v>
      </c>
      <c r="Z22" s="1543">
        <v>0</v>
      </c>
      <c r="AA22" s="1543"/>
      <c r="AB22" s="407"/>
      <c r="AC22" s="389">
        <v>70</v>
      </c>
      <c r="AD22" s="389"/>
      <c r="AE22" s="389"/>
      <c r="AF22" s="389"/>
      <c r="AG22" s="389"/>
      <c r="AJ22" s="380">
        <f t="shared" ref="AJ22:AJ23" si="16">AC22*1000+500*AD22+100*AE22+50*AF22+10*AG22+5*AH22+1*AI22</f>
        <v>70000</v>
      </c>
      <c r="AK22" s="390">
        <f>W22-AJ22</f>
        <v>0</v>
      </c>
    </row>
    <row r="23" spans="1:37" ht="17.100000000000001" customHeight="1" x14ac:dyDescent="0.4">
      <c r="A23" s="587" t="s">
        <v>407</v>
      </c>
      <c r="B23" s="635" t="s">
        <v>408</v>
      </c>
      <c r="C23" s="636">
        <v>2</v>
      </c>
      <c r="D23" s="639" t="s">
        <v>298</v>
      </c>
      <c r="E23" s="391">
        <v>22000</v>
      </c>
      <c r="F23" s="391"/>
      <c r="G23" s="391">
        <v>3000</v>
      </c>
      <c r="H23" s="391"/>
      <c r="I23" s="385">
        <v>10000</v>
      </c>
      <c r="J23" s="385"/>
      <c r="K23" s="391"/>
      <c r="L23" s="391"/>
      <c r="M23" s="603">
        <f t="shared" si="15"/>
        <v>35000</v>
      </c>
      <c r="N23" s="391"/>
      <c r="O23" s="391"/>
      <c r="P23" s="640"/>
      <c r="Q23" s="391"/>
      <c r="R23" s="391"/>
      <c r="S23" s="641"/>
      <c r="T23" s="593">
        <f>+M23</f>
        <v>35000</v>
      </c>
      <c r="U23" s="601"/>
      <c r="V23" s="1265">
        <v>30000</v>
      </c>
      <c r="W23" s="642">
        <v>5000</v>
      </c>
      <c r="X23" s="737"/>
      <c r="Y23" s="726" t="s">
        <v>10</v>
      </c>
      <c r="Z23" s="1563" t="e">
        <f>SUM(V19,W19,V27,W27)</f>
        <v>#REF!</v>
      </c>
      <c r="AA23" s="1563"/>
      <c r="AB23" s="389"/>
      <c r="AC23" s="389">
        <v>5</v>
      </c>
      <c r="AD23" s="389"/>
      <c r="AE23" s="389"/>
      <c r="AF23" s="389"/>
      <c r="AG23" s="389"/>
      <c r="AJ23" s="380">
        <f t="shared" si="16"/>
        <v>5000</v>
      </c>
      <c r="AK23" s="390">
        <f>W23-AJ23</f>
        <v>0</v>
      </c>
    </row>
    <row r="24" spans="1:37" ht="17.100000000000001" customHeight="1" x14ac:dyDescent="0.4">
      <c r="A24" s="587" t="s">
        <v>397</v>
      </c>
      <c r="B24" s="635"/>
      <c r="C24" s="636">
        <v>3</v>
      </c>
      <c r="D24" s="639" t="s">
        <v>409</v>
      </c>
      <c r="E24" s="391">
        <v>22000</v>
      </c>
      <c r="F24" s="391"/>
      <c r="G24" s="391"/>
      <c r="H24" s="391"/>
      <c r="I24" s="385"/>
      <c r="J24" s="385"/>
      <c r="K24" s="391"/>
      <c r="L24" s="391"/>
      <c r="M24" s="603">
        <f t="shared" si="15"/>
        <v>22000</v>
      </c>
      <c r="N24" s="391"/>
      <c r="O24" s="391"/>
      <c r="P24" s="640"/>
      <c r="Q24" s="391"/>
      <c r="R24" s="391"/>
      <c r="S24" s="641"/>
      <c r="T24" s="593">
        <f t="shared" ref="T24:T26" si="17">M24-S24</f>
        <v>22000</v>
      </c>
      <c r="U24" s="601"/>
      <c r="V24" s="1265">
        <f>T24</f>
        <v>22000</v>
      </c>
      <c r="W24" s="644"/>
      <c r="X24" s="737"/>
      <c r="Y24" s="1314" t="s">
        <v>665</v>
      </c>
      <c r="Z24" s="1574" t="e">
        <f>T28-Z23</f>
        <v>#REF!</v>
      </c>
      <c r="AA24" s="1574"/>
      <c r="AB24" s="389"/>
      <c r="AC24" s="389"/>
      <c r="AD24" s="389"/>
      <c r="AE24" s="389"/>
      <c r="AF24" s="389"/>
      <c r="AG24" s="389"/>
      <c r="AK24" s="390"/>
    </row>
    <row r="25" spans="1:37" ht="17.100000000000001" customHeight="1" thickBot="1" x14ac:dyDescent="0.45">
      <c r="A25" s="587" t="s">
        <v>397</v>
      </c>
      <c r="B25" s="635"/>
      <c r="C25" s="1194">
        <v>4</v>
      </c>
      <c r="D25" s="639" t="s">
        <v>353</v>
      </c>
      <c r="E25" s="391">
        <f>辦公室!M8</f>
        <v>34000.000000000007</v>
      </c>
      <c r="F25" s="391"/>
      <c r="G25" s="391"/>
      <c r="H25" s="391"/>
      <c r="I25" s="385"/>
      <c r="J25" s="385"/>
      <c r="K25" s="391"/>
      <c r="L25" s="391"/>
      <c r="M25" s="603">
        <f t="shared" si="15"/>
        <v>34000.000000000007</v>
      </c>
      <c r="N25" s="391">
        <v>833</v>
      </c>
      <c r="O25" s="391">
        <v>516</v>
      </c>
      <c r="P25" s="640">
        <v>160</v>
      </c>
      <c r="Q25" s="391"/>
      <c r="R25" s="391"/>
      <c r="S25" s="641">
        <f>SUM(N25:R25)</f>
        <v>1509</v>
      </c>
      <c r="T25" s="593">
        <f t="shared" si="17"/>
        <v>32491.000000000007</v>
      </c>
      <c r="U25" s="1288" t="s">
        <v>639</v>
      </c>
      <c r="V25" s="1265">
        <f>T25</f>
        <v>32491.000000000007</v>
      </c>
      <c r="W25" s="645"/>
      <c r="X25" s="737"/>
      <c r="Y25" s="607"/>
      <c r="Z25" s="607"/>
      <c r="AA25" s="389"/>
      <c r="AB25" s="389"/>
      <c r="AC25" s="389"/>
      <c r="AD25" s="389"/>
      <c r="AE25" s="389"/>
      <c r="AF25" s="389"/>
      <c r="AG25" s="389"/>
      <c r="AK25" s="390"/>
    </row>
    <row r="26" spans="1:37" ht="17.100000000000001" customHeight="1" thickBot="1" x14ac:dyDescent="0.45">
      <c r="A26" s="1192" t="s">
        <v>640</v>
      </c>
      <c r="B26" s="417"/>
      <c r="C26" s="1196">
        <v>5</v>
      </c>
      <c r="D26" s="1301" t="s">
        <v>641</v>
      </c>
      <c r="E26" s="1193">
        <v>23100</v>
      </c>
      <c r="F26" s="1193"/>
      <c r="G26" s="1193"/>
      <c r="H26" s="1193"/>
      <c r="I26" s="1193"/>
      <c r="J26" s="1193"/>
      <c r="K26" s="1193"/>
      <c r="L26" s="1193"/>
      <c r="M26" s="603">
        <f t="shared" si="15"/>
        <v>23100</v>
      </c>
      <c r="N26" s="1193"/>
      <c r="O26" s="1193"/>
      <c r="P26" s="1193"/>
      <c r="Q26" s="1193"/>
      <c r="R26" s="1193"/>
      <c r="S26" s="1193"/>
      <c r="T26" s="593">
        <f t="shared" si="17"/>
        <v>23100</v>
      </c>
      <c r="U26" s="1186" t="s">
        <v>610</v>
      </c>
      <c r="V26" s="1266">
        <f>T26</f>
        <v>23100</v>
      </c>
      <c r="W26" s="1267"/>
      <c r="X26" s="737"/>
      <c r="Y26" s="607"/>
      <c r="Z26" s="607"/>
      <c r="AA26" s="389"/>
      <c r="AB26" s="389"/>
      <c r="AC26" s="389"/>
      <c r="AD26" s="389"/>
      <c r="AE26" s="389"/>
      <c r="AF26" s="389"/>
      <c r="AG26" s="389"/>
      <c r="AK26" s="390"/>
    </row>
    <row r="27" spans="1:37" ht="17.100000000000001" customHeight="1" thickBot="1" x14ac:dyDescent="0.35">
      <c r="A27" s="646"/>
      <c r="B27" s="647"/>
      <c r="C27" s="1195"/>
      <c r="D27" s="617" t="s">
        <v>410</v>
      </c>
      <c r="E27" s="648">
        <f>SUM(E22:E26)</f>
        <v>171100</v>
      </c>
      <c r="F27" s="648">
        <f t="shared" ref="F27:M27" si="18">SUM(F22:F26)</f>
        <v>0</v>
      </c>
      <c r="G27" s="648">
        <f t="shared" si="18"/>
        <v>3000</v>
      </c>
      <c r="H27" s="648">
        <f t="shared" si="18"/>
        <v>0</v>
      </c>
      <c r="I27" s="648">
        <f t="shared" si="18"/>
        <v>10000</v>
      </c>
      <c r="J27" s="648">
        <f t="shared" si="18"/>
        <v>0</v>
      </c>
      <c r="K27" s="648">
        <f t="shared" si="18"/>
        <v>0</v>
      </c>
      <c r="L27" s="648">
        <f t="shared" si="18"/>
        <v>0</v>
      </c>
      <c r="M27" s="648">
        <f t="shared" si="18"/>
        <v>184100</v>
      </c>
      <c r="N27" s="648">
        <f t="shared" ref="N27:S27" si="19">SUM(N23:N26)</f>
        <v>833</v>
      </c>
      <c r="O27" s="648">
        <f t="shared" si="19"/>
        <v>516</v>
      </c>
      <c r="P27" s="648">
        <f t="shared" si="19"/>
        <v>160</v>
      </c>
      <c r="Q27" s="648">
        <f t="shared" si="19"/>
        <v>0</v>
      </c>
      <c r="R27" s="648">
        <f t="shared" si="19"/>
        <v>0</v>
      </c>
      <c r="S27" s="648">
        <f t="shared" si="19"/>
        <v>1509</v>
      </c>
      <c r="T27" s="649">
        <f>SUM(T22:T26)</f>
        <v>182591</v>
      </c>
      <c r="U27" s="601"/>
      <c r="V27" s="1268">
        <f>SUM(V22:V26)</f>
        <v>107591</v>
      </c>
      <c r="W27" s="1268">
        <f>SUM(W22:W26)</f>
        <v>75000</v>
      </c>
      <c r="X27" s="737"/>
      <c r="Y27" s="607"/>
      <c r="Z27" s="607"/>
      <c r="AA27" s="389"/>
      <c r="AB27" s="389"/>
      <c r="AC27" s="389"/>
      <c r="AD27" s="389"/>
      <c r="AE27" s="389"/>
      <c r="AF27" s="389"/>
      <c r="AG27" s="389"/>
      <c r="AK27" s="390"/>
    </row>
    <row r="28" spans="1:37" ht="16.95" customHeight="1" thickBot="1" x14ac:dyDescent="0.35">
      <c r="A28" s="650"/>
      <c r="B28" s="651"/>
      <c r="C28" s="652"/>
      <c r="D28" s="653" t="s">
        <v>411</v>
      </c>
      <c r="E28" s="654" t="e">
        <f>+E19+E27</f>
        <v>#REF!</v>
      </c>
      <c r="F28" s="654" t="e">
        <f t="shared" ref="F28:J28" si="20">+F19+F27</f>
        <v>#REF!</v>
      </c>
      <c r="G28" s="654" t="e">
        <f t="shared" si="20"/>
        <v>#REF!</v>
      </c>
      <c r="H28" s="654">
        <f t="shared" si="20"/>
        <v>952.38095238095241</v>
      </c>
      <c r="I28" s="654">
        <f t="shared" si="20"/>
        <v>17960</v>
      </c>
      <c r="J28" s="654">
        <f t="shared" si="20"/>
        <v>0</v>
      </c>
      <c r="K28" s="654" t="e">
        <f>+K19+K27</f>
        <v>#REF!</v>
      </c>
      <c r="L28" s="654" t="e">
        <f t="shared" ref="L28" si="21">+L19+L27</f>
        <v>#REF!</v>
      </c>
      <c r="M28" s="655" t="e">
        <f>+M19+M27</f>
        <v>#REF!</v>
      </c>
      <c r="N28" s="655">
        <f>+N19+N27</f>
        <v>9348</v>
      </c>
      <c r="O28" s="655">
        <f t="shared" ref="O28:T28" si="22">+O19+O27</f>
        <v>10498</v>
      </c>
      <c r="P28" s="655">
        <f t="shared" si="22"/>
        <v>2240</v>
      </c>
      <c r="Q28" s="655">
        <f t="shared" si="22"/>
        <v>10000</v>
      </c>
      <c r="R28" s="655">
        <f t="shared" si="22"/>
        <v>3180</v>
      </c>
      <c r="S28" s="655">
        <f t="shared" si="22"/>
        <v>35266</v>
      </c>
      <c r="T28" s="1315" t="e">
        <f t="shared" si="22"/>
        <v>#REF!</v>
      </c>
      <c r="U28" s="643"/>
      <c r="V28" s="1535" t="e">
        <f>SUM(V19,W19,V27,W27)</f>
        <v>#REF!</v>
      </c>
      <c r="W28" s="1536"/>
      <c r="X28" s="737"/>
      <c r="Y28" s="607"/>
      <c r="Z28" s="607"/>
      <c r="AA28" s="389"/>
      <c r="AB28" s="389"/>
      <c r="AC28" s="389"/>
      <c r="AD28" s="389"/>
      <c r="AE28" s="389"/>
      <c r="AF28" s="389"/>
      <c r="AG28" s="389"/>
    </row>
    <row r="29" spans="1:37" ht="17.100000000000001" customHeight="1" thickBot="1" x14ac:dyDescent="0.35">
      <c r="A29" s="656"/>
      <c r="B29" s="657"/>
      <c r="C29" s="657"/>
      <c r="D29" s="658"/>
      <c r="E29" s="659"/>
      <c r="F29" s="660"/>
      <c r="G29" s="660"/>
      <c r="H29" s="660"/>
      <c r="I29" s="660"/>
      <c r="J29" s="660"/>
      <c r="K29" s="659"/>
      <c r="L29" s="660"/>
      <c r="M29" s="661"/>
      <c r="N29" s="660"/>
      <c r="O29" s="660"/>
      <c r="P29" s="660"/>
      <c r="Q29" s="660"/>
      <c r="R29" s="660"/>
      <c r="S29" s="660"/>
      <c r="T29" s="662"/>
      <c r="U29" s="643"/>
      <c r="V29" s="1262"/>
      <c r="W29" s="1263"/>
      <c r="X29" s="737"/>
      <c r="Y29" s="389"/>
      <c r="Z29" s="389"/>
      <c r="AA29" s="389"/>
      <c r="AB29" s="389"/>
      <c r="AC29" s="389"/>
      <c r="AD29" s="389"/>
      <c r="AE29" s="389"/>
      <c r="AF29" s="389"/>
      <c r="AG29" s="389"/>
    </row>
    <row r="30" spans="1:37" ht="17.100000000000001" customHeight="1" x14ac:dyDescent="0.3">
      <c r="A30" s="663"/>
      <c r="B30" s="664"/>
      <c r="C30" s="664"/>
      <c r="D30" s="658"/>
      <c r="E30" s="659"/>
      <c r="F30" s="660"/>
      <c r="G30" s="660"/>
      <c r="H30" s="665"/>
      <c r="I30" s="665"/>
      <c r="J30" s="665"/>
      <c r="K30" s="665"/>
      <c r="L30" s="665"/>
      <c r="M30" s="661"/>
      <c r="N30" s="660"/>
      <c r="O30" s="660"/>
      <c r="P30" s="660"/>
      <c r="Q30" s="660"/>
      <c r="R30" s="660"/>
      <c r="S30" s="660"/>
      <c r="T30" s="662"/>
      <c r="U30" s="1302"/>
      <c r="V30" s="1247"/>
      <c r="W30" s="1261"/>
      <c r="X30" s="737"/>
      <c r="Y30" s="389"/>
      <c r="Z30" s="389"/>
      <c r="AA30" s="389"/>
      <c r="AB30" s="389"/>
      <c r="AC30" s="389"/>
      <c r="AD30" s="389"/>
      <c r="AE30" s="389"/>
      <c r="AF30" s="389"/>
      <c r="AG30" s="389"/>
    </row>
    <row r="31" spans="1:37" ht="16.5" customHeight="1" x14ac:dyDescent="0.4">
      <c r="B31" s="668"/>
      <c r="C31" s="668"/>
      <c r="G31" s="670"/>
      <c r="H31" s="670"/>
      <c r="P31" s="661"/>
      <c r="Q31" s="661"/>
      <c r="R31" s="661"/>
      <c r="S31" s="661"/>
      <c r="T31" s="671"/>
      <c r="U31" s="1305" t="s">
        <v>412</v>
      </c>
      <c r="V31" s="1306" t="s">
        <v>146</v>
      </c>
      <c r="W31" s="1307" t="s">
        <v>47</v>
      </c>
      <c r="X31" s="389"/>
      <c r="Y31" s="607"/>
      <c r="Z31" s="607"/>
      <c r="AA31" s="389"/>
      <c r="AB31" s="389"/>
      <c r="AC31" s="389"/>
      <c r="AD31" s="389"/>
      <c r="AE31" s="389"/>
      <c r="AF31" s="389"/>
      <c r="AG31" s="389"/>
    </row>
    <row r="32" spans="1:37" ht="16.5" customHeight="1" x14ac:dyDescent="0.3">
      <c r="U32" s="1308" t="s">
        <v>413</v>
      </c>
      <c r="V32" s="1309" t="e">
        <f>V27+V19</f>
        <v>#REF!</v>
      </c>
      <c r="W32" s="1313" t="e">
        <f>SUM(W19,W27)</f>
        <v>#REF!</v>
      </c>
      <c r="X32" s="389"/>
      <c r="Y32" s="389"/>
      <c r="Z32" s="389"/>
      <c r="AA32" s="389"/>
      <c r="AB32" s="389"/>
      <c r="AC32" s="371"/>
      <c r="AD32" s="371"/>
      <c r="AE32" s="371"/>
      <c r="AF32" s="371"/>
      <c r="AG32" s="371"/>
      <c r="AH32" s="371"/>
      <c r="AI32" s="371"/>
      <c r="AJ32" s="371"/>
      <c r="AK32" s="371"/>
    </row>
    <row r="33" spans="1:37" s="371" customFormat="1" ht="16.5" customHeight="1" x14ac:dyDescent="0.4">
      <c r="A33" s="667"/>
      <c r="B33" s="416"/>
      <c r="C33" s="427"/>
      <c r="D33" s="669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674"/>
      <c r="Q33" s="428"/>
      <c r="R33" s="428"/>
      <c r="S33" s="428"/>
      <c r="T33" s="670"/>
      <c r="U33" s="1303" t="s">
        <v>414</v>
      </c>
      <c r="V33" s="1304">
        <f>欣鮮6月薪!U30</f>
        <v>6000</v>
      </c>
      <c r="W33" s="666"/>
      <c r="Y33" s="389"/>
      <c r="Z33" s="389"/>
      <c r="AA33" s="389"/>
      <c r="AC33" s="380"/>
      <c r="AD33" s="380"/>
      <c r="AE33" s="380"/>
      <c r="AF33" s="380"/>
      <c r="AG33" s="380"/>
      <c r="AH33" s="380"/>
      <c r="AI33" s="380"/>
      <c r="AJ33" s="380"/>
      <c r="AK33" s="380"/>
    </row>
    <row r="34" spans="1:37" ht="17.100000000000001" customHeight="1" thickBot="1" x14ac:dyDescent="0.45">
      <c r="U34" s="672" t="s">
        <v>415</v>
      </c>
      <c r="V34" s="673" t="e">
        <f>SUM(V32:V33)</f>
        <v>#REF!</v>
      </c>
      <c r="W34" s="666"/>
      <c r="X34" s="380"/>
      <c r="Y34" s="407"/>
      <c r="Z34" s="389"/>
      <c r="AA34" s="389"/>
    </row>
    <row r="35" spans="1:37" x14ac:dyDescent="0.4">
      <c r="Z35" s="607"/>
      <c r="AA35" s="389"/>
    </row>
    <row r="37" spans="1:37" x14ac:dyDescent="0.4">
      <c r="V37" s="738"/>
    </row>
    <row r="39" spans="1:37" ht="16.5" customHeight="1" x14ac:dyDescent="0.4"/>
  </sheetData>
  <mergeCells count="39">
    <mergeCell ref="V20:V21"/>
    <mergeCell ref="W20:W21"/>
    <mergeCell ref="Z24:AA24"/>
    <mergeCell ref="H20:H21"/>
    <mergeCell ref="K20:K21"/>
    <mergeCell ref="L20:L21"/>
    <mergeCell ref="M20:M21"/>
    <mergeCell ref="R20:R21"/>
    <mergeCell ref="C20:C21"/>
    <mergeCell ref="D20:D21"/>
    <mergeCell ref="E20:E21"/>
    <mergeCell ref="F20:F21"/>
    <mergeCell ref="G20:G21"/>
    <mergeCell ref="W2:W3"/>
    <mergeCell ref="Z20:AA20"/>
    <mergeCell ref="Z21:AA21"/>
    <mergeCell ref="Z22:AA22"/>
    <mergeCell ref="Z23:AA23"/>
    <mergeCell ref="D2:D3"/>
    <mergeCell ref="E2:E3"/>
    <mergeCell ref="F2:F3"/>
    <mergeCell ref="G2:G3"/>
    <mergeCell ref="H2:H3"/>
    <mergeCell ref="V28:W28"/>
    <mergeCell ref="I2:I3"/>
    <mergeCell ref="J2:J3"/>
    <mergeCell ref="K2:K3"/>
    <mergeCell ref="Z19:AA19"/>
    <mergeCell ref="Z11:AA11"/>
    <mergeCell ref="L2:L3"/>
    <mergeCell ref="M2:M3"/>
    <mergeCell ref="N2:N3"/>
    <mergeCell ref="O2:O3"/>
    <mergeCell ref="P2:P3"/>
    <mergeCell ref="Q2:Q3"/>
    <mergeCell ref="R2:R3"/>
    <mergeCell ref="S2:S3"/>
    <mergeCell ref="U2:U3"/>
    <mergeCell ref="V2:V3"/>
  </mergeCells>
  <phoneticPr fontId="2" type="noConversion"/>
  <pageMargins left="0.11811023622047245" right="0.11811023622047245" top="0.74803149606299213" bottom="0.74803149606299213" header="0.31496062992125984" footer="0.31496062992125984"/>
  <pageSetup paperSize="9" scale="5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</vt:i4>
      </vt:variant>
    </vt:vector>
  </HeadingPairs>
  <TitlesOfParts>
    <vt:vector size="14" baseType="lpstr">
      <vt:lpstr>財112年英業達特休計算</vt:lpstr>
      <vt:lpstr>特休</vt:lpstr>
      <vt:lpstr>薪資總額</vt:lpstr>
      <vt:lpstr>辦公室</vt:lpstr>
      <vt:lpstr>工廠</vt:lpstr>
      <vt:lpstr>欣鮮-艾克爾</vt:lpstr>
      <vt:lpstr>欣鮮6月薪</vt:lpstr>
      <vt:lpstr>欣鮮6薪資條</vt:lpstr>
      <vt:lpstr>亦傑6月薪</vt:lpstr>
      <vt:lpstr>亦傑6薪資條</vt:lpstr>
      <vt:lpstr>換現金</vt:lpstr>
      <vt:lpstr>外勞薪資</vt:lpstr>
      <vt:lpstr>工廠!Print_Titles</vt:lpstr>
      <vt:lpstr>'欣鮮-艾克爾'!Print_Titles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亦傑</dc:creator>
  <cp:lastModifiedBy>嘉佑 陳</cp:lastModifiedBy>
  <cp:lastPrinted>2025-07-07T12:58:05Z</cp:lastPrinted>
  <dcterms:created xsi:type="dcterms:W3CDTF">2013-05-27T08:03:10Z</dcterms:created>
  <dcterms:modified xsi:type="dcterms:W3CDTF">2025-08-18T10:46:42Z</dcterms:modified>
</cp:coreProperties>
</file>