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fa\Documents\GitHub\WALTON_Router_PCB\Resource\DC_DC_ISO_Design_guide\"/>
    </mc:Choice>
  </mc:AlternateContent>
  <xr:revisionPtr revIDLastSave="0" documentId="13_ncr:1_{CE06E58D-3D6B-4545-B878-B4836AD42E73}" xr6:coauthVersionLast="47" xr6:coauthVersionMax="47" xr10:uidLastSave="{00000000-0000-0000-0000-000000000000}"/>
  <bookViews>
    <workbookView xWindow="-110" yWindow="-110" windowWidth="19420" windowHeight="10300" xr2:uid="{5E7789BC-FFC6-4B2F-AED5-FCA4FA618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30" i="1"/>
  <c r="C59" i="1"/>
  <c r="D59" i="1" s="1"/>
  <c r="D58" i="1"/>
  <c r="C45" i="1"/>
  <c r="D35" i="1"/>
  <c r="C33" i="1"/>
  <c r="C32" i="1"/>
  <c r="C31" i="1"/>
  <c r="D31" i="1" s="1"/>
  <c r="C26" i="1"/>
  <c r="C25" i="1"/>
  <c r="C38" i="1"/>
  <c r="C18" i="1"/>
  <c r="C8" i="1"/>
  <c r="C9" i="1" s="1"/>
  <c r="C39" i="1" s="1"/>
  <c r="D39" i="1" s="1"/>
  <c r="C27" i="1" l="1"/>
  <c r="D27" i="1" s="1"/>
  <c r="C34" i="1"/>
  <c r="C52" i="1" s="1"/>
  <c r="D52" i="1" s="1"/>
  <c r="C23" i="1"/>
  <c r="C19" i="1"/>
  <c r="C12" i="1"/>
  <c r="C10" i="1"/>
  <c r="D34" i="1" l="1"/>
  <c r="D22" i="1"/>
  <c r="C28" i="1"/>
  <c r="D12" i="1"/>
  <c r="C13" i="1"/>
  <c r="C16" i="1" s="1"/>
  <c r="C17" i="1" s="1"/>
  <c r="D17" i="1" s="1"/>
  <c r="C14" i="1"/>
  <c r="C15" i="1" s="1"/>
  <c r="C29" i="1" l="1"/>
  <c r="D29" i="1" s="1"/>
  <c r="D28" i="1"/>
  <c r="C20" i="1"/>
  <c r="C21" i="1" s="1"/>
  <c r="C46" i="1" l="1"/>
  <c r="C47" i="1"/>
  <c r="C48" i="1" l="1"/>
  <c r="C50" i="1" s="1"/>
  <c r="D50" i="1" s="1"/>
  <c r="C49" i="1" l="1"/>
  <c r="C53" i="1" s="1"/>
  <c r="C54" i="1" s="1"/>
  <c r="C55" i="1" s="1"/>
  <c r="C57" i="1" s="1"/>
  <c r="D57" i="1" s="1"/>
  <c r="C60" i="1"/>
  <c r="D60" i="1" s="1"/>
  <c r="D55" i="1" l="1"/>
  <c r="C56" i="1"/>
  <c r="D56" i="1" s="1"/>
</calcChain>
</file>

<file path=xl/sharedStrings.xml><?xml version="1.0" encoding="utf-8"?>
<sst xmlns="http://schemas.openxmlformats.org/spreadsheetml/2006/main" count="84" uniqueCount="71">
  <si>
    <t>Turn ratio</t>
  </si>
  <si>
    <t>K</t>
  </si>
  <si>
    <r>
      <rPr>
        <sz val="18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OUT</t>
    </r>
  </si>
  <si>
    <r>
      <rPr>
        <sz val="18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MAX</t>
    </r>
  </si>
  <si>
    <r>
      <rPr>
        <sz val="18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DCMIN</t>
    </r>
  </si>
  <si>
    <r>
      <rPr>
        <sz val="18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DCMAX</t>
    </r>
  </si>
  <si>
    <r>
      <rPr>
        <sz val="18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MIN</t>
    </r>
  </si>
  <si>
    <r>
      <rPr>
        <sz val="18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TYP</t>
    </r>
  </si>
  <si>
    <r>
      <rPr>
        <sz val="18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DCTYP</t>
    </r>
  </si>
  <si>
    <t>Secondary inductor</t>
  </si>
  <si>
    <r>
      <rPr>
        <sz val="18"/>
        <color theme="1"/>
        <rFont val="Calibri"/>
        <family val="2"/>
        <scheme val="minor"/>
      </rPr>
      <t>L</t>
    </r>
    <r>
      <rPr>
        <sz val="8"/>
        <color theme="1"/>
        <rFont val="Calibri"/>
        <family val="2"/>
        <scheme val="minor"/>
      </rPr>
      <t>2</t>
    </r>
  </si>
  <si>
    <r>
      <rPr>
        <sz val="1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OUT</t>
    </r>
  </si>
  <si>
    <r>
      <rPr>
        <sz val="18"/>
        <color theme="1"/>
        <rFont val="Calibri"/>
        <family val="2"/>
        <scheme val="minor"/>
      </rPr>
      <t>%ΔI</t>
    </r>
    <r>
      <rPr>
        <sz val="8"/>
        <color theme="1"/>
        <rFont val="Calibri"/>
        <family val="2"/>
        <scheme val="minor"/>
      </rPr>
      <t>SEC</t>
    </r>
  </si>
  <si>
    <r>
      <rPr>
        <sz val="18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SW</t>
    </r>
  </si>
  <si>
    <r>
      <rPr>
        <sz val="18"/>
        <color theme="1"/>
        <rFont val="Calibri"/>
        <family val="2"/>
        <scheme val="minor"/>
      </rPr>
      <t>ΔI</t>
    </r>
    <r>
      <rPr>
        <sz val="8"/>
        <color theme="1"/>
        <rFont val="Calibri"/>
        <family val="2"/>
        <scheme val="minor"/>
      </rPr>
      <t>SEC</t>
    </r>
    <r>
      <rPr>
        <sz val="11"/>
        <color theme="1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>MIN</t>
    </r>
  </si>
  <si>
    <r>
      <rPr>
        <sz val="18"/>
        <color theme="1"/>
        <rFont val="Calibri"/>
        <family val="2"/>
        <scheme val="minor"/>
      </rPr>
      <t>ΔI</t>
    </r>
    <r>
      <rPr>
        <sz val="8"/>
        <color theme="1"/>
        <rFont val="Calibri"/>
        <family val="2"/>
        <scheme val="minor"/>
      </rPr>
      <t>SEC</t>
    </r>
    <r>
      <rPr>
        <sz val="11"/>
        <color theme="1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>MAX</t>
    </r>
  </si>
  <si>
    <r>
      <rPr>
        <sz val="1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SEC,PEAK</t>
    </r>
  </si>
  <si>
    <t>Magnetizing Inductance</t>
  </si>
  <si>
    <r>
      <rPr>
        <sz val="18"/>
        <color theme="1"/>
        <rFont val="Calibri"/>
        <family val="2"/>
        <scheme val="minor"/>
      </rPr>
      <t>ΔI</t>
    </r>
    <r>
      <rPr>
        <sz val="8"/>
        <color theme="1"/>
        <rFont val="Calibri"/>
        <family val="2"/>
        <scheme val="minor"/>
      </rPr>
      <t>MAG</t>
    </r>
  </si>
  <si>
    <r>
      <rPr>
        <sz val="18"/>
        <color theme="1"/>
        <rFont val="Calibri"/>
        <family val="2"/>
        <scheme val="minor"/>
      </rPr>
      <t>L</t>
    </r>
    <r>
      <rPr>
        <sz val="8"/>
        <color theme="1"/>
        <rFont val="Calibri"/>
        <family val="2"/>
        <scheme val="minor"/>
      </rPr>
      <t>MAG</t>
    </r>
  </si>
  <si>
    <t>Selected value of magnetizing inductance</t>
  </si>
  <si>
    <r>
      <rPr>
        <sz val="18"/>
        <color theme="1"/>
        <rFont val="Calibri"/>
        <family val="2"/>
        <scheme val="minor"/>
      </rPr>
      <t>Δ</t>
    </r>
    <r>
      <rPr>
        <sz val="18"/>
        <color theme="1"/>
        <rFont val="Bodoni MT"/>
        <family val="1"/>
      </rPr>
      <t>I</t>
    </r>
    <r>
      <rPr>
        <sz val="8"/>
        <color theme="1"/>
        <rFont val="Calibri"/>
        <family val="2"/>
        <scheme val="minor"/>
      </rPr>
      <t>MAG</t>
    </r>
  </si>
  <si>
    <r>
      <rPr>
        <sz val="18"/>
        <color theme="1"/>
        <rFont val="Bell MT"/>
        <family val="1"/>
      </rPr>
      <t>L</t>
    </r>
    <r>
      <rPr>
        <sz val="8"/>
        <color theme="1"/>
        <rFont val="Calibri"/>
        <family val="2"/>
        <scheme val="minor"/>
      </rPr>
      <t>MAG</t>
    </r>
  </si>
  <si>
    <r>
      <rPr>
        <sz val="1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PRI,PEAK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</si>
  <si>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21</t>
    </r>
  </si>
  <si>
    <r>
      <rPr>
        <sz val="18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10</t>
    </r>
  </si>
  <si>
    <r>
      <rPr>
        <sz val="18"/>
        <color theme="1"/>
        <rFont val="Calibri"/>
        <family val="2"/>
        <scheme val="minor"/>
      </rPr>
      <t>K</t>
    </r>
    <r>
      <rPr>
        <sz val="8"/>
        <color theme="1"/>
        <rFont val="Calibri"/>
        <family val="2"/>
        <scheme val="minor"/>
      </rPr>
      <t>B</t>
    </r>
  </si>
  <si>
    <r>
      <rPr>
        <sz val="18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BIAS</t>
    </r>
  </si>
  <si>
    <t>BIAS Inductor (LBIAS) Selection</t>
  </si>
  <si>
    <r>
      <rPr>
        <sz val="18"/>
        <color theme="1"/>
        <rFont val="Calibri"/>
        <family val="2"/>
        <scheme val="minor"/>
      </rPr>
      <t>L</t>
    </r>
    <r>
      <rPr>
        <sz val="8"/>
        <color theme="1"/>
        <rFont val="Calibri"/>
        <family val="2"/>
        <scheme val="minor"/>
      </rPr>
      <t>1</t>
    </r>
  </si>
  <si>
    <r>
      <rPr>
        <sz val="18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10</t>
    </r>
  </si>
  <si>
    <t>η</t>
  </si>
  <si>
    <r>
      <rPr>
        <sz val="18"/>
        <color theme="1"/>
        <rFont val="Bell MT"/>
        <family val="1"/>
      </rPr>
      <t>I</t>
    </r>
    <r>
      <rPr>
        <sz val="8"/>
        <color theme="1"/>
        <rFont val="Calibri"/>
        <family val="2"/>
        <scheme val="minor"/>
      </rPr>
      <t>IN,AVG</t>
    </r>
  </si>
  <si>
    <r>
      <t>ΔV</t>
    </r>
    <r>
      <rPr>
        <sz val="8"/>
        <color theme="1"/>
        <rFont val="Calibri"/>
        <family val="2"/>
        <scheme val="minor"/>
      </rPr>
      <t>IN,RIPPLE</t>
    </r>
  </si>
  <si>
    <r>
      <t>C</t>
    </r>
    <r>
      <rPr>
        <sz val="8"/>
        <color theme="1"/>
        <rFont val="Calibri"/>
        <family val="2"/>
        <scheme val="minor"/>
      </rPr>
      <t>3</t>
    </r>
  </si>
  <si>
    <r>
      <t>f</t>
    </r>
    <r>
      <rPr>
        <sz val="8"/>
        <color theme="1"/>
        <rFont val="Calibri"/>
        <family val="2"/>
        <scheme val="minor"/>
      </rPr>
      <t>R</t>
    </r>
  </si>
  <si>
    <r>
      <t>f</t>
    </r>
    <r>
      <rPr>
        <sz val="8"/>
        <color theme="1"/>
        <rFont val="Calibri"/>
        <family val="2"/>
        <scheme val="minor"/>
      </rPr>
      <t>C</t>
    </r>
  </si>
  <si>
    <t>Choose</t>
  </si>
  <si>
    <r>
      <t>t</t>
    </r>
    <r>
      <rPr>
        <sz val="8"/>
        <color theme="1"/>
        <rFont val="Calibri"/>
        <family val="2"/>
        <scheme val="minor"/>
      </rPr>
      <t>RESPONSE</t>
    </r>
  </si>
  <si>
    <r>
      <t>I</t>
    </r>
    <r>
      <rPr>
        <sz val="8"/>
        <color theme="1"/>
        <rFont val="Calibri"/>
        <family val="2"/>
        <scheme val="minor"/>
      </rPr>
      <t>STEP</t>
    </r>
  </si>
  <si>
    <r>
      <t>ΔV</t>
    </r>
    <r>
      <rPr>
        <sz val="8"/>
        <color theme="1"/>
        <rFont val="Calibri"/>
        <family val="2"/>
        <scheme val="minor"/>
      </rPr>
      <t>OUT</t>
    </r>
  </si>
  <si>
    <r>
      <t>C</t>
    </r>
    <r>
      <rPr>
        <sz val="8"/>
        <color theme="1"/>
        <rFont val="Calibri"/>
        <family val="2"/>
        <scheme val="minor"/>
      </rPr>
      <t>OUT</t>
    </r>
  </si>
  <si>
    <t>Choosen</t>
  </si>
  <si>
    <r>
      <rPr>
        <sz val="18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7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</si>
  <si>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10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</si>
  <si>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23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</si>
  <si>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24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</si>
  <si>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17</t>
    </r>
  </si>
  <si>
    <t>CTR</t>
  </si>
  <si>
    <r>
      <rPr>
        <sz val="18"/>
        <color theme="1"/>
        <rFont val="Calibri"/>
        <family val="2"/>
        <scheme val="minor"/>
      </rPr>
      <t>S</t>
    </r>
    <r>
      <rPr>
        <sz val="8"/>
        <color theme="1"/>
        <rFont val="Calibri"/>
        <family val="2"/>
        <scheme val="minor"/>
      </rPr>
      <t>e</t>
    </r>
  </si>
  <si>
    <r>
      <rPr>
        <sz val="18"/>
        <color theme="1"/>
        <rFont val="Calibri"/>
        <family val="2"/>
        <scheme val="minor"/>
      </rPr>
      <t>S</t>
    </r>
    <r>
      <rPr>
        <sz val="8"/>
        <color theme="1"/>
        <rFont val="Calibri"/>
        <family val="2"/>
        <scheme val="minor"/>
      </rPr>
      <t>n</t>
    </r>
  </si>
  <si>
    <t>m</t>
  </si>
  <si>
    <r>
      <rPr>
        <sz val="18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DC</t>
    </r>
  </si>
  <si>
    <r>
      <rPr>
        <sz val="18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P</t>
    </r>
  </si>
  <si>
    <r>
      <rPr>
        <sz val="18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Z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</si>
  <si>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ESR</t>
    </r>
  </si>
  <si>
    <r>
      <rPr>
        <sz val="18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PLANT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</si>
  <si>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6</t>
    </r>
  </si>
  <si>
    <r>
      <rPr>
        <sz val="18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19</t>
    </r>
  </si>
  <si>
    <r>
      <rPr>
        <sz val="18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1</t>
    </r>
  </si>
  <si>
    <t>pF</t>
  </si>
  <si>
    <t>nF</t>
  </si>
  <si>
    <r>
      <rPr>
        <sz val="18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14</t>
    </r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</si>
  <si>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11</t>
    </r>
  </si>
  <si>
    <t>uF</t>
  </si>
  <si>
    <t>uS</t>
  </si>
  <si>
    <t>kHz</t>
  </si>
  <si>
    <t>uH</t>
  </si>
  <si>
    <t>mH</t>
  </si>
  <si>
    <r>
      <rPr>
        <sz val="18"/>
        <color theme="1"/>
        <rFont val="Calibri"/>
        <family val="2"/>
        <scheme val="minor"/>
      </rPr>
      <t>R</t>
    </r>
    <r>
      <rPr>
        <sz val="8"/>
        <color theme="1"/>
        <rFont val="Calibri"/>
        <family val="2"/>
        <scheme val="minor"/>
      </rPr>
      <t>22</t>
    </r>
  </si>
  <si>
    <t>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</si>
</sst>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Bell MT"/>
      <family val="1"/>
    </font>
    <font>
      <sz val="18"/>
      <color theme="1"/>
      <name val="Bodoni MT"/>
      <family val="1"/>
    </font>
    <font>
      <sz val="11"/>
      <color theme="1"/>
      <name val="Calibri"/>
      <family val="1"/>
      <scheme val="minor"/>
    </font>
    <font>
      <sz val="18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BE69-C3A6-4531-AA7E-ED77C7090D6C}">
  <dimension ref="A1:E60"/>
  <sheetViews>
    <sheetView tabSelected="1" topLeftCell="A16" workbookViewId="0">
      <selection activeCell="F21" sqref="F21"/>
    </sheetView>
  </sheetViews>
  <sheetFormatPr defaultRowHeight="14.5" x14ac:dyDescent="0.35"/>
  <cols>
    <col min="1" max="1" width="24.1796875" customWidth="1"/>
    <col min="2" max="2" width="10.1796875" customWidth="1"/>
    <col min="3" max="3" width="15" customWidth="1"/>
    <col min="4" max="4" width="11.81640625" bestFit="1" customWidth="1"/>
  </cols>
  <sheetData>
    <row r="1" spans="1:5" ht="23.5" x14ac:dyDescent="0.55000000000000004">
      <c r="B1" t="s">
        <v>13</v>
      </c>
      <c r="C1">
        <v>350000</v>
      </c>
    </row>
    <row r="2" spans="1:5" ht="23.5" x14ac:dyDescent="0.55000000000000004">
      <c r="B2" t="s">
        <v>5</v>
      </c>
      <c r="C2">
        <v>72</v>
      </c>
    </row>
    <row r="3" spans="1:5" ht="23.5" x14ac:dyDescent="0.55000000000000004">
      <c r="B3" t="s">
        <v>4</v>
      </c>
      <c r="C3">
        <v>36</v>
      </c>
    </row>
    <row r="4" spans="1:5" ht="23.5" x14ac:dyDescent="0.55000000000000004">
      <c r="B4" t="s">
        <v>8</v>
      </c>
      <c r="C4">
        <v>48</v>
      </c>
    </row>
    <row r="5" spans="1:5" ht="23.5" x14ac:dyDescent="0.55000000000000004">
      <c r="A5" s="2"/>
      <c r="B5" s="2" t="s">
        <v>2</v>
      </c>
      <c r="C5" s="2">
        <v>5</v>
      </c>
    </row>
    <row r="6" spans="1:5" ht="23.5" x14ac:dyDescent="0.55000000000000004">
      <c r="A6" s="2"/>
      <c r="B6" s="2" t="s">
        <v>11</v>
      </c>
      <c r="C6" s="2">
        <v>8</v>
      </c>
    </row>
    <row r="7" spans="1:5" ht="23.5" x14ac:dyDescent="0.55000000000000004">
      <c r="B7" t="s">
        <v>3</v>
      </c>
      <c r="C7">
        <v>0.46</v>
      </c>
    </row>
    <row r="8" spans="1:5" ht="23.5" x14ac:dyDescent="0.55000000000000004">
      <c r="A8" t="s">
        <v>0</v>
      </c>
      <c r="B8" s="1" t="s">
        <v>1</v>
      </c>
      <c r="C8">
        <f>SUM(C5/(C3*C7))</f>
        <v>0.30193236714975841</v>
      </c>
    </row>
    <row r="9" spans="1:5" ht="23.5" x14ac:dyDescent="0.55000000000000004">
      <c r="B9" t="s">
        <v>6</v>
      </c>
      <c r="C9">
        <f>SUM(C5/(C2*C8))</f>
        <v>0.23000000000000004</v>
      </c>
    </row>
    <row r="10" spans="1:5" ht="23.5" x14ac:dyDescent="0.55000000000000004">
      <c r="B10" t="s">
        <v>7</v>
      </c>
      <c r="C10">
        <f>SUM(C5/(C4*C8))</f>
        <v>0.34500000000000008</v>
      </c>
    </row>
    <row r="11" spans="1:5" ht="23.5" x14ac:dyDescent="0.55000000000000004">
      <c r="B11" t="s">
        <v>12</v>
      </c>
      <c r="C11">
        <v>0.6</v>
      </c>
    </row>
    <row r="12" spans="1:5" ht="23.5" x14ac:dyDescent="0.55000000000000004">
      <c r="A12" t="s">
        <v>9</v>
      </c>
      <c r="B12" t="s">
        <v>10</v>
      </c>
      <c r="C12">
        <f>SUM((C5*(1-C9)/(C6*C11*C1)))</f>
        <v>2.2916666666666666E-6</v>
      </c>
      <c r="D12">
        <f>SUM(C12*1000000)</f>
        <v>2.2916666666666665</v>
      </c>
      <c r="E12" t="s">
        <v>67</v>
      </c>
    </row>
    <row r="13" spans="1:5" ht="23.5" x14ac:dyDescent="0.55000000000000004">
      <c r="B13" t="s">
        <v>14</v>
      </c>
      <c r="C13">
        <f>SUM((C5*(1-C7))/(C12*C1))</f>
        <v>3.3662337662337669</v>
      </c>
    </row>
    <row r="14" spans="1:5" ht="23.5" x14ac:dyDescent="0.55000000000000004">
      <c r="B14" t="s">
        <v>15</v>
      </c>
      <c r="C14">
        <f>SUM((C5*(1-C9))/(C12*C1))</f>
        <v>4.8000000000000007</v>
      </c>
    </row>
    <row r="15" spans="1:5" ht="23.5" x14ac:dyDescent="0.55000000000000004">
      <c r="B15" t="s">
        <v>16</v>
      </c>
      <c r="C15">
        <f>SUM(C6+(C14/2))</f>
        <v>10.4</v>
      </c>
    </row>
    <row r="16" spans="1:5" ht="23.5" x14ac:dyDescent="0.55000000000000004">
      <c r="A16" t="s">
        <v>17</v>
      </c>
      <c r="B16" t="s">
        <v>18</v>
      </c>
      <c r="C16">
        <f>SUM((C13*C8)/2)</f>
        <v>0.50818746470920384</v>
      </c>
    </row>
    <row r="17" spans="1:5" ht="23.5" x14ac:dyDescent="0.55000000000000004">
      <c r="B17" s="5" t="s">
        <v>22</v>
      </c>
      <c r="C17">
        <f>SUM((C2*C9)/(C16*C1))</f>
        <v>9.3104000000000008E-5</v>
      </c>
      <c r="D17">
        <f>SUM(C17*1000000)</f>
        <v>93.104000000000013</v>
      </c>
      <c r="E17" t="s">
        <v>67</v>
      </c>
    </row>
    <row r="18" spans="1:5" ht="31" x14ac:dyDescent="0.55000000000000004">
      <c r="A18" s="4" t="s">
        <v>20</v>
      </c>
      <c r="B18" s="2" t="s">
        <v>19</v>
      </c>
      <c r="C18" s="2">
        <f>SUM(D18/1000000)</f>
        <v>1E-4</v>
      </c>
      <c r="D18" s="2">
        <v>100</v>
      </c>
      <c r="E18" t="s">
        <v>67</v>
      </c>
    </row>
    <row r="19" spans="1:5" ht="23.5" x14ac:dyDescent="0.55000000000000004">
      <c r="B19" t="s">
        <v>21</v>
      </c>
      <c r="C19">
        <f>SUM((C2*C9)/(C18*C1))</f>
        <v>0.4731428571428572</v>
      </c>
    </row>
    <row r="20" spans="1:5" ht="23.5" x14ac:dyDescent="0.55000000000000004">
      <c r="B20" t="s">
        <v>23</v>
      </c>
      <c r="C20">
        <f>SUM((C15*C8)+(C16/2))</f>
        <v>3.3941903507120896</v>
      </c>
    </row>
    <row r="21" spans="1:5" ht="23.5" x14ac:dyDescent="0.55000000000000004">
      <c r="B21" t="s">
        <v>24</v>
      </c>
      <c r="C21">
        <f>SUM(0.305/(1.2*C20))</f>
        <v>7.4882855822550831E-2</v>
      </c>
    </row>
    <row r="22" spans="1:5" ht="23.5" x14ac:dyDescent="0.55000000000000004">
      <c r="B22" t="s">
        <v>25</v>
      </c>
      <c r="C22">
        <f>SUM(C19*((1-C9)^2)/(8*0.2*C2*C1))</f>
        <v>6.9575000000000004E-9</v>
      </c>
      <c r="D22">
        <f>SUM(C22*1000000000)</f>
        <v>6.9575000000000005</v>
      </c>
      <c r="E22" t="s">
        <v>61</v>
      </c>
    </row>
    <row r="23" spans="1:5" ht="23.5" x14ac:dyDescent="0.55000000000000004">
      <c r="B23" t="s">
        <v>30</v>
      </c>
      <c r="C23">
        <f>SUM(1.4*(C2/(1-C9)))</f>
        <v>130.90909090909088</v>
      </c>
    </row>
    <row r="24" spans="1:5" ht="23.5" x14ac:dyDescent="0.55000000000000004">
      <c r="B24" s="1" t="s">
        <v>31</v>
      </c>
      <c r="C24">
        <v>0.92</v>
      </c>
    </row>
    <row r="25" spans="1:5" ht="23.5" x14ac:dyDescent="0.55000000000000004">
      <c r="B25" s="6" t="s">
        <v>32</v>
      </c>
      <c r="C25">
        <f>SUM((C5*C6)/(C24*C3))</f>
        <v>1.2077294685990336</v>
      </c>
    </row>
    <row r="26" spans="1:5" ht="23.5" x14ac:dyDescent="0.55000000000000004">
      <c r="B26" s="6" t="s">
        <v>33</v>
      </c>
      <c r="C26">
        <f>SUM(0.02*C3)</f>
        <v>0.72</v>
      </c>
    </row>
    <row r="27" spans="1:5" ht="23.5" x14ac:dyDescent="0.55000000000000004">
      <c r="B27" s="6" t="s">
        <v>34</v>
      </c>
      <c r="C27">
        <f>SUM((C25*(1-C7))/(C26*C1))</f>
        <v>2.5879917184265004E-6</v>
      </c>
      <c r="D27">
        <f>SUM(C27*1000000)</f>
        <v>2.5879917184265002</v>
      </c>
      <c r="E27" t="s">
        <v>64</v>
      </c>
    </row>
    <row r="28" spans="1:5" ht="23.5" x14ac:dyDescent="0.55000000000000004">
      <c r="B28" s="6" t="s">
        <v>35</v>
      </c>
      <c r="C28">
        <f>SUM((1-C7)/(2*PI()*SQRT(C18*C22)))</f>
        <v>103035.5951425005</v>
      </c>
      <c r="D28">
        <f>SUM(C28/1000)</f>
        <v>103.0355951425005</v>
      </c>
    </row>
    <row r="29" spans="1:5" ht="23.5" x14ac:dyDescent="0.55000000000000004">
      <c r="B29" s="6" t="s">
        <v>36</v>
      </c>
      <c r="C29">
        <f>SUM(C28/5)</f>
        <v>20607.119028500099</v>
      </c>
      <c r="D29">
        <f>SUM(C29/1000)</f>
        <v>20.607119028500101</v>
      </c>
      <c r="E29" t="s">
        <v>66</v>
      </c>
    </row>
    <row r="30" spans="1:5" ht="23.5" x14ac:dyDescent="0.55000000000000004">
      <c r="A30" s="2" t="s">
        <v>37</v>
      </c>
      <c r="B30" s="7" t="s">
        <v>36</v>
      </c>
      <c r="C30" s="2">
        <v>10000</v>
      </c>
      <c r="D30" s="2">
        <f>SUM(C30/1000)</f>
        <v>10</v>
      </c>
      <c r="E30" t="s">
        <v>66</v>
      </c>
    </row>
    <row r="31" spans="1:5" ht="23.5" x14ac:dyDescent="0.55000000000000004">
      <c r="B31" s="1" t="s">
        <v>38</v>
      </c>
      <c r="C31">
        <f>SUM((0.33/C30)+(1/C1))</f>
        <v>3.5857142857142862E-5</v>
      </c>
      <c r="D31">
        <f>SUM(C31*1000000)</f>
        <v>35.857142857142861</v>
      </c>
      <c r="E31" t="s">
        <v>65</v>
      </c>
    </row>
    <row r="32" spans="1:5" ht="23.5" x14ac:dyDescent="0.55000000000000004">
      <c r="B32" s="1" t="s">
        <v>39</v>
      </c>
      <c r="C32">
        <f>C6*25%</f>
        <v>2</v>
      </c>
    </row>
    <row r="33" spans="1:5" ht="23.5" x14ac:dyDescent="0.55000000000000004">
      <c r="B33" s="1" t="s">
        <v>40</v>
      </c>
      <c r="C33">
        <f>C5*3%</f>
        <v>0.15</v>
      </c>
    </row>
    <row r="34" spans="1:5" ht="23.5" x14ac:dyDescent="0.55000000000000004">
      <c r="B34" s="1" t="s">
        <v>41</v>
      </c>
      <c r="C34">
        <f>SUM((C32*C31)/(2*C33))</f>
        <v>2.3904761904761909E-4</v>
      </c>
      <c r="D34">
        <f>SUM(C34*1000000)</f>
        <v>239.04761904761909</v>
      </c>
      <c r="E34" t="s">
        <v>64</v>
      </c>
    </row>
    <row r="35" spans="1:5" ht="23.5" x14ac:dyDescent="0.55000000000000004">
      <c r="A35" s="2" t="s">
        <v>42</v>
      </c>
      <c r="B35" s="8" t="s">
        <v>41</v>
      </c>
      <c r="C35" s="2">
        <v>4.0000000000000002E-4</v>
      </c>
      <c r="D35" s="2">
        <f>SUM(C35*1000000)</f>
        <v>400</v>
      </c>
      <c r="E35" t="s">
        <v>64</v>
      </c>
    </row>
    <row r="36" spans="1:5" ht="23.5" x14ac:dyDescent="0.55000000000000004">
      <c r="B36" s="1"/>
    </row>
    <row r="37" spans="1:5" ht="23.5" x14ac:dyDescent="0.55000000000000004">
      <c r="B37" t="s">
        <v>27</v>
      </c>
      <c r="C37">
        <v>12</v>
      </c>
    </row>
    <row r="38" spans="1:5" ht="23.5" x14ac:dyDescent="0.55000000000000004">
      <c r="B38" t="s">
        <v>26</v>
      </c>
      <c r="C38">
        <f>SUM(C37/(C7*C3))</f>
        <v>0.72463768115942018</v>
      </c>
    </row>
    <row r="39" spans="1:5" ht="31" x14ac:dyDescent="0.55000000000000004">
      <c r="A39" s="3" t="s">
        <v>28</v>
      </c>
      <c r="B39" t="s">
        <v>29</v>
      </c>
      <c r="C39">
        <f>SUM((C37*(1-C9)/(0.003*C1)))</f>
        <v>8.8000000000000005E-3</v>
      </c>
      <c r="D39">
        <f>SUM(C39*1000)</f>
        <v>8.8000000000000007</v>
      </c>
      <c r="E39" t="s">
        <v>68</v>
      </c>
    </row>
    <row r="40" spans="1:5" ht="23.5" x14ac:dyDescent="0.55000000000000004">
      <c r="B40" t="s">
        <v>43</v>
      </c>
    </row>
    <row r="41" spans="1:5" ht="23.5" x14ac:dyDescent="0.55000000000000004">
      <c r="B41" t="s">
        <v>45</v>
      </c>
      <c r="C41">
        <v>49900</v>
      </c>
    </row>
    <row r="42" spans="1:5" ht="23.5" x14ac:dyDescent="0.55000000000000004">
      <c r="B42" t="s">
        <v>46</v>
      </c>
      <c r="C42">
        <v>22000</v>
      </c>
    </row>
    <row r="43" spans="1:5" ht="23.5" x14ac:dyDescent="0.55000000000000004">
      <c r="B43" t="s">
        <v>47</v>
      </c>
      <c r="C43">
        <v>470</v>
      </c>
    </row>
    <row r="44" spans="1:5" ht="23.5" x14ac:dyDescent="0.55000000000000004">
      <c r="B44" s="1" t="s">
        <v>48</v>
      </c>
      <c r="C44">
        <v>1</v>
      </c>
    </row>
    <row r="45" spans="1:5" ht="23.5" x14ac:dyDescent="0.55000000000000004">
      <c r="B45" t="s">
        <v>44</v>
      </c>
      <c r="C45">
        <f>SUM(400*C44*(C5-2.7))</f>
        <v>919.99999999999989</v>
      </c>
    </row>
    <row r="46" spans="1:5" ht="23.5" x14ac:dyDescent="0.55000000000000004">
      <c r="B46" t="s">
        <v>49</v>
      </c>
      <c r="C46">
        <f>SUM((50*(10^3))+((C4*C21)/C18))</f>
        <v>85943.770794824406</v>
      </c>
    </row>
    <row r="47" spans="1:5" ht="23.5" x14ac:dyDescent="0.55000000000000004">
      <c r="B47" t="s">
        <v>50</v>
      </c>
      <c r="C47">
        <f>SUM(C8*C21*((C8*C4-C5)/C12))</f>
        <v>93655.401966299614</v>
      </c>
    </row>
    <row r="48" spans="1:5" ht="23.5" x14ac:dyDescent="0.55000000000000004">
      <c r="B48" s="1" t="s">
        <v>51</v>
      </c>
      <c r="C48">
        <f>SUM(1+(C46/C47))</f>
        <v>1.9176595155263962</v>
      </c>
    </row>
    <row r="49" spans="2:5" ht="23.5" x14ac:dyDescent="0.55000000000000004">
      <c r="B49" t="s">
        <v>52</v>
      </c>
      <c r="C49">
        <f>SUM((C5/(2*C8*C6*C21))*(1/(1+(C5/(C6*C12*C1)*(C48*(1-C10)-0.5)))))</f>
        <v>8.6975101351340722</v>
      </c>
    </row>
    <row r="50" spans="2:5" ht="23.5" x14ac:dyDescent="0.55000000000000004">
      <c r="B50" t="s">
        <v>53</v>
      </c>
      <c r="C50">
        <f>SUM((1/(2*PI()*(C5/C6)*C34))+((C48*(1-C10)-0.5))/(2*PI()*C12*C34*C1))</f>
        <v>1692.850863377404</v>
      </c>
      <c r="D50">
        <f>SUM(C50/1000)</f>
        <v>1.692850863377404</v>
      </c>
      <c r="E50" t="s">
        <v>66</v>
      </c>
    </row>
    <row r="51" spans="2:5" ht="23.5" x14ac:dyDescent="0.55000000000000004">
      <c r="B51" t="s">
        <v>55</v>
      </c>
      <c r="C51">
        <v>8.9999999999999993E-3</v>
      </c>
    </row>
    <row r="52" spans="2:5" ht="23.5" x14ac:dyDescent="0.55000000000000004">
      <c r="B52" t="s">
        <v>54</v>
      </c>
      <c r="C52">
        <f>SUM(1/(2*PI()*C51*C34))</f>
        <v>73976.401171531703</v>
      </c>
      <c r="D52">
        <f>SUM(C52/1000)</f>
        <v>73.976401171531705</v>
      </c>
      <c r="E52" t="s">
        <v>66</v>
      </c>
    </row>
    <row r="53" spans="2:5" ht="23.5" x14ac:dyDescent="0.55000000000000004">
      <c r="B53" t="s">
        <v>56</v>
      </c>
      <c r="C53">
        <f>SUM(C49*(SQRT((1+(C30/C52)^2)/(1+(C30/C50)^2))))</f>
        <v>1.4649081823257863</v>
      </c>
    </row>
    <row r="54" spans="2:5" x14ac:dyDescent="0.35">
      <c r="C54">
        <f>SUM(C53*C44*((C43/C45)*(C41/C42)))</f>
        <v>1.6974551185813571</v>
      </c>
    </row>
    <row r="55" spans="2:5" ht="23.5" x14ac:dyDescent="0.55000000000000004">
      <c r="B55" t="s">
        <v>57</v>
      </c>
      <c r="C55">
        <f>SUM(C41/(C54-1))</f>
        <v>71545.822334056385</v>
      </c>
      <c r="D55">
        <f>SUM(C55/1000)</f>
        <v>71.545822334056382</v>
      </c>
      <c r="E55" t="s">
        <v>70</v>
      </c>
    </row>
    <row r="56" spans="2:5" ht="23.5" x14ac:dyDescent="0.55000000000000004">
      <c r="B56" t="s">
        <v>58</v>
      </c>
      <c r="C56">
        <f>SUM(10/(PI()*C55*C30))</f>
        <v>4.449035258796272E-9</v>
      </c>
      <c r="D56">
        <f>SUM(C56*1000000000)</f>
        <v>4.4490352587962718</v>
      </c>
      <c r="E56" t="s">
        <v>61</v>
      </c>
    </row>
    <row r="57" spans="2:5" ht="23.5" x14ac:dyDescent="0.55000000000000004">
      <c r="B57" t="s">
        <v>59</v>
      </c>
      <c r="C57">
        <f>SUM((C41+C55)/(PI()*C41*C1*C55))</f>
        <v>3.0937116839262788E-11</v>
      </c>
      <c r="D57">
        <f>SUM(C57*1000000000000)</f>
        <v>30.937116839262789</v>
      </c>
      <c r="E57" t="s">
        <v>60</v>
      </c>
    </row>
    <row r="58" spans="2:5" ht="23.5" x14ac:dyDescent="0.55000000000000004">
      <c r="B58" t="s">
        <v>63</v>
      </c>
      <c r="C58">
        <v>49900</v>
      </c>
      <c r="D58">
        <f>SUM(C58/1000)</f>
        <v>49.9</v>
      </c>
      <c r="E58" t="s">
        <v>70</v>
      </c>
    </row>
    <row r="59" spans="2:5" ht="23.5" x14ac:dyDescent="0.55000000000000004">
      <c r="B59" t="s">
        <v>69</v>
      </c>
      <c r="C59">
        <f>SUM(C58/((C5/1.24)-1))</f>
        <v>16456.382978723403</v>
      </c>
      <c r="D59">
        <f>SUM(C59/1000)</f>
        <v>16.456382978723404</v>
      </c>
      <c r="E59" t="s">
        <v>70</v>
      </c>
    </row>
    <row r="60" spans="2:5" ht="23.5" x14ac:dyDescent="0.55000000000000004">
      <c r="B60" t="s">
        <v>62</v>
      </c>
      <c r="C60">
        <f>SUM(1/(2*PI()*C58*C50))</f>
        <v>1.8840867122278748E-9</v>
      </c>
      <c r="D60">
        <f>SUM(C60*1000000000)</f>
        <v>1.8840867122278748</v>
      </c>
      <c r="E6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Haque</dc:creator>
  <cp:lastModifiedBy>Faisal Haque</cp:lastModifiedBy>
  <dcterms:created xsi:type="dcterms:W3CDTF">2023-09-18T14:09:38Z</dcterms:created>
  <dcterms:modified xsi:type="dcterms:W3CDTF">2023-09-24T05:14:26Z</dcterms:modified>
</cp:coreProperties>
</file>