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esktop\컴활2급실기_함수 50문제(버전1.6)\"/>
    </mc:Choice>
  </mc:AlternateContent>
  <x:bookViews>
    <x:workbookView xWindow="0" yWindow="0" windowWidth="21345" windowHeight="8640" tabRatio="721" activeTab="9"/>
  </x:bookViews>
  <x:sheets>
    <x:sheet name="계산작업1" sheetId="1" r:id="rId4"/>
    <x:sheet name="계산작업2" sheetId="2" r:id="rId5"/>
    <x:sheet name="계산작업3" sheetId="3" r:id="rId6"/>
    <x:sheet name="계산작업4" sheetId="4" r:id="rId7"/>
    <x:sheet name="계산작업5" sheetId="5" r:id="rId8"/>
    <x:sheet name="계산작업6" sheetId="6" r:id="rId9"/>
    <x:sheet name="계산작업7" sheetId="7" r:id="rId10"/>
    <x:sheet name="계산작업8" sheetId="8" r:id="rId11"/>
    <x:sheet name="계산작업9" sheetId="9" r:id="rId12"/>
    <x:sheet name="계산작업10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<x:sst xmlns:r="http://schemas.openxmlformats.org/officeDocument/2006/relationships" xmlns:c="http://schemas.openxmlformats.org/drawingml/2006/chart" xmlns:x="http://schemas.openxmlformats.org/spreadsheetml/2006/main" count="1375" uniqueCount="660">
  <x:si>
    <x:t>정기시험</x:t>
  </x:si>
  <x:si>
    <x:t>정시</x:t>
  </x:si>
  <x:si>
    <x:t>근무점수가 가장 높은 직원의 이름</x:t>
  </x:si>
  <x:si>
    <x:t>가장 높은 점수를 받은 학생의 이름</x:t>
  </x:si>
  <x:si>
    <x:t>부서가 생산부인 연수성적의 평균</x:t>
  </x:si>
  <x:si>
    <x:t>[표2] 춘천 시외버스 시간표</x:t>
  </x:si>
  <x:si>
    <x:t>미세먼지
PM-10 (㎍/m³)</x:t>
  </x:si>
  <x:si>
    <x:t>전체평균에서 생산부 직원 평균 차</x:t>
  </x:si>
  <x:si>
    <x:t>루수로 끝나는 선수들이 실책률 합계</x:t>
  </x:si>
  <x:si>
    <x:t>엑셀 점수의 최대값과 최소값의 차</x:t>
  </x:si>
  <x:si>
    <x:t xml:space="preserve"> 성별이 '남'인 학생의 최대점수와
성별이 '여'인 학생의 최대 점수의 평균</x:t>
  </x:si>
  <x:si>
    <x:t>임대료가 100만원이상 150만원 이하 임대료 비율</x:t>
  </x:si>
  <x:si>
    <x:t>21-B2125</x:t>
  </x:si>
  <x:si>
    <x:t>22-C2292</x:t>
  </x:si>
  <x:si>
    <x:t>980605-3216911</x:t>
  </x:si>
  <x:si>
    <x:t>960707-5372277</x:t>
  </x:si>
  <x:si>
    <x:t>011-7485-2563</x:t>
  </x:si>
  <x:si>
    <x:t>090930-6829876</x:t>
  </x:si>
  <x:si>
    <x:t>011-1234-5678</x:t>
  </x:si>
  <x:si>
    <x:t>011-1478-5236</x:t>
  </x:si>
  <x:si>
    <x:t>010521-4523642</x:t>
  </x:si>
  <x:si>
    <x:t>010210-3023417</x:t>
  </x:si>
  <x:si>
    <x:t>000310-4112541</x:t>
  </x:si>
  <x:si>
    <x:t>840630-1253241</x:t>
  </x:si>
  <x:si>
    <x:t>20-C2460</x:t>
  </x:si>
  <x:si>
    <x:t>1998.06.07</x:t>
  </x:si>
  <x:si>
    <x:t>KYBU68116</x:t>
  </x:si>
  <x:si>
    <x:t>1995.10.21</x:t>
  </x:si>
  <x:si>
    <x:t>KACH42990</x:t>
  </x:si>
  <x:si>
    <x:t>제일 빠른 기록</x:t>
  </x:si>
  <x:si>
    <x:t>1997.06.03</x:t>
  </x:si>
  <x:si>
    <x:t>2001.01.05</x:t>
  </x:si>
  <x:si>
    <x:t>21-B2829</x:t>
  </x:si>
  <x:si>
    <x:t>KAWO36074</x:t>
  </x:si>
  <x:si>
    <x:t>KAKA86293</x:t>
  </x:si>
  <x:si>
    <x:t>동면행정복지센터</x:t>
  </x:si>
  <x:si>
    <x:t>소양동행정복지센터</x:t>
  </x:si>
  <x:si>
    <x:t>후평 병설유치원</x:t>
  </x:si>
  <x:si>
    <x:t>온의동행정복지센터</x:t>
  </x:si>
  <x:si>
    <x:t>후평동행정복시센터</x:t>
  </x:si>
  <x:si>
    <x:t>신남행정복지센터</x:t>
  </x:si>
  <x:si>
    <x:t>장학리행정복시센터</x:t>
  </x:si>
  <x:si>
    <x:t>물품코드 판매 현황</x:t>
  </x:si>
  <x:si>
    <x:t>2020-08-20</x:t>
  </x:si>
  <x:si>
    <x:t>공지천 놀이공원</x:t>
  </x:si>
  <x:si>
    <x:t>강촌 레일바이크</x:t>
  </x:si>
  <x:si>
    <x:t>DAEJ32383</x:t>
  </x:si>
  <x:si>
    <x:t>INCH48644</x:t>
  </x:si>
  <x:si>
    <x:t>바나나 판매액의 평균</x:t>
  </x:si>
  <x:si>
    <x:t>BMI(신체질량지수)</x:t>
  </x:si>
  <x:si>
    <x:t>BUSA18838</x:t>
  </x:si>
  <x:si>
    <x:t>DAEG25512</x:t>
  </x:si>
  <x:si>
    <x:t>GWAN40767</x:t>
  </x:si>
  <x:si>
    <x:t>1분기 2분기 모수 45이상이고
참여일수가 평균이상인 비율</x:t>
  </x:si>
  <x:si>
    <x:t>031020-3261492</x:t>
  </x:si>
  <x:si>
    <x:t>011-9574-3142</x:t>
  </x:si>
  <x:si>
    <x:t>점수가 3번째로 높은 이름</x:t>
  </x:si>
  <x:si>
    <x:t>020328-3154685</x:t>
  </x:si>
  <x:si>
    <x:t>900923-1356235</x:t>
  </x:si>
  <x:si>
    <x:t>011-2365-4789</x:t>
  </x:si>
  <x:si>
    <x:t>011-1254-9865</x:t>
  </x:si>
  <x:si>
    <x:t>020103-2161958</x:t>
  </x:si>
  <x:si>
    <x:t>대기오염물질평균 측정값</x:t>
  </x:si>
  <x:si>
    <x:t>[표4] 사무실 임대료</x:t>
  </x:si>
  <x:si>
    <x:t>100924-4516568</x:t>
  </x:si>
  <x:si>
    <x:t>010110-6785427</x:t>
  </x:si>
  <x:si>
    <x:t>[표1]100m 달리기 기록</x:t>
  </x:si>
  <x:si>
    <x:t>961022-1252310</x:t>
  </x:si>
  <x:si>
    <x:t>[표3] 기풍이대입응시현황</x:t>
  </x:si>
  <x:si>
    <x:t>951102-2015210</x:t>
  </x:si>
  <x:si>
    <x:t>011-9874-5612</x:t>
  </x:si>
  <x:si>
    <x:t>4월과 5월의 강수량의 차이</x:t>
  </x:si>
  <x:si>
    <x:t>011-9658-7412</x:t>
  </x:si>
  <x:si>
    <x:t>브리핑 포 미국</x:t>
  </x:si>
  <x:si>
    <x:t>P20-2020</x:t>
  </x:si>
  <x:si>
    <x:t>P22-2022</x:t>
  </x:si>
  <x:si>
    <x:t>소프트웨어 장인</x:t>
  </x:si>
  <x:si>
    <x:t>20-A2948</x:t>
  </x:si>
  <x:si>
    <x:t>P21-2550</x:t>
  </x:si>
  <x:si>
    <x:t>20-A2969</x:t>
  </x:si>
  <x:si>
    <x:t>생산부 점수의 평균</x:t>
  </x:si>
  <x:si>
    <x:t>영업부의 평균 연봉</x:t>
  </x:si>
  <x:si>
    <x:t>우주를 만든 혁명</x:t>
  </x:si>
  <x:si>
    <x:t>1990.06.01</x:t>
  </x:si>
  <x:si>
    <x:t>S20-2020</x:t>
  </x:si>
  <x:si>
    <x:t>S21-2021</x:t>
  </x:si>
  <x:si>
    <x:t>S23-2023</x:t>
  </x:si>
  <x:si>
    <x:t>20-A2274</x:t>
  </x:si>
  <x:si>
    <x:t>23-C2481</x:t>
  </x:si>
  <x:si>
    <x:t>1991.02.21</x:t>
  </x:si>
  <x:si>
    <x:t>1990.07.26</x:t>
  </x:si>
  <x:si>
    <x:t>1991.08.17</x:t>
  </x:si>
  <x:si>
    <x:t>영업부</x:t>
  </x:si>
  <x:si>
    <x:t>A반</x:t>
  </x:si>
  <x:si>
    <x:t>입사일</x:t>
  </x:si>
  <x:si>
    <x:t>김상덕</x:t>
  </x:si>
  <x:si>
    <x:t>D</x:t>
  </x:si>
  <x:si>
    <x:t>2학년</x:t>
  </x:si>
  <x:si>
    <x:t>홍보부</x:t>
  </x:si>
  <x:si>
    <x:t>C</x:t>
  </x:si>
  <x:si>
    <x:t>A</x:t>
  </x:si>
  <x:si>
    <x:t>김정기</x:t>
  </x:si>
  <x:si>
    <x:t>철학</x:t>
  </x:si>
  <x:si>
    <x:t>과학</x:t>
  </x:si>
  <x:si>
    <x:t>춘천</x:t>
  </x:si>
  <x:si>
    <x:t>이원철</x:t>
  </x:si>
  <x:si>
    <x:t>사원명</x:t>
  </x:si>
  <x:si>
    <x:t>부산</x:t>
  </x:si>
  <x:si>
    <x:t>근무지</x:t>
  </x:si>
  <x:si>
    <x:t>기술</x:t>
  </x:si>
  <x:si>
    <x:t>고승민</x:t>
  </x:si>
  <x:si>
    <x:t>박갑열</x:t>
  </x:si>
  <x:si>
    <x:t>옥미경</x:t>
  </x:si>
  <x:si>
    <x:t>서울</x:t>
  </x:si>
  <x:si>
    <x:t>S</x:t>
  </x:si>
  <x:si>
    <x:t>분류</x:t>
  </x:si>
  <x:si>
    <x:t>예술</x:t>
  </x:si>
  <x:si>
    <x:t>김신혜</x:t>
  </x:si>
  <x:si>
    <x:t>분류명</x:t>
  </x:si>
  <x:si>
    <x:t>P</x:t>
  </x:si>
  <x:si>
    <x:t>출석</x:t>
  </x:si>
  <x:si>
    <x:t>도서명</x:t>
  </x:si>
  <x:si>
    <x:t>이기준</x:t>
  </x:si>
  <x:si>
    <x:t>신동혁</x:t>
  </x:si>
  <x:si>
    <x:t>T</x:t>
  </x:si>
  <x:si>
    <x:t>메뉴</x:t>
  </x:si>
  <x:si>
    <x:t>만두</x:t>
  </x:si>
  <x:si>
    <x:t>판매수</x:t>
  </x:si>
  <x:si>
    <x:t>감자</x:t>
  </x:si>
  <x:si>
    <x:t>떡</x:t>
  </x:si>
  <x:si>
    <x:t>밥</x:t>
  </x:si>
  <x:si>
    <x:t>서인숙</x:t>
  </x:si>
  <x:si>
    <x:t>등급</x:t>
  </x:si>
  <x:si>
    <x:t>곱창</x:t>
  </x:si>
  <x:si>
    <x:t>판정</x:t>
  </x:si>
  <x:si>
    <x:t>직급</x:t>
  </x:si>
  <x:si>
    <x:t>매출액</x:t>
  </x:si>
  <x:si>
    <x:t>이미희</x:t>
  </x:si>
  <x:si>
    <x:t>연봉</x:t>
  </x:si>
  <x:si>
    <x:t>엑셀</x:t>
  </x:si>
  <x:si>
    <x:t>과장</x:t>
  </x:si>
  <x:si>
    <x:t>구분</x:t>
  </x:si>
  <x:si>
    <x:t>국가론</x:t>
  </x:si>
  <x:si>
    <x:t>학과</x:t>
  </x:si>
  <x:si>
    <x:t>차돌</x:t>
  </x:si>
  <x:si>
    <x:t>우동</x:t>
  </x:si>
  <x:si>
    <x:t>개발부</x:t>
  </x:si>
  <x:si>
    <x:t>F</x:t>
  </x:si>
  <x:si>
    <x:t>봉사자</x:t>
  </x:si>
  <x:si>
    <x:t>박종학</x:t>
  </x:si>
  <x:si>
    <x:t>종목</x:t>
  </x:si>
  <x:si>
    <x:t>렉서스</x:t>
  </x:si>
  <x:si>
    <x:t>김금선</x:t>
  </x:si>
  <x:si>
    <x:t>대창</x:t>
  </x:si>
  <x:si>
    <x:t>미라쌤</x:t>
  </x:si>
  <x:si>
    <x:t>기풍쌤</x:t>
  </x:si>
  <x:si>
    <x:t>소유준</x:t>
  </x:si>
  <x:si>
    <x:t>담당쌤</x:t>
  </x:si>
  <x:si>
    <x:t>기록</x:t>
  </x:si>
  <x:si>
    <x:t>교실</x:t>
  </x:si>
  <x:si>
    <x:t>열매반</x:t>
  </x:si>
  <x:si>
    <x:t>정진혁</x:t>
  </x:si>
  <x:si>
    <x:t>화학과</x:t>
  </x:si>
  <x:si>
    <x:t>심종섭</x:t>
  </x:si>
  <x:si>
    <x:t>이강철</x:t>
  </x:si>
  <x:si>
    <x:t>여</x:t>
  </x:si>
  <x:si>
    <x:t>남</x:t>
  </x:si>
  <x:si>
    <x:t>씨앗반</x:t>
  </x:si>
  <x:si>
    <x:t>토요타</x:t>
  </x:si>
  <x:si>
    <x:t>잎새반</x:t>
  </x:si>
  <x:si>
    <x:t>이헌강</x:t>
  </x:si>
  <x:si>
    <x:t>대출</x:t>
  </x:si>
  <x:si>
    <x:t>1분기</x:t>
  </x:si>
  <x:si>
    <x:t>사학과</x:t>
  </x:si>
  <x:si>
    <x:t>김동철</x:t>
  </x:si>
  <x:si>
    <x:t>슬기쌤</x:t>
  </x:si>
  <x:si>
    <x:t>부천</x:t>
  </x:si>
  <x:si>
    <x:t>캐딜락</x:t>
  </x:si>
  <x:si>
    <x:t>이경호</x:t>
  </x:si>
  <x:si>
    <x:t>과목</x:t>
  </x:si>
  <x:si>
    <x:t>USD</x:t>
  </x:si>
  <x:si>
    <x:t>강릉</x:t>
  </x:si>
  <x:si>
    <x:t>최상신</x:t>
  </x:si>
  <x:si>
    <x:t>JPY</x:t>
  </x:si>
  <x:si>
    <x:t>최금선</x:t>
  </x:si>
  <x:si>
    <x:t>미국</x:t>
  </x:si>
  <x:si>
    <x:t>관리부</x:t>
  </x:si>
  <x:si>
    <x:t>2분기</x:t>
  </x:si>
  <x:si>
    <x:t>신현수</x:t>
  </x:si>
  <x:si>
    <x:t>크루즈</x:t>
  </x:si>
  <x:si>
    <x:t>곽호둥</x:t>
  </x:si>
  <x:si>
    <x:t>방문</x:t>
  </x:si>
  <x:si>
    <x:t>원주</x:t>
  </x:si>
  <x:si>
    <x:t>국가</x:t>
  </x:si>
  <x:si>
    <x:t>대구</x:t>
  </x:si>
  <x:si>
    <x:t>강정화</x:t>
  </x:si>
  <x:si>
    <x:t>일본</x:t>
  </x:si>
  <x:si>
    <x:t>관람표</x:t>
  </x:si>
  <x:si>
    <x:t>환율</x:t>
  </x:si>
  <x:si>
    <x:t>상세</x:t>
  </x:si>
  <x:si>
    <x:t>최상복</x:t>
  </x:si>
  <x:si>
    <x:t>박재용</x:t>
  </x:si>
  <x:si>
    <x:t>배영숙</x:t>
  </x:si>
  <x:si>
    <x:t>박강훈</x:t>
  </x:si>
  <x:si>
    <x:t>통화명</x:t>
  </x:si>
  <x:si>
    <x:t>시드니</x:t>
  </x:si>
  <x:si>
    <x:t>강경순</x:t>
  </x:si>
  <x:si>
    <x:t>인천</x:t>
  </x:si>
  <x:si>
    <x:t>광주</x:t>
  </x:si>
  <x:si>
    <x:t>철학과</x:t>
  </x:si>
  <x:si>
    <x:t>대전</x:t>
  </x:si>
  <x:si>
    <x:t>곽봉규</x:t>
  </x:si>
  <x:si>
    <x:t>제품</x:t>
  </x:si>
  <x:si>
    <x:t>GBP</x:t>
  </x:si>
  <x:si>
    <x:t>곽복류</x:t>
  </x:si>
  <x:si>
    <x:t>CNY</x:t>
  </x:si>
  <x:si>
    <x:t>사과</x:t>
  </x:si>
  <x:si>
    <x:t>숙박</x:t>
  </x:si>
  <x:si>
    <x:t>바나나</x:t>
  </x:si>
  <x:si>
    <x:t>캐나다</x:t>
  </x:si>
  <x:si>
    <x:t>AUD</x:t>
  </x:si>
  <x:si>
    <x:t>카페</x:t>
  </x:si>
  <x:si>
    <x:t>CHF</x:t>
  </x:si>
  <x:si>
    <x:t>성남</x:t>
  </x:si>
  <x:si>
    <x:t>가격</x:t>
  </x:si>
  <x:si>
    <x:t>박물관</x:t>
  </x:si>
  <x:si>
    <x:t>김상표</x:t>
  </x:si>
  <x:si>
    <x:t>동해</x:t>
  </x:si>
  <x:si>
    <x:t>포항</x:t>
  </x:si>
  <x:si>
    <x:t>호주</x:t>
  </x:si>
  <x:si>
    <x:t>영국</x:t>
  </x:si>
  <x:si>
    <x:t>판매액</x:t>
  </x:si>
  <x:si>
    <x:t>중국</x:t>
  </x:si>
  <x:si>
    <x:t>수량</x:t>
  </x:si>
  <x:si>
    <x:t>포도주</x:t>
  </x:si>
  <x:si>
    <x:t>EUR</x:t>
  </x:si>
  <x:si>
    <x:t>양탄자</x:t>
  </x:si>
  <x:si>
    <x:t>HKD</x:t>
  </x:si>
  <x:si>
    <x:t>홍콩</x:t>
  </x:si>
  <x:si>
    <x:t>전형</x:t>
  </x:si>
  <x:si>
    <x:t>유재천</x:t>
  </x:si>
  <x:si>
    <x:t>응시일</x:t>
  </x:si>
  <x:si>
    <x:t>요금</x:t>
  </x:si>
  <x:si>
    <x:t>스위스</x:t>
  </x:si>
  <x:si>
    <x:t>홍길동</x:t>
  </x:si>
  <x:si>
    <x:t>비만</x:t>
  </x:si>
  <x:si>
    <x:t>고혜원</x:t>
  </x:si>
  <x:si>
    <x:t>신장</x:t>
  </x:si>
  <x:si>
    <x:t>접수일</x:t>
  </x:si>
  <x:si>
    <x:t>유재식</x:t>
  </x:si>
  <x:si>
    <x:t>김미영</x:t>
  </x:si>
  <x:si>
    <x:t>유럽</x:t>
  </x:si>
  <x:si>
    <x:t>CAD</x:t>
  </x:si>
  <x:si>
    <x:t>수원</x:t>
  </x:si>
  <x:si>
    <x:t>시험장</x:t>
  </x:si>
  <x:si>
    <x:t>남원</x:t>
  </x:si>
  <x:si>
    <x:t>박병재</x:t>
  </x:si>
  <x:si>
    <x:t>임소운</x:t>
  </x:si>
  <x:si>
    <x:t>체중</x:t>
  </x:si>
  <x:si>
    <x:t>이몽룡</x:t>
  </x:si>
  <x:si>
    <x:t>김말자</x:t>
  </x:si>
  <x:si>
    <x:t>김세인</x:t>
  </x:si>
  <x:si>
    <x:t>멜버른</x:t>
  </x:si>
  <x:si>
    <x:t>김송희</x:t>
  </x:si>
  <x:si>
    <x:t>김은지</x:t>
  </x:si>
  <x:si>
    <x:t>전주</x:t>
  </x:si>
  <x:si>
    <x:t>박준희</x:t>
  </x:si>
  <x:si>
    <x:t>박하늘</x:t>
  </x:si>
  <x:si>
    <x:t>학점</x:t>
  </x:si>
  <x:si>
    <x:t>비만도</x:t>
  </x:si>
  <x:si>
    <x:t>김귀순</x:t>
  </x:si>
  <x:si>
    <x:t>동부</x:t>
  </x:si>
  <x:si>
    <x:t>김익래</x:t>
  </x:si>
  <x:si>
    <x:t>김지수</x:t>
  </x:si>
  <x:si>
    <x:t>김대훈</x:t>
  </x:si>
  <x:si>
    <x:t>서부</x:t>
  </x:si>
  <x:si>
    <x:t>손글씨</x:t>
  </x:si>
  <x:si>
    <x:t>3위</x:t>
  </x:si>
  <x:si>
    <x:t>가구</x:t>
  </x:si>
  <x:si>
    <x:t/>
  </x:si>
  <x:si>
    <x:t>1위</x:t>
  </x:si>
  <x:si>
    <x:t>요리</x:t>
  </x:si>
  <x:si>
    <x:t>성춘향</x:t>
  </x:si>
  <x:si>
    <x:t>2위</x:t>
  </x:si>
  <x:si>
    <x:t>최우수</x:t>
  </x:si>
  <x:si>
    <x:t>★★★</x:t>
  </x:si>
  <x:si>
    <x:t>우수</x:t>
  </x:si>
  <x:si>
    <x:t>☆</x:t>
  </x:si>
  <x:si>
    <x:t>2명</x:t>
  </x:si>
  <x:si>
    <x:t>여자</x:t>
  </x:si>
  <x:si>
    <x:t>이름</x:t>
  </x:si>
  <x:si>
    <x:t>김석환</x:t>
  </x:si>
  <x:si>
    <x:t>본선</x:t>
  </x:si>
  <x:si>
    <x:t>★★</x:t>
  </x:si>
  <x:si>
    <x:t>고소득</x:t>
  </x:si>
  <x:si>
    <x:t>내국인</x:t>
  </x:si>
  <x:si>
    <x:t>김윤선</x:t>
  </x:si>
  <x:si>
    <x:t>도서</x:t>
  </x:si>
  <x:si>
    <x:t>탈락</x:t>
  </x:si>
  <x:si>
    <x:t>외국인</x:t>
  </x:si>
  <x:si>
    <x:t>국적</x:t>
  </x:si>
  <x:si>
    <x:t>남자</x:t>
  </x:si>
  <x:si>
    <x:t>액세스</x:t>
  </x:si>
  <x:si>
    <x:t>신은희</x:t>
  </x:si>
  <x:si>
    <x:t>★</x:t>
  </x:si>
  <x:si>
    <x:t>이상</x:t>
  </x:si>
  <x:si>
    <x:t>김은희</x:t>
  </x:si>
  <x:si>
    <x:t>조나단</x:t>
  </x:si>
  <x:si>
    <x:t>관악구</x:t>
  </x:si>
  <x:si>
    <x:t>대리</x:t>
  </x:si>
  <x:si>
    <x:t>정상</x:t>
  </x:si>
  <x:si>
    <x:t>차장</x:t>
  </x:si>
  <x:si>
    <x:t>액셀</x:t>
  </x:si>
  <x:si>
    <x:t>구로구</x:t>
  </x:si>
  <x:si>
    <x:t>에밀리</x:t>
  </x:si>
  <x:si>
    <x:t>BMI</x:t>
  </x:si>
  <x:si>
    <x:t>박낙균</x:t>
  </x:si>
  <x:si>
    <x:t>곽복규</x:t>
  </x:si>
  <x:si>
    <x:t>직책</x:t>
  </x:si>
  <x:si>
    <x:t>팀명</x:t>
  </x:si>
  <x:si>
    <x:t>강남구</x:t>
  </x:si>
  <x:si>
    <x:t>사번</x:t>
  </x:si>
  <x:si>
    <x:t>앨리스</x:t>
  </x:si>
  <x:si>
    <x:t>년도</x:t>
  </x:si>
  <x:si>
    <x:t>4월</x:t>
  </x:si>
  <x:si>
    <x:t>강수량</x:t>
  </x:si>
  <x:si>
    <x:t>금천구</x:t>
  </x:si>
  <x:si>
    <x:t>급여</x:t>
  </x:si>
  <x:si>
    <x:t>광진구</x:t>
  </x:si>
  <x:si>
    <x:t>월</x:t>
  </x:si>
  <x:si>
    <x:t>부장</x:t>
  </x:si>
  <x:si>
    <x:t>사원</x:t>
  </x:si>
  <x:si>
    <x:t>과체중</x:t>
  </x:si>
  <x:si>
    <x:t>판단</x:t>
  </x:si>
  <x:si>
    <x:t>저체중</x:t>
  </x:si>
  <x:si>
    <x:t>학번</x:t>
  </x:si>
  <x:si>
    <x:t>성별</x:t>
  </x:si>
  <x:si>
    <x:t>인사부</x:t>
  </x:si>
  <x:si>
    <x:t>할인율</x:t>
  </x:si>
  <x:si>
    <x:t>벌금</x:t>
  </x:si>
  <x:si>
    <x:t>날짜</x:t>
  </x:si>
  <x:si>
    <x:t>김영훈</x:t>
  </x:si>
  <x:si>
    <x:t>온의동</x:t>
  </x:si>
  <x:si>
    <x:t>나여인</x:t>
  </x:si>
  <x:si>
    <x:t>정재미</x:t>
  </x:si>
  <x:si>
    <x:t>강동구</x:t>
  </x:si>
  <x:si>
    <x:t>경기도</x:t>
  </x:si>
  <x:si>
    <x:t>결과</x:t>
  </x:si>
  <x:si>
    <x:t>동내면</x:t>
  </x:si>
  <x:si>
    <x:t>5층</x:t>
  </x:si>
  <x:si>
    <x:t>5월</x:t>
  </x:si>
  <x:si>
    <x:t>홍정남</x:t>
  </x:si>
  <x:si>
    <x:t>영업팀</x:t>
  </x:si>
  <x:si>
    <x:t>지역명</x:t>
  </x:si>
  <x:si>
    <x:t>2층</x:t>
  </x:si>
  <x:si>
    <x:t>부서</x:t>
  </x:si>
  <x:si>
    <x:t>효자동</x:t>
  </x:si>
  <x:si>
    <x:t>홍재근</x:t>
  </x:si>
  <x:si>
    <x:t>생산팀</x:t>
  </x:si>
  <x:si>
    <x:t>구봉산</x:t>
  </x:si>
  <x:si>
    <x:t>노원구</x:t>
  </x:si>
  <x:si>
    <x:t>박미숙</x:t>
  </x:si>
  <x:si>
    <x:t>강서구</x:t>
  </x:si>
  <x:si>
    <x:t>평가</x:t>
  </x:si>
  <x:si>
    <x:t>성명</x:t>
  </x:si>
  <x:si>
    <x:t>번호</x:t>
  </x:si>
  <x:si>
    <x:t>인사팀</x:t>
  </x:si>
  <x:si>
    <x:t>강북구</x:t>
  </x:si>
  <x:si>
    <x:t>학교</x:t>
  </x:si>
  <x:si>
    <x:t>층수</x:t>
  </x:si>
  <x:si>
    <x:t>4층</x:t>
  </x:si>
  <x:si>
    <x:t>신경희</x:t>
  </x:si>
  <x:si>
    <x:t>우명관</x:t>
  </x:si>
  <x:si>
    <x:t>김우영</x:t>
  </x:si>
  <x:si>
    <x:t>직위</x:t>
  </x:si>
  <x:si>
    <x:t>박준홍</x:t>
  </x:si>
  <x:si>
    <x:t>박신현</x:t>
  </x:si>
  <x:si>
    <x:t>3층</x:t>
  </x:si>
  <x:si>
    <x:t>생산부</x:t>
  </x:si>
  <x:si>
    <x:t>1층</x:t>
  </x:si>
  <x:si>
    <x:t>4루수</x:t>
  </x:si>
  <x:si>
    <x:t>이석민</x:t>
  </x:si>
  <x:si>
    <x:t>석사동</x:t>
  </x:si>
  <x:si>
    <x:t>강현욱</x:t>
  </x:si>
  <x:si>
    <x:t>수비</x:t>
  </x:si>
  <x:si>
    <x:t>곽선자</x:t>
  </x:si>
  <x:si>
    <x:t>장진수</x:t>
  </x:si>
  <x:si>
    <x:t>1학년</x:t>
  </x:si>
  <x:si>
    <x:t>반</x:t>
  </x:si>
  <x:si>
    <x:t>유격수</x:t>
  </x:si>
  <x:si>
    <x:t>후평동</x:t>
  </x:si>
  <x:si>
    <x:t>강원도</x:t>
  </x:si>
  <x:si>
    <x:t>서면</x:t>
  </x:si>
  <x:si>
    <x:t>김유성</x:t>
  </x:si>
  <x:si>
    <x:t>퇴계동</x:t>
  </x:si>
  <x:si>
    <x:t>동면</x:t>
  </x:si>
  <x:si>
    <x:t>평수</x:t>
  </x:si>
  <x:si>
    <x:t>할인량</x:t>
  </x:si>
  <x:si>
    <x:t>한인애</x:t>
  </x:si>
  <x:si>
    <x:t>곽경미</x:t>
  </x:si>
  <x:si>
    <x:t>지역</x:t>
  </x:si>
  <x:si>
    <x:t>곽향순</x:t>
  </x:si>
  <x:si>
    <x:t>우익수</x:t>
  </x:si>
  <x:si>
    <x:t>B</x:t>
  </x:si>
  <x:si>
    <x:t>3루수</x:t>
  </x:si>
  <x:si>
    <x:t>공은주</x:t>
  </x:si>
  <x:si>
    <x:t>B반</x:t>
  </x:si>
  <x:si>
    <x:t>유경자</x:t>
  </x:si>
  <x:si>
    <x:t>학년</x:t>
  </x:si>
  <x:si>
    <x:t>김병래</x:t>
  </x:si>
  <x:si>
    <x:t>조병철</x:t>
  </x:si>
  <x:si>
    <x:t>죄익수</x:t>
  </x:si>
  <x:si>
    <x:t>배찬희</x:t>
  </x:si>
  <x:si>
    <x:t>곽명식</x:t>
  </x:si>
  <x:si>
    <x:t>이성룡</x:t>
  </x:si>
  <x:si>
    <x:t>이일선</x:t>
  </x:si>
  <x:si>
    <x:t>3월</x:t>
  </x:si>
  <x:si>
    <x:t>1루수</x:t>
  </x:si>
  <x:si>
    <x:t>기준일</x:t>
  </x:si>
  <x:si>
    <x:t>선수</x:t>
  </x:si>
  <x:si>
    <x:t>이승렬</x:t>
  </x:si>
  <x:si>
    <x:t>안명숙</x:t>
  </x:si>
  <x:si>
    <x:t>실책률</x:t>
  </x:si>
  <x:si>
    <x:t>2루수</x:t>
  </x:si>
  <x:si>
    <x:t>점수</x:t>
  </x:si>
  <x:si>
    <x:t>한성권</x:t>
  </x:si>
  <x:si>
    <x:t>판매량</x:t>
  </x:si>
  <x:si>
    <x:t>☆☆☆</x:t>
  </x:si>
  <x:si>
    <x:t>☆☆</x:t>
  </x:si>
  <x:si>
    <x:t>심리학과 이면서 점수가 평균 이상인 인원수</x:t>
  </x:si>
  <x:si>
    <x:t>[표4]</x:t>
  </x:si>
  <x:si>
    <x:t>시험통과</x:t>
  </x:si>
  <x:si>
    <x:t>최고기온</x:t>
  </x:si>
  <x:si>
    <x:t>최저기온</x:t>
  </x:si>
  <x:si>
    <x:t>코드오류</x:t>
  </x:si>
  <x:si>
    <x:t>3502W</x:t>
  </x:si>
  <x:si>
    <x:t>5008W</x:t>
  </x:si>
  <x:si>
    <x:t>5350W</x:t>
  </x:si>
  <x:si>
    <x:t>[표3]</x:t>
  </x:si>
  <x:si>
    <x:t>체중(KG)</x:t>
  </x:si>
  <x:si>
    <x:t>노력필요</x:t>
  </x:si>
  <x:si>
    <x:t>6940W</x:t>
  </x:si>
  <x:si>
    <x:t>5899W</x:t>
  </x:si>
  <x:si>
    <x:t>5413W</x:t>
  </x:si>
  <x:si>
    <x:t>신장(CM)</x:t>
  </x:si>
  <x:si>
    <x:t>[표1]</x:t>
  </x:si>
  <x:si>
    <x:t>김유정 문학촌</x:t>
  </x:si>
  <x:si>
    <x:t>측정소명</x:t>
  </x:si>
  <x:si>
    <x:t>소득구분</x:t>
  </x:si>
  <x:si>
    <x:t>할인율표</x:t>
  </x:si>
  <x:si>
    <x:t>임대료
(원)</x:t>
  </x:si>
  <x:si>
    <x:t>오존오염순위</x:t>
  </x:si>
  <x:si>
    <x:t>관리기관</x:t>
  </x:si>
  <x:si>
    <x:t>충청북도</x:t>
  </x:si>
  <x:si>
    <x:t>전라북도</x:t>
  </x:si>
  <x:si>
    <x:t>[표5]</x:t>
  </x:si>
  <x:si>
    <x:t>2017년</x:t>
  </x:si>
  <x:si>
    <x:t>오존오염도</x:t>
  </x:si>
  <x:si>
    <x:t>충청남도</x:t>
  </x:si>
  <x:si>
    <x:t>K-1001</x:t>
  </x:si>
  <x:si>
    <x:t>경상남도</x:t>
  </x:si>
  <x:si>
    <x:t>전기 할인량</x:t>
  </x:si>
  <x:si>
    <x:t>3월전기량</x:t>
  </x:si>
  <x:si>
    <x:t>2월전기량</x:t>
  </x:si>
  <x:si>
    <x:t>전월차전기량</x:t>
  </x:si>
  <x:si>
    <x:t>1차기록</x:t>
  </x:si>
  <x:si>
    <x:t>2차기록</x:t>
  </x:si>
  <x:si>
    <x:t>2018년</x:t>
  </x:si>
  <x:si>
    <x:t>2019년</x:t>
  </x:si>
  <x:si>
    <x:t>전화번호</x:t>
  </x:si>
  <x:si>
    <x:t>[표2]</x:t>
  </x:si>
  <x:si>
    <x:t>주민번호</x:t>
  </x:si>
  <x:si>
    <x:t>2020년</x:t>
  </x:si>
  <x:si>
    <x:t>고가점수</x:t>
  </x:si>
  <x:si>
    <x:t>지역코드</x:t>
  </x:si>
  <x:si>
    <x:t>스카이워크</x:t>
  </x:si>
  <x:si>
    <x:t>전라남도</x:t>
  </x:si>
  <x:si>
    <x:t>경상북도</x:t>
  </x:si>
  <x:si>
    <x:t>예술은 이해</x:t>
  </x:si>
  <x:si>
    <x:t>1차고가점수</x:t>
  </x:si>
  <x:si>
    <x:t>남궁현숙</x:t>
  </x:si>
  <x:si>
    <x:t>만천 초등학교</x:t>
  </x:si>
  <x:si>
    <x:t>분류코드</x:t>
  </x:si>
  <x:si>
    <x:t>2차성적</x:t>
  </x:si>
  <x:si>
    <x:t>기술적인 진화</x:t>
  </x:si>
  <x:si>
    <x:t>건축학과</x:t>
  </x:si>
  <x:si>
    <x:t>P-81611</x:t>
  </x:si>
  <x:si>
    <x:t>도서코드</x:t>
  </x:si>
  <x:si>
    <x:t>T-13041</x:t>
  </x:si>
  <x:si>
    <x:t>T-36946</x:t>
  </x:si>
  <x:si>
    <x:t>놀이시설</x:t>
  </x:si>
  <x:si>
    <x:t>S-59857</x:t>
  </x:si>
  <x:si>
    <x:t>연차일수</x:t>
  </x:si>
  <x:si>
    <x:t>사원번호</x:t>
  </x:si>
  <x:si>
    <x:t>수비 기회</x:t>
  </x:si>
  <x:si>
    <x:t xml:space="preserve"> 춘천고등학교</x:t>
  </x:si>
  <x:si>
    <x:t>인사고과</x:t>
  </x:si>
  <x:si>
    <x:t>파워포인트</x:t>
  </x:si>
  <x:si>
    <x:t>입사구분</x:t>
  </x:si>
  <x:si>
    <x:t>코딩학과</x:t>
  </x:si>
  <x:si>
    <x:t>금역구역</x:t>
  </x:si>
  <x:si>
    <x:t>기술지원</x:t>
  </x:si>
  <x:si>
    <x:t>K-76644</x:t>
  </x:si>
  <x:si>
    <x:t>1차성적</x:t>
  </x:si>
  <x:si>
    <x:t>K-2001</x:t>
  </x:si>
  <x:si>
    <x:t>강원중학교</x:t>
  </x:si>
  <x:si>
    <x:t>드론학과</x:t>
  </x:si>
  <x:si>
    <x:t>사번코드</x:t>
  </x:si>
  <x:si>
    <x:t>인사관리</x:t>
  </x:si>
  <x:si>
    <x:t>실책 수</x:t>
  </x:si>
  <x:si>
    <x:t>심리학과</x:t>
  </x:si>
  <x:si>
    <x:t>퇴실시간</x:t>
  </x:si>
  <x:si>
    <x:t>도착시간</x:t>
  </x:si>
  <x:si>
    <x:t>한국지엠</x:t>
  </x:si>
  <x:si>
    <x:t>입실시간</x:t>
  </x:si>
  <x:si>
    <x:t>연구개발</x:t>
  </x:si>
  <x:si>
    <x:t>추가메뉴</x:t>
  </x:si>
  <x:si>
    <x:t>2차고가점수</x:t>
  </x:si>
  <x:si>
    <x:t>A-55742</x:t>
  </x:si>
  <x:si>
    <x:t>2차승진시험</x:t>
  </x:si>
  <x:si>
    <x:t>[사원코드표]</x:t>
  </x:si>
  <x:si>
    <x:t>판매금액</x:t>
  </x:si>
  <x:si>
    <x:t>A-43530</x:t>
  </x:si>
  <x:si>
    <x:t>출발시간</x:t>
  </x:si>
  <x:si>
    <x:t>기아자동차</x:t>
  </x:si>
  <x:si>
    <x:t>예술이 생각</x:t>
  </x:si>
  <x:si>
    <x:t>B66696</x:t>
  </x:si>
  <x:si>
    <x:t>주행기록</x:t>
  </x:si>
  <x:si>
    <x:t>쌍용자동차</x:t>
  </x:si>
  <x:si>
    <x:t>현대자동차</x:t>
  </x:si>
  <x:si>
    <x:t>[등급]</x:t>
  </x:si>
  <x:si>
    <x:t>S-35962</x:t>
  </x:si>
  <x:si>
    <x:t>생명과학과</x:t>
  </x:si>
  <x:si>
    <x:t>B85689</x:t>
  </x:si>
  <x:si>
    <x:t>회원번호</x:t>
  </x:si>
  <x:si>
    <x:t>A11242</x:t>
  </x:si>
  <x:si>
    <x:t>점수 평균</x:t>
  </x:si>
  <x:si>
    <x:t>[코드분류표]</x:t>
  </x:si>
  <x:si>
    <x:t>예술의 역사</x:t>
  </x:si>
  <x:si>
    <x:t>메인메뉴</x:t>
  </x:si>
  <x:si>
    <x:t>A45041</x:t>
  </x:si>
  <x:si>
    <x:t>참여일수</x:t>
  </x:si>
  <x:si>
    <x:t>전국체전</x:t>
  </x:si>
  <x:si>
    <x:t>시험날짜</x:t>
  </x:si>
  <x:si>
    <x:t>동아마라톤</x:t>
  </x:si>
  <x:si>
    <x:t xml:space="preserve">오늘날짜: </x:t>
  </x:si>
  <x:si>
    <x:t>CM-14C</x:t>
  </x:si>
  <x:si>
    <x:t>B39918</x:t>
  </x:si>
  <x:si>
    <x:t>DM-17D</x:t>
  </x:si>
  <x:si>
    <x:t>BM-12S</x:t>
  </x:si>
  <x:si>
    <x:t>시험구분</x:t>
  </x:si>
  <x:si>
    <x:t>날치알밥</x:t>
  </x:si>
  <x:si>
    <x:t>물리학과</x:t>
  </x:si>
  <x:si>
    <x:t>지역번호</x:t>
  </x:si>
  <x:si>
    <x:t>생년월일</x:t>
  </x:si>
  <x:si>
    <x:t>AM-01B</x:t>
  </x:si>
  <x:si>
    <x:t>연수성적</x:t>
  </x:si>
  <x:si>
    <x:t>DP-07B</x:t>
  </x:si>
  <x:si>
    <x:t>CP-11S</x:t>
  </x:si>
  <x:si>
    <x:t>A22582</x:t>
  </x:si>
  <x:si>
    <x:t>1차승진시험</x:t>
  </x:si>
  <x:si>
    <x:t>AP-06D</x:t>
  </x:si>
  <x:si>
    <x:t>[환율표]</x:t>
  </x:si>
  <x:si>
    <x:t>군산새만금</x:t>
  </x:si>
  <x:si>
    <x:t>회원코드</x:t>
  </x:si>
  <x:si>
    <x:t>B88148</x:t>
  </x:si>
  <x:si>
    <x:t>사용시간</x:t>
  </x:si>
  <x:si>
    <x:t>BP-11S</x:t>
  </x:si>
  <x:si>
    <x:t>근무점수</x:t>
  </x:si>
  <x:si>
    <x:t>입사년차</x:t>
  </x:si>
  <x:si>
    <x:t>BS-18S</x:t>
  </x:si>
  <x:si>
    <x:t>CS-09D</x:t>
  </x:si>
  <x:si>
    <x:t>A17444</x:t>
  </x:si>
  <x:si>
    <x:t>동아일보</x:t>
  </x:si>
  <x:si>
    <x:t>호주통화</x:t>
  </x:si>
  <x:si>
    <x:t>골드코스트</x:t>
  </x:si>
  <x:si>
    <x:t>접수지역</x:t>
  </x:si>
  <x:si>
    <x:t>BM-14C</x:t>
  </x:si>
  <x:si>
    <x:t>백제대학교</x:t>
  </x:si>
  <x:si>
    <x:t>가야대학교</x:t>
  </x:si>
  <x:si>
    <x:t>국대후보</x:t>
  </x:si>
  <x:si>
    <x:t>실대경기</x:t>
  </x:si>
  <x:si>
    <x:t>주요경력</x:t>
  </x:si>
  <x:si>
    <x:t>지출(원)</x:t>
  </x:si>
  <x:si>
    <x:t>1130BNH</x:t>
  </x:si>
  <x:si>
    <x:t xml:space="preserve">[표5] </x:t>
  </x:si>
  <x:si>
    <x:t>독도대학교</x:t>
  </x:si>
  <x:si>
    <x:t>1430FGH</x:t>
  </x:si>
  <x:si>
    <x:t>고조전대학교</x:t>
  </x:si>
  <x:si>
    <x:t>AS-02B</x:t>
  </x:si>
  <x:si>
    <x:t>1530ZMI</x:t>
  </x:si>
  <x:si>
    <x:t>갱신날짜</x:t>
  </x:si>
  <x:si>
    <x:t>BP-11C</x:t>
  </x:si>
  <x:si>
    <x:t>브리즈번</x:t>
  </x:si>
  <x:si>
    <x:t>1330ABC</x:t>
  </x:si>
  <x:si>
    <x:t>중앙서울</x:t>
  </x:si>
  <x:si>
    <x:t>1230JKR</x:t>
  </x:si>
  <x:si>
    <x:t>부여대학교</x:t>
  </x:si>
  <x:si>
    <x:t>응시시간</x:t>
  </x:si>
  <x:si>
    <x:t>승진시험</x:t>
  </x:si>
  <x:si>
    <x:t>발해대학교</x:t>
  </x:si>
  <x:si>
    <x:t>0830FEJ</x:t>
  </x:si>
  <x:si>
    <x:t>레스토랑</x:t>
  </x:si>
  <x:si>
    <x:t>AP-07B</x:t>
  </x:si>
  <x:si>
    <x:t>컴활2급</x:t>
  </x:si>
  <x:si>
    <x:t>접수번호</x:t>
  </x:si>
  <x:si>
    <x:t>KO1450</x:t>
  </x:si>
  <x:si>
    <x:t>참가지역</x:t>
  </x:si>
  <x:si>
    <x:t>발급코드</x:t>
  </x:si>
  <x:si>
    <x:t>[시험장소]</x:t>
  </x:si>
  <x:si>
    <x:t>[비만도]</x:t>
  </x:si>
  <x:si>
    <x:t>C005</x:t>
  </x:si>
  <x:si>
    <x:t>C003</x:t>
  </x:si>
  <x:si>
    <x:t>0930AZN</x:t>
  </x:si>
  <x:si>
    <x:t>B002</x:t>
  </x:si>
  <x:si>
    <x:t>기풍대학교</x:t>
  </x:si>
  <x:si>
    <x:t>KO1688</x:t>
  </x:si>
  <x:si>
    <x:t>KO1089</x:t>
  </x:si>
  <x:si>
    <x:t>2021년</x:t>
  </x:si>
  <x:si>
    <x:t>A002</x:t>
  </x:si>
  <x:si>
    <x:t>국립공원</x:t>
  </x:si>
  <x:si>
    <x:t>[비만도표]</x:t>
  </x:si>
  <x:si>
    <x:t>KO1619</x:t>
  </x:si>
  <x:si>
    <x:t>컴퓨터공학</x:t>
  </x:si>
  <x:si>
    <x:t>KO1703</x:t>
  </x:si>
  <x:si>
    <x:t>KO1097</x:t>
  </x:si>
  <x:si>
    <x:t>시험장소</x:t>
  </x:si>
  <x:si>
    <x:t>30이상</x:t>
  </x:si>
  <x:si>
    <x:t>KO1491</x:t>
  </x:si>
  <x:si>
    <x:t>&gt;=600</x:t>
  </x:si>
  <x:si>
    <x:t>한국대학교</x:t>
  </x:si>
  <x:si>
    <x:t>2022년</x:t>
  </x:si>
  <x:si>
    <x:t>선수번호</x:t>
  </x:si>
  <x:si>
    <x:t>KO1784</x:t>
  </x:si>
  <x:si>
    <x:t>소프트웨어공학</x:t>
  </x:si>
  <x:si>
    <x:t>A001</x:t>
  </x:si>
  <x:si>
    <x:t>A004</x:t>
  </x:si>
  <x:si>
    <x:t>B001</x:t>
  </x:si>
  <x:si>
    <x:t>&lt;400</x:t>
  </x:si>
  <x:si>
    <x:t>3196W</x:t>
  </x:si>
  <x:si>
    <x:t>메인메뉴가 아니면서 판매수가 평균 이상인 합</x:t>
  </x:si>
  <x:si>
    <x:t>사원이면서 판매량이 400미만 600이상인 평균</x:t>
  </x:si>
  <x:si>
    <x:t>1차시험, 2차시험 모두 3위 안에 드는 인원수</x:t>
  </x:si>
  <x:si>
    <x:t>20년</x:t>
  </x:si>
  <x:si>
    <x:t>지사</x:t>
  </x:si>
  <x:si>
    <x:t>8년</x:t>
  </x:si>
  <x:si>
    <x:t>16년</x:t>
  </x:si>
  <x:si>
    <x:t>4년</x:t>
  </x:si>
  <x:si>
    <x:t>11년</x:t>
  </x:si>
  <x:si>
    <x:t>21년</x:t>
  </x:si>
  <x:si>
    <x:t>13년</x:t>
  </x:si>
  <x:si>
    <x:t>10년</x:t>
  </x:si>
  <x:si>
    <x:t>5년</x:t>
  </x:si>
  <x:si>
    <x:t>상시시험</x:t>
  </x:si>
  <x:si>
    <x:t>1시간 3분 14초</x:t>
  </x:si>
  <x:si>
    <x:t>상비군</x:t>
  </x:si>
  <x:si>
    <x:t>본사</x:t>
  </x:si>
  <x:si>
    <x:t>15년</x:t>
  </x:si>
  <x:si>
    <x:t>수시</x:t>
  </x:si>
  <x:si>
    <x:t>국가대표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</x:si>
</x:sst>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5">
    <x:numFmt numFmtId="164" formatCode="0_);[Red]\(0\)"/>
    <x:numFmt numFmtId="165" formatCode="0_ "/>
    <x:numFmt numFmtId="166" formatCode="&quot;~ &quot;\ General"/>
    <x:numFmt numFmtId="167" formatCode="#.##"/>
    <x:numFmt numFmtId="168" formatCode="0.##"/>
    <x:numFmt numFmtId="169" formatCode="0.000_ "/>
    <x:numFmt numFmtId="170" formatCode="#,##0&quot;~&quot;"/>
    <x:numFmt numFmtId="171" formatCode="#,##0&quot;W&quot;"/>
    <x:numFmt numFmtId="172" formatCode="0.00_ "/>
    <x:numFmt numFmtId="173" formatCode="h:mm;@"/>
    <x:numFmt numFmtId="174" formatCode="_-* #,##0.00_-;\-* #,##0.00_-;_-* &quot;-&quot;_-;_-@_-"/>
    <x:numFmt numFmtId="175" formatCode="#,##0_);[Red]\(#,##0\)"/>
    <x:numFmt numFmtId="176" formatCode="000"/>
    <x:numFmt numFmtId="177" formatCode="yyyy\/mm\/dd;@"/>
    <x:numFmt numFmtId="178" formatCode="hh:mm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1"/>
      <x:color rgb="ff040c28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7415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7415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33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33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6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center"/>
    </x:xf>
  </x:cellStyleXfs>
  <x:cellXfs count="98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left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9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9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9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9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0" borderId="1" xfId="0" applyNumberFormat="1" applyFont="1" applyBorder="1" applyAlignment="1">
          <x:alignment horizontal="center" vertical="center"/>
        </x:xf>
      </mc:Fallback>
    </mc:AlternateContent>
    <x:xf numFmtId="9" fontId="0" fillId="0" borderId="1" xfId="1" applyNumberFormat="1" applyFont="1" applyBorder="1">
      <x:alignment horizontal="general" vertical="center"/>
    </x:xf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0" fillId="0" borderId="1" xfId="2" applyNumberFormat="1" applyFont="1" applyBorder="1" applyAlignment="1">
          <x:alignment horizontal="center" vertical="center"/>
        </x:xf>
      </mc:Fallback>
    </mc:AlternateContent>
    <x:xf numFmtId="9" fontId="0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1" fontId="0" fillId="0" borderId="1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1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Border="1" applyAlignment="1">
          <x:alignment horizontal="center" vertical="center"/>
        </x:xf>
      </mc:Fallback>
    </mc:AlternateContent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x:xf numFmtId="172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2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2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 wrapText="1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x:xf numFmtId="0" fontId="0" fillId="0" borderId="0" xfId="0" applyNumberFormat="1" applyFont="1" applyAlignment="1">
      <x:alignment horizontal="left" vertical="top"/>
    </x:xf>
    <x:xf numFmtId="0" fontId="0" fillId="4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1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1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Border="1" applyAlignment="1">
          <x:alignment horizontal="center" vertical="center"/>
        </x:xf>
      </mc:Fallback>
    </mc:AlternateContent>
    <x:xf numFmtId="0" fontId="8" fillId="0" borderId="3" xfId="0" applyNumberFormat="1" applyFont="1" applyBorder="1">
      <x:alignment horizontal="general" vertical="center"/>
    </x:xf>
    <x:xf numFmtId="0" fontId="0" fillId="0" borderId="0" xfId="4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6" fontId="0" fillId="0" borderId="1" xfId="0" applyNumberFormat="1" applyBorder="1" applyAlignment="1">
          <x:alignment horizontal="center" vertical="center"/>
        </x:xf>
      </mc:Fallback>
    </mc:AlternateContent>
    <x:xf numFmtId="177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8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8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x:xf numFmtId="174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5" fontId="0" fillId="0" borderId="1" xfId="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5" fontId="0" fillId="0" borderId="1" xfId="4" applyNumberFormat="1" applyFont="1" applyBorder="1" applyAlignment="1">
          <x:alignment horizontal="right" vertical="center"/>
        </x:xf>
      </mc:Fallback>
    </mc:AlternateContent>
    <x:xf numFmtId="167" fontId="0" fillId="0" borderId="0" xfId="3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7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2" applyNumberFormat="1" applyFont="1" applyFill="1" applyBorder="1" applyAlignment="1">
          <x:alignment horizontal="center" vertical="center" wrapText="1"/>
        </x:xf>
      </mc:Fallback>
    </mc:AlternateContent>
    <x:xf numFmtId="41" fontId="0" fillId="0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x:xf numFmtId="0" fontId="9" fillId="2" borderId="1" xfId="0" applyNumberFormat="1" applyFont="1" applyFill="1" applyBorder="1" applyAlignment="1">
      <x:alignment horizontal="left" vertical="center" wrapText="1"/>
    </x:xf>
    <x:xf numFmtId="0" fontId="9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>
          <x:alignment horizontal="center" vertical="center"/>
        </x:xf>
      </mc:Fallback>
    </mc:AlternateContent>
  </x:cellXfs>
  <x:cellStyles count="6">
    <x:cellStyle name="표준" xfId="0" builtinId="0"/>
    <x:cellStyle name="백분율" xfId="1" builtinId="5"/>
    <x:cellStyle name="쉼표 [0]" xfId="2" builtinId="6"/>
    <x:cellStyle name="표준 3" xfId="3"/>
    <x:cellStyle name="표준 8" xfId="4"/>
    <x:cellStyle name="표준 2" xfId="5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2"/>
  <x:sheetViews>
    <x:sheetView topLeftCell="B22" zoomScale="150" zoomScaleNormal="150" zoomScaleSheetLayoutView="75" workbookViewId="0">
      <x:selection activeCell="K33" activeCellId="0" sqref="K33:K33"/>
    </x:sheetView>
  </x:sheetViews>
  <x:sheetFormatPr defaultColWidth="9" defaultRowHeight="16.39999999999999857891"/>
  <x:cols>
    <x:col min="1" max="1" width="11.375" customWidth="1"/>
    <x:col min="2" max="2" width="15.125" customWidth="1"/>
    <x:col min="3" max="3" width="17.125" bestFit="1" customWidth="1"/>
    <x:col min="4" max="4" width="10.5" customWidth="1"/>
    <x:col min="6" max="6" width="10" bestFit="1" customWidth="1"/>
    <x:col min="7" max="7" width="12" bestFit="1" customWidth="1"/>
    <x:col min="8" max="8" width="10.375" customWidth="1"/>
  </x:cols>
  <x:sheetData>
    <x:row r="1" spans="1:6">
      <x:c r="A1" t="s">
        <x:v>445</x:v>
      </x:c>
      <x:c r="F1" t="s">
        <x:v>470</x:v>
      </x:c>
    </x:row>
    <x:row r="2" spans="1:9">
      <x:c r="A2" s="4" t="s">
        <x:v>290</x:v>
      </x:c>
      <x:c r="B2" s="4" t="s">
        <x:v>469</x:v>
      </x:c>
      <x:c r="C2" s="4" t="s">
        <x:v>471</x:v>
      </x:c>
      <x:c r="D2" s="3" t="s">
        <x:v>300</x:v>
      </x:c>
      <x:c r="F2" s="4" t="s">
        <x:v>335</x:v>
      </x:c>
      <x:c r="G2" s="4" t="s">
        <x:v>336</x:v>
      </x:c>
      <x:c r="H2" s="4" t="s">
        <x:v>302</x:v>
      </x:c>
      <x:c r="I2" s="4" t="s">
        <x:v>312</x:v>
      </x:c>
    </x:row>
    <x:row r="3" spans="1:12">
      <x:c r="A3" s="2" t="s">
        <x:v>314</x:v>
      </x:c>
      <x:c r="B3" s="2" t="s">
        <x:v>18</x:v>
      </x:c>
      <x:c r="C3" s="2" t="s">
        <x:v>65</x:v>
      </x:c>
      <x:c r="D3" s="2" t="str">
        <x:f>CHOOSE(MID(C3,8,1),"내국인","내국인","내국인","내국인","외국인","외국인","외국인")</x:f>
        <x:v>외국인</x:v>
      </x:c>
      <x:c r="F3" s="2">
        <x:v>202327241</x:v>
      </x:c>
      <x:c r="G3" s="2" t="s">
        <x:v>301</x:v>
      </x:c>
      <x:c r="H3" s="2">
        <x:v>71</x:v>
      </x:c>
      <x:c r="I3" s="2">
        <x:v>80</x:v>
      </x:c>
      <x:c r="K3" s="4" t="s">
        <x:v>336</x:v>
      </x:c>
      <x:c r="L3" s="1"/>
    </x:row>
    <x:row r="4" spans="1:12">
      <x:c r="A4" s="2" t="s">
        <x:v>291</x:v>
      </x:c>
      <x:c r="B4" s="2" t="s">
        <x:v>59</x:v>
      </x:c>
      <x:c r="C4" s="2" t="s">
        <x:v>14</x:v>
      </x:c>
      <x:c r="D4" s="2" t="str">
        <x:f t="shared" ref="D4:D10" si="0">CHOOSE(MID(C4,8,1),"내국인","내국인","내국인","내국인","외국인","외국인","외국인")</x:f>
        <x:v>내국인</x:v>
      </x:c>
      <x:c r="F4" s="2">
        <x:v>202357434</x:v>
      </x:c>
      <x:c r="G4" s="2" t="s">
        <x:v>289</x:v>
      </x:c>
      <x:c r="H4" s="2">
        <x:v>68</x:v>
      </x:c>
      <x:c r="I4" s="2">
        <x:v>97</x:v>
      </x:c>
      <x:c r="K4" s="2" t="s">
        <x:v>301</x:v>
      </x:c>
      <x:c r="L4" s="1"/>
    </x:row>
    <x:row r="5" spans="1:9">
      <x:c r="A5" s="2" t="s">
        <x:v>296</x:v>
      </x:c>
      <x:c r="B5" s="2" t="s">
        <x:v>19</x:v>
      </x:c>
      <x:c r="C5" s="2" t="s">
        <x:v>58</x:v>
      </x:c>
      <x:c r="D5" s="2" t="str">
        <x:f t="shared" si="0"/>
        <x:v>내국인</x:v>
      </x:c>
      <x:c r="F5" s="2">
        <x:v>202065821</x:v>
      </x:c>
      <x:c r="G5" s="2" t="s">
        <x:v>301</x:v>
      </x:c>
      <x:c r="H5" s="2">
        <x:v>68</x:v>
      </x:c>
      <x:c r="I5" s="2">
        <x:v>65</x:v>
      </x:c>
    </x:row>
    <x:row r="6" spans="1:9">
      <x:c r="A6" s="2" t="s">
        <x:v>306</x:v>
      </x:c>
      <x:c r="B6" s="2" t="s">
        <x:v>72</x:v>
      </x:c>
      <x:c r="C6" s="2" t="s">
        <x:v>54</x:v>
      </x:c>
      <x:c r="D6" s="2" t="str">
        <x:f t="shared" si="0"/>
        <x:v>내국인</x:v>
      </x:c>
      <x:c r="F6" s="2">
        <x:v>202375127</x:v>
      </x:c>
      <x:c r="G6" s="2" t="s">
        <x:v>301</x:v>
      </x:c>
      <x:c r="H6" s="2">
        <x:v>62</x:v>
      </x:c>
      <x:c r="I6" s="2">
        <x:v>75</x:v>
      </x:c>
    </x:row>
    <x:row r="7" spans="1:9">
      <x:c r="A7" s="2" t="s">
        <x:v>322</x:v>
      </x:c>
      <x:c r="B7" s="2" t="s">
        <x:v>70</x:v>
      </x:c>
      <x:c r="C7" s="2" t="s">
        <x:v>17</x:v>
      </x:c>
      <x:c r="D7" s="2" t="str">
        <x:f t="shared" si="0"/>
        <x:v>외국인</x:v>
      </x:c>
      <x:c r="F7" s="2">
        <x:v>202297359</x:v>
      </x:c>
      <x:c r="G7" s="2" t="s">
        <x:v>289</x:v>
      </x:c>
      <x:c r="H7" s="2">
        <x:v>85</x:v>
      </x:c>
      <x:c r="I7" s="2">
        <x:v>63</x:v>
      </x:c>
    </x:row>
    <x:row r="8" spans="1:9">
      <x:c r="A8" s="2" t="s">
        <x:v>316</x:v>
      </x:c>
      <x:c r="B8" s="2" t="s">
        <x:v>16</x:v>
      </x:c>
      <x:c r="C8" s="2" t="s">
        <x:v>64</x:v>
      </x:c>
      <x:c r="D8" s="2" t="str">
        <x:f t="shared" si="0"/>
        <x:v>내국인</x:v>
      </x:c>
      <x:c r="F8" s="2">
        <x:v>202177822</x:v>
      </x:c>
      <x:c r="G8" s="2" t="s">
        <x:v>289</x:v>
      </x:c>
      <x:c r="H8" s="2">
        <x:v>86</x:v>
      </x:c>
      <x:c r="I8" s="2">
        <x:v>80</x:v>
      </x:c>
    </x:row>
    <x:row r="9" spans="1:9">
      <x:c r="A9" s="2" t="s">
        <x:v>307</x:v>
      </x:c>
      <x:c r="B9" s="2" t="s">
        <x:v>60</x:v>
      </x:c>
      <x:c r="C9" s="2" t="s">
        <x:v>15</x:v>
      </x:c>
      <x:c r="D9" s="2" t="str">
        <x:f t="shared" si="0"/>
        <x:v>외국인</x:v>
      </x:c>
      <x:c r="F9" s="2">
        <x:v>202154279</x:v>
      </x:c>
      <x:c r="G9" s="2" t="s">
        <x:v>301</x:v>
      </x:c>
      <x:c r="H9" s="2">
        <x:v>89</x:v>
      </x:c>
      <x:c r="I9" s="2">
        <x:v>65</x:v>
      </x:c>
    </x:row>
    <x:row r="10" spans="1:9">
      <x:c r="A10" s="2" t="s">
        <x:v>303</x:v>
      </x:c>
      <x:c r="B10" s="2" t="s">
        <x:v>55</x:v>
      </x:c>
      <x:c r="C10" s="2" t="s">
        <x:v>61</x:v>
      </x:c>
      <x:c r="D10" s="2" t="str">
        <x:f t="shared" si="0"/>
        <x:v>내국인</x:v>
      </x:c>
      <x:c r="F10" s="81" t="s">
        <x:v>9</x:v>
      </x:c>
      <x:c r="G10" s="81"/>
      <x:c r="H10" s="81"/>
      <x:c r="I10" s="2">
        <x:f>DMAX(G2:I9,3,$K$3:$K$4)-DMIN(G2:I9,3,$K$3:$K$4)</x:f>
        <x:v>15</x:v>
      </x:c>
    </x:row>
    <x:row r="12" spans="1:6">
      <x:c r="A12" s="5" t="s">
        <x:v>438</x:v>
      </x:c>
      <x:c r="F12" t="s">
        <x:v>621</x:v>
      </x:c>
    </x:row>
    <x:row r="13" spans="1:8">
      <x:c r="A13" s="4" t="s">
        <x:v>321</x:v>
      </x:c>
      <x:c r="B13" s="4" t="s">
        <x:v>439</x:v>
      </x:c>
      <x:c r="C13" s="4" t="s">
        <x:v>444</x:v>
      </x:c>
      <x:c r="D13" s="3" t="s">
        <x:v>269</x:v>
      </x:c>
      <x:c r="F13" s="82" t="s">
        <x:v>315</x:v>
      </x:c>
      <x:c r="G13" s="82"/>
      <x:c r="H13" s="8" t="s">
        <x:v>333</x:v>
      </x:c>
    </x:row>
    <x:row r="14" spans="1:8">
      <x:c r="A14" s="2">
        <x:v>53355</x:v>
      </x:c>
      <x:c r="B14" s="2">
        <x:v>69</x:v>
      </x:c>
      <x:c r="C14" s="2">
        <x:v>185</x:v>
      </x:c>
      <x:c r="D14" s="2" t="str">
        <x:f>VLOOKUP(B14/(C14/100)^2,$F$14:$H$16,3,1)</x:f>
        <x:v>정상</x:v>
      </x:c>
      <x:c r="F14" s="2">
        <x:v>0</x:v>
      </x:c>
      <x:c r="G14" s="6">
        <x:v>20</x:v>
      </x:c>
      <x:c r="H14" s="2" t="s">
        <x:v>334</x:v>
      </x:c>
    </x:row>
    <x:row r="15" spans="1:8">
      <x:c r="A15" s="2">
        <x:v>17796</x:v>
      </x:c>
      <x:c r="B15" s="2">
        <x:v>45</x:v>
      </x:c>
      <x:c r="C15" s="2">
        <x:v>198</x:v>
      </x:c>
      <x:c r="D15" s="2" t="str">
        <x:f t="shared" ref="D15:D20" si="1">VLOOKUP(B15/(C15/100)^2,$F$14:$H$16,3,1)</x:f>
        <x:v>저체중</x:v>
      </x:c>
      <x:c r="F15" s="2">
        <x:v>20</x:v>
      </x:c>
      <x:c r="G15" s="6">
        <x:v>25</x:v>
      </x:c>
      <x:c r="H15" s="2" t="s">
        <x:v>310</x:v>
      </x:c>
    </x:row>
    <x:row r="16" spans="1:8">
      <x:c r="A16" s="2">
        <x:v>45115</x:v>
      </x:c>
      <x:c r="B16" s="2">
        <x:v>81</x:v>
      </x:c>
      <x:c r="C16" s="2">
        <x:v>199</x:v>
      </x:c>
      <x:c r="D16" s="2" t="str">
        <x:f t="shared" si="1"/>
        <x:v>정상</x:v>
      </x:c>
      <x:c r="F16" s="2">
        <x:v>25</x:v>
      </x:c>
      <x:c r="G16" s="6"/>
      <x:c r="H16" s="2" t="s">
        <x:v>332</x:v>
      </x:c>
    </x:row>
    <x:row r="17" spans="1:4">
      <x:c r="A17" s="2">
        <x:v>25556</x:v>
      </x:c>
      <x:c r="B17" s="2">
        <x:v>119</x:v>
      </x:c>
      <x:c r="C17" s="2">
        <x:v>178</x:v>
      </x:c>
      <x:c r="D17" s="2" t="str">
        <x:f t="shared" si="1"/>
        <x:v>과체중</x:v>
      </x:c>
    </x:row>
    <x:row r="18" spans="1:4">
      <x:c r="A18" s="2">
        <x:v>83067</x:v>
      </x:c>
      <x:c r="B18" s="2">
        <x:v>71</x:v>
      </x:c>
      <x:c r="C18" s="2">
        <x:v>170</x:v>
      </x:c>
      <x:c r="D18" s="2" t="str">
        <x:f t="shared" si="1"/>
        <x:v>정상</x:v>
      </x:c>
    </x:row>
    <x:row r="19" spans="1:4">
      <x:c r="A19" s="2">
        <x:v>27076</x:v>
      </x:c>
      <x:c r="B19" s="2">
        <x:v>95</x:v>
      </x:c>
      <x:c r="C19" s="2">
        <x:v>179</x:v>
      </x:c>
      <x:c r="D19" s="2" t="str">
        <x:f t="shared" si="1"/>
        <x:v>과체중</x:v>
      </x:c>
    </x:row>
    <x:row r="20" spans="1:4">
      <x:c r="A20" s="2">
        <x:v>15124</x:v>
      </x:c>
      <x:c r="B20" s="2">
        <x:v>100</x:v>
      </x:c>
      <x:c r="C20" s="2">
        <x:v>155</x:v>
      </x:c>
      <x:c r="D20" s="2" t="str">
        <x:f t="shared" si="1"/>
        <x:v>과체중</x:v>
      </x:c>
    </x:row>
    <x:row r="22" spans="1:10">
      <x:c r="A22" t="s">
        <x:v>430</x:v>
      </x:c>
      <x:c r="F22" s="45" t="s">
        <x:v>455</x:v>
      </x:c>
      <x:c r="G22" s="10"/>
      <x:c r="H22" s="11"/>
      <x:c r="I22" s="11"/>
      <x:c r="J22" s="11"/>
    </x:row>
    <x:row r="23" spans="1:10">
      <x:c r="A23" s="4" t="s">
        <x:v>321</x:v>
      </x:c>
      <x:c r="B23" s="4" t="s">
        <x:v>318</x:v>
      </x:c>
      <x:c r="C23" s="4" t="s">
        <x:v>327</x:v>
      </x:c>
      <x:c r="D23" s="3" t="s">
        <x:v>448</x:v>
      </x:c>
      <x:c r="F23" s="18" t="s">
        <x:v>323</x:v>
      </x:c>
      <x:c r="G23" s="18" t="s">
        <x:v>329</x:v>
      </x:c>
      <x:c r="H23" s="18" t="s">
        <x:v>433</x:v>
      </x:c>
      <x:c r="I23" s="18" t="s">
        <x:v>432</x:v>
      </x:c>
      <x:c r="J23" s="18" t="s">
        <x:v>325</x:v>
      </x:c>
    </x:row>
    <x:row r="24" spans="1:10">
      <x:c r="A24" s="2">
        <x:v>74868</x:v>
      </x:c>
      <x:c r="B24" s="2" t="s">
        <x:v>331</x:v>
      </x:c>
      <x:c r="C24" s="7">
        <x:v>4500000</x:v>
      </x:c>
      <x:c r="D24" s="2" t="str">
        <x:f>IF(_xlfn.RANK.EQ(C24,$C$24:$C$31,0)&lt;=3,"고소득","")</x:f>
        <x:v/>
      </x:c>
      <x:c r="F24" s="84" t="s">
        <x:v>456</x:v>
      </x:c>
      <x:c r="G24" s="12" t="s">
        <x:v>324</x:v>
      </x:c>
      <x:c r="H24" s="13">
        <x:v>-2.3999999999999999</x:v>
      </x:c>
      <x:c r="I24" s="14">
        <x:v>20</x:v>
      </x:c>
      <x:c r="J24" s="14">
        <x:v>33</x:v>
      </x:c>
    </x:row>
    <x:row r="25" spans="1:10">
      <x:c r="A25" s="2">
        <x:v>97837</x:v>
      </x:c>
      <x:c r="B25" s="2" t="s">
        <x:v>331</x:v>
      </x:c>
      <x:c r="C25" s="7">
        <x:v>4655000</x:v>
      </x:c>
      <x:c r="D25" s="2" t="str">
        <x:f t="shared" ref="D25:D31" si="2">IF(_xlfn.RANK.EQ(C25,$C$24:$C$31,0)&lt;=3,"고소득","")</x:f>
        <x:v/>
      </x:c>
      <x:c r="F25" s="85"/>
      <x:c r="G25" s="12" t="s">
        <x:v>350</x:v>
      </x:c>
      <x:c r="H25" s="17">
        <x:v>6.5</x:v>
      </x:c>
      <x:c r="I25" s="14">
        <x:v>25</x:v>
      </x:c>
      <x:c r="J25" s="14">
        <x:v>55</x:v>
      </x:c>
    </x:row>
    <x:row r="26" spans="1:10">
      <x:c r="A26" s="2">
        <x:v>83101</x:v>
      </x:c>
      <x:c r="B26" s="2" t="s">
        <x:v>331</x:v>
      </x:c>
      <x:c r="C26" s="7">
        <x:v>4684000</x:v>
      </x:c>
      <x:c r="D26" s="2" t="str">
        <x:f t="shared" si="2"/>
        <x:v/>
      </x:c>
      <x:c r="F26" s="84" t="s">
        <x:v>467</x:v>
      </x:c>
      <x:c r="G26" s="12" t="s">
        <x:v>324</x:v>
      </x:c>
      <x:c r="H26" s="15">
        <x:v>0</x:v>
      </x:c>
      <x:c r="I26" s="14">
        <x:v>24</x:v>
      </x:c>
      <x:c r="J26" s="14">
        <x:v>50</x:v>
      </x:c>
    </x:row>
    <x:row r="27" spans="1:10">
      <x:c r="A27" s="2">
        <x:v>64315</x:v>
      </x:c>
      <x:c r="B27" s="2" t="s">
        <x:v>331</x:v>
      </x:c>
      <x:c r="C27" s="7">
        <x:v>4725000</x:v>
      </x:c>
      <x:c r="D27" s="2" t="str">
        <x:f t="shared" si="2"/>
        <x:v/>
      </x:c>
      <x:c r="F27" s="85"/>
      <x:c r="G27" s="12" t="s">
        <x:v>350</x:v>
      </x:c>
      <x:c r="H27" s="13">
        <x:v>8.5</x:v>
      </x:c>
      <x:c r="I27" s="14">
        <x:v>29</x:v>
      </x:c>
      <x:c r="J27" s="14">
        <x:v>60</x:v>
      </x:c>
    </x:row>
    <x:row r="28" spans="1:10">
      <x:c r="A28" s="2">
        <x:v>43934</x:v>
      </x:c>
      <x:c r="B28" s="2" t="s">
        <x:v>330</x:v>
      </x:c>
      <x:c r="C28" s="7">
        <x:v>5589000</x:v>
      </x:c>
      <x:c r="D28" s="2" t="str">
        <x:f t="shared" si="2"/>
        <x:v>고소득</x:v>
      </x:c>
      <x:c r="F28" s="84" t="s">
        <x:v>468</x:v>
      </x:c>
      <x:c r="G28" s="12" t="s">
        <x:v>324</x:v>
      </x:c>
      <x:c r="H28" s="13">
        <x:v>2</x:v>
      </x:c>
      <x:c r="I28" s="14">
        <x:v>30</x:v>
      </x:c>
      <x:c r="J28" s="14">
        <x:v>70</x:v>
      </x:c>
    </x:row>
    <x:row r="29" spans="1:10">
      <x:c r="A29" s="2">
        <x:v>28939</x:v>
      </x:c>
      <x:c r="B29" s="2" t="s">
        <x:v>311</x:v>
      </x:c>
      <x:c r="C29" s="7">
        <x:v>5378000</x:v>
      </x:c>
      <x:c r="D29" s="2" t="str">
        <x:f t="shared" si="2"/>
        <x:v>고소득</x:v>
      </x:c>
      <x:c r="F29" s="85"/>
      <x:c r="G29" s="12" t="s">
        <x:v>350</x:v>
      </x:c>
      <x:c r="H29" s="13">
        <x:v>12.199999999999999</x:v>
      </x:c>
      <x:c r="I29" s="14">
        <x:v>35</x:v>
      </x:c>
      <x:c r="J29" s="14">
        <x:v>80</x:v>
      </x:c>
    </x:row>
    <x:row r="30" spans="1:10">
      <x:c r="A30" s="2">
        <x:v>95904</x:v>
      </x:c>
      <x:c r="B30" s="2" t="s">
        <x:v>331</x:v>
      </x:c>
      <x:c r="C30" s="7">
        <x:v>4820000</x:v>
      </x:c>
      <x:c r="D30" s="2" t="str">
        <x:f t="shared" si="2"/>
        <x:v/>
      </x:c>
      <x:c r="F30" s="84" t="s">
        <x:v>472</x:v>
      </x:c>
      <x:c r="G30" s="12" t="s">
        <x:v>324</x:v>
      </x:c>
      <x:c r="H30" s="13">
        <x:v>5</x:v>
      </x:c>
      <x:c r="I30" s="14">
        <x:v>33</x:v>
      </x:c>
      <x:c r="J30" s="14">
        <x:v>90</x:v>
      </x:c>
    </x:row>
    <x:row r="31" spans="1:10">
      <x:c r="A31" s="2">
        <x:v>34309</x:v>
      </x:c>
      <x:c r="B31" s="2" t="s">
        <x:v>309</x:v>
      </x:c>
      <x:c r="C31" s="7">
        <x:v>5117000</x:v>
      </x:c>
      <x:c r="D31" s="2" t="str">
        <x:f t="shared" si="2"/>
        <x:v>고소득</x:v>
      </x:c>
      <x:c r="F31" s="85"/>
      <x:c r="G31" s="12" t="s">
        <x:v>350</x:v>
      </x:c>
      <x:c r="H31" s="13">
        <x:v>15.5</x:v>
      </x:c>
      <x:c r="I31" s="14">
        <x:v>37</x:v>
      </x:c>
      <x:c r="J31" s="14">
        <x:v>120</x:v>
      </x:c>
    </x:row>
    <x:row r="32" spans="6:10">
      <x:c r="F32" s="83" t="s">
        <x:v>71</x:v>
      </x:c>
      <x:c r="G32" s="83"/>
      <x:c r="H32" s="83"/>
      <x:c r="I32" s="83"/>
      <x:c r="J32" s="12">
        <x:f>ABS(AVERAGEIF(G24:G31,"4월",J24:J31)-AVERAGEIF(G24:G31,"5월",J24:J31))</x:f>
        <x:v>18</x:v>
      </x:c>
    </x:row>
  </x:sheetData>
  <x:sortState columnSort="0" caseSensitive="0" ref="F23:F30">
    <x:sortCondition descending="0" sortBy="value" ref="F23:F30"/>
  </x:sortState>
  <x:mergeCells count="7">
    <x:mergeCell ref="F10:H10"/>
    <x:mergeCell ref="F13:G13"/>
    <x:mergeCell ref="F32:I32"/>
    <x:mergeCell ref="F24:F25"/>
    <x:mergeCell ref="F26:F27"/>
    <x:mergeCell ref="F28:F29"/>
    <x:mergeCell ref="F30:F31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33"/>
  <x:sheetViews>
    <x:sheetView topLeftCell="A23" zoomScale="150" zoomScaleNormal="150" zoomScaleSheetLayoutView="75" workbookViewId="0">
      <x:selection activeCell="E24" activeCellId="0" sqref="E24:E24"/>
    </x:sheetView>
  </x:sheetViews>
  <x:sheetFormatPr defaultColWidth="9" defaultRowHeight="16.39999999999999857891"/>
  <x:cols>
    <x:col min="1" max="1" width="9.875" bestFit="1" customWidth="1"/>
    <x:col min="2" max="2" width="15.625" customWidth="1"/>
    <x:col min="3" max="3" width="12.625" customWidth="1"/>
    <x:col min="4" max="4" width="19.375" bestFit="1" customWidth="1"/>
    <x:col min="5" max="5" width="11" customWidth="1"/>
    <x:col min="7" max="7" width="11.5" customWidth="1"/>
    <x:col min="8" max="8" width="17.25" bestFit="1" customWidth="1"/>
    <x:col min="9" max="9" width="8.375" bestFit="1" customWidth="1"/>
    <x:col min="10" max="10" width="19.375" bestFit="1" customWidth="1"/>
  </x:cols>
  <x:sheetData>
    <x:row r="1" spans="1:11">
      <x:c r="A1" t="s">
        <x:v>445</x:v>
      </x:c>
      <x:c r="B1" s="19" t="s">
        <x:v>599</x:v>
      </x:c>
      <x:c r="G1" s="11" t="s">
        <x:v>470</x:v>
      </x:c>
      <x:c r="H1" s="19" t="s">
        <x:v>42</x:v>
      </x:c>
      <x:c r="I1" s="11"/>
      <x:c r="J1" s="11"/>
      <x:c r="K1" s="11"/>
    </x:row>
    <x:row r="2" spans="1:11">
      <x:c r="A2" s="4" t="s">
        <x:v>365</x:v>
      </x:c>
      <x:c r="B2" s="4" t="s">
        <x:v>364</x:v>
      </x:c>
      <x:c r="C2" s="4" t="s">
        <x:v>319</x:v>
      </x:c>
      <x:c r="D2" s="4" t="s">
        <x:v>473</x:v>
      </x:c>
      <x:c r="E2" s="3" t="s">
        <x:v>363</x:v>
      </x:c>
      <x:c r="G2" s="18" t="s">
        <x:v>474</x:v>
      </x:c>
      <x:c r="H2" s="18" t="s">
        <x:v>353</x:v>
      </x:c>
      <x:c r="I2" s="18" t="s">
        <x:v>500</x:v>
      </x:c>
      <x:c r="J2" s="18" t="s">
        <x:v>452</x:v>
      </x:c>
      <x:c r="K2" s="55" t="s">
        <x:v>339</x:v>
      </x:c>
    </x:row>
    <x:row r="3" spans="1:11">
      <x:c r="A3" s="2">
        <x:v>1</x:v>
      </x:c>
      <x:c r="B3" s="2" t="s">
        <x:v>357</x:v>
      </x:c>
      <x:c r="C3" s="2" t="s">
        <x:v>358</x:v>
      </x:c>
      <x:c r="D3" s="2">
        <x:v>85</x:v>
      </x:c>
      <x:c r="E3" s="2" t="str">
        <x:f>IFERROR(CHOOSE(_xlfn.RANK.EQ(D3,$D$3:$D$8,0),"시험통과","시험통과","노력필요"),"탈락")</x:f>
        <x:v>탈락</x:v>
      </x:c>
      <x:c r="G3" s="16" t="s">
        <x:v>459</x:v>
      </x:c>
      <x:c r="H3" s="16" t="s">
        <x:v>44</x:v>
      </x:c>
      <x:c r="I3" s="16" t="s">
        <x:v>490</x:v>
      </x:c>
      <x:c r="J3" s="20" t="s">
        <x:v>38</x:v>
      </x:c>
      <x:c r="K3" s="21">
        <x:f>IF(AND(MID(G3,3,1)="1",I3="학교"),15000,10000)</x:f>
        <x:v>10000</x:v>
      </x:c>
    </x:row>
    <x:row r="4" spans="1:11">
      <x:c r="A4" s="2">
        <x:v>2</x:v>
      </x:c>
      <x:c r="B4" s="2" t="s">
        <x:v>351</x:v>
      </x:c>
      <x:c r="C4" s="2" t="s">
        <x:v>352</x:v>
      </x:c>
      <x:c r="D4" s="2">
        <x:v>86</x:v>
      </x:c>
      <x:c r="E4" s="2" t="str">
        <x:f t="shared" ref="E4:E8" si="0">IFERROR(CHOOSE(_xlfn.RANK.EQ(D4,$D$3:$D$8,0),"시험통과","시험통과","노력필요"),"탈락")</x:f>
        <x:v>노력필요</x:v>
      </x:c>
      <x:c r="G4" s="16" t="s">
        <x:v>504</x:v>
      </x:c>
      <x:c r="H4" s="16" t="s">
        <x:v>495</x:v>
      </x:c>
      <x:c r="I4" s="16" t="s">
        <x:v>368</x:v>
      </x:c>
      <x:c r="J4" s="20" t="s">
        <x:v>38</x:v>
      </x:c>
      <x:c r="K4" s="21">
        <x:f t="shared" ref="K4:K11" si="1">IF(AND(MID(G4,3,1)="1",I4="학교"),15000,10000)</x:f>
        <x:v>10000</x:v>
      </x:c>
    </x:row>
    <x:row r="5" spans="1:11">
      <x:c r="A5" s="2">
        <x:v>3</x:v>
      </x:c>
      <x:c r="B5" s="2" t="s">
        <x:v>317</x:v>
      </x:c>
      <x:c r="C5" s="2" t="s">
        <x:v>366</x:v>
      </x:c>
      <x:c r="D5" s="2">
        <x:v>74</x:v>
      </x:c>
      <x:c r="E5" s="2" t="str">
        <x:f t="shared" si="0"/>
        <x:v>탈락</x:v>
      </x:c>
      <x:c r="G5" s="16" t="s">
        <x:v>459</x:v>
      </x:c>
      <x:c r="H5" s="16" t="s">
        <x:v>481</x:v>
      </x:c>
      <x:c r="I5" s="16" t="s">
        <x:v>368</x:v>
      </x:c>
      <x:c r="J5" s="20" t="s">
        <x:v>35</x:v>
      </x:c>
      <x:c r="K5" s="21">
        <x:f t="shared" si="1"/>
        <x:v>15000</x:v>
      </x:c>
    </x:row>
    <x:row r="6" spans="1:11">
      <x:c r="A6" s="2">
        <x:v>4</x:v>
      </x:c>
      <x:c r="B6" s="2" t="s">
        <x:v>341</x:v>
      </x:c>
      <x:c r="C6" s="2" t="s">
        <x:v>358</x:v>
      </x:c>
      <x:c r="D6" s="2">
        <x:v>87</x:v>
      </x:c>
      <x:c r="E6" s="2" t="str">
        <x:f t="shared" si="0"/>
        <x:v>시험통과</x:v>
      </x:c>
      <x:c r="G6" s="16" t="s">
        <x:v>504</x:v>
      </x:c>
      <x:c r="H6" s="16" t="s">
        <x:v>45</x:v>
      </x:c>
      <x:c r="I6" s="16" t="s">
        <x:v>490</x:v>
      </x:c>
      <x:c r="J6" s="20" t="s">
        <x:v>40</x:v>
      </x:c>
      <x:c r="K6" s="21">
        <x:f t="shared" si="1"/>
        <x:v>10000</x:v>
      </x:c>
    </x:row>
    <x:row r="7" spans="1:11">
      <x:c r="A7" s="2">
        <x:v>5</x:v>
      </x:c>
      <x:c r="B7" s="2" t="s">
        <x:v>361</x:v>
      </x:c>
      <x:c r="C7" s="2" t="s">
        <x:v>352</x:v>
      </x:c>
      <x:c r="D7" s="2">
        <x:v>91</x:v>
      </x:c>
      <x:c r="E7" s="2" t="str">
        <x:f t="shared" si="0"/>
        <x:v>시험통과</x:v>
      </x:c>
      <x:c r="G7" s="16" t="s">
        <x:v>459</x:v>
      </x:c>
      <x:c r="H7" s="16" t="s">
        <x:v>505</x:v>
      </x:c>
      <x:c r="I7" s="16" t="s">
        <x:v>368</x:v>
      </x:c>
      <x:c r="J7" s="20" t="s">
        <x:v>41</x:v>
      </x:c>
      <x:c r="K7" s="21">
        <x:f t="shared" si="1"/>
        <x:v>15000</x:v>
      </x:c>
    </x:row>
    <x:row r="8" spans="1:11">
      <x:c r="A8" s="2">
        <x:v>6</x:v>
      </x:c>
      <x:c r="B8" s="2" t="s">
        <x:v>344</x:v>
      </x:c>
      <x:c r="C8" s="2" t="s">
        <x:v>366</x:v>
      </x:c>
      <x:c r="D8" s="2">
        <x:v>68</x:v>
      </x:c>
      <x:c r="E8" s="2" t="str">
        <x:f t="shared" si="0"/>
        <x:v>탈락</x:v>
      </x:c>
      <x:c r="G8" s="16" t="s">
        <x:v>504</x:v>
      </x:c>
      <x:c r="H8" s="16" t="s">
        <x:v>446</x:v>
      </x:c>
      <x:c r="I8" s="16" t="s">
        <x:v>490</x:v>
      </x:c>
      <x:c r="J8" s="20" t="s">
        <x:v>40</x:v>
      </x:c>
      <x:c r="K8" s="21">
        <x:f t="shared" si="1"/>
        <x:v>10000</x:v>
      </x:c>
    </x:row>
    <x:row r="9" spans="7:11">
      <x:c r="G9" s="16" t="s">
        <x:v>459</x:v>
      </x:c>
      <x:c r="H9" s="16" t="s">
        <x:v>37</x:v>
      </x:c>
      <x:c r="I9" s="16" t="s">
        <x:v>368</x:v>
      </x:c>
      <x:c r="J9" s="20" t="s">
        <x:v>39</x:v>
      </x:c>
      <x:c r="K9" s="21">
        <x:f t="shared" si="1"/>
        <x:v>15000</x:v>
      </x:c>
    </x:row>
    <x:row r="10" spans="7:11">
      <x:c r="G10" s="16" t="s">
        <x:v>504</x:v>
      </x:c>
      <x:c r="H10" s="16" t="s">
        <x:v>359</x:v>
      </x:c>
      <x:c r="I10" s="16" t="s">
        <x:v>490</x:v>
      </x:c>
      <x:c r="J10" s="20" t="s">
        <x:v>35</x:v>
      </x:c>
      <x:c r="K10" s="21">
        <x:f t="shared" si="1"/>
        <x:v>10000</x:v>
      </x:c>
    </x:row>
    <x:row r="11" spans="7:11">
      <x:c r="G11" s="16" t="s">
        <x:v>459</x:v>
      </x:c>
      <x:c r="H11" s="16" t="s">
        <x:v>475</x:v>
      </x:c>
      <x:c r="I11" s="16" t="s">
        <x:v>490</x:v>
      </x:c>
      <x:c r="J11" s="20" t="s">
        <x:v>36</x:v>
      </x:c>
      <x:c r="K11" s="21">
        <x:f t="shared" si="1"/>
        <x:v>10000</x:v>
      </x:c>
    </x:row>
    <x:row r="13" spans="1:10">
      <x:c r="A13" s="9" t="s">
        <x:v>438</x:v>
      </x:c>
      <x:c r="B13" s="10" t="s">
        <x:v>62</x:v>
      </x:c>
      <x:c r="C13" s="11"/>
      <x:c r="D13" s="11"/>
      <x:c r="E13" s="11"/>
      <x:c r="G13" s="19" t="s">
        <x:v>63</x:v>
      </x:c>
      <x:c r="H13" s="11"/>
      <x:c r="I13" s="11"/>
      <x:c r="J13" s="11"/>
    </x:row>
    <x:row r="14" spans="1:10" ht="32.75">
      <x:c r="A14" s="61" t="s">
        <x:v>340</x:v>
      </x:c>
      <x:c r="B14" s="61" t="s">
        <x:v>447</x:v>
      </x:c>
      <x:c r="C14" s="62" t="s">
        <x:v>6</x:v>
      </x:c>
      <x:c r="D14" s="62" t="s">
        <x:v>457</x:v>
      </x:c>
      <x:c r="E14" s="64" t="s">
        <x:v>451</x:v>
      </x:c>
      <x:c r="G14" s="18" t="s">
        <x:v>400</x:v>
      </x:c>
      <x:c r="H14" s="18" t="s">
        <x:v>369</x:v>
      </x:c>
      <x:c r="I14" s="18" t="s">
        <x:v>396</x:v>
      </x:c>
      <x:c r="J14" s="63" t="s">
        <x:v>450</x:v>
      </x:c>
    </x:row>
    <x:row r="15" spans="1:10">
      <x:c r="A15" s="22" t="s">
        <x:v>43</x:v>
      </x:c>
      <x:c r="B15" s="22" t="s">
        <x:v>320</x:v>
      </x:c>
      <x:c r="C15" s="22">
        <x:v>15</x:v>
      </x:c>
      <x:c r="D15" s="23">
        <x:v>0.023999999999999999</x:v>
      </x:c>
      <x:c r="E15" s="16" t="str">
        <x:f>IFERROR(CHOOSE(_xlfn.RANK.EQ(D15,$D$15:$D$23,0),"1위","2위","3위"),"")</x:f>
        <x:v>3위</x:v>
      </x:c>
      <x:c r="G15" s="16" t="s">
        <x:v>390</x:v>
      </x:c>
      <x:c r="H15" s="16" t="s">
        <x:v>370</x:v>
      </x:c>
      <x:c r="I15" s="16">
        <x:v>44</x:v>
      </x:c>
      <x:c r="J15" s="21">
        <x:v>1250000</x:v>
      </x:c>
    </x:row>
    <x:row r="16" spans="1:10">
      <x:c r="A16" s="22" t="s">
        <x:v>43</x:v>
      </x:c>
      <x:c r="B16" s="22" t="s">
        <x:v>345</x:v>
      </x:c>
      <x:c r="C16" s="22">
        <x:v>15</x:v>
      </x:c>
      <x:c r="D16" s="23">
        <x:v>0.014000000000000001</x:v>
      </x:c>
      <x:c r="E16" s="16" t="str">
        <x:f t="shared" ref="E16:E23" si="2">IFERROR(CHOOSE(_xlfn.RANK.EQ(D16,$D$15:$D$23,0),"1위","2위","3위"),"")</x:f>
        <x:v/>
      </x:c>
      <x:c r="G16" s="16" t="s">
        <x:v>356</x:v>
      </x:c>
      <x:c r="H16" s="16" t="s">
        <x:v>377</x:v>
      </x:c>
      <x:c r="I16" s="16">
        <x:v>30</x:v>
      </x:c>
      <x:c r="J16" s="21">
        <x:v>900000</x:v>
      </x:c>
    </x:row>
    <x:row r="17" spans="1:10">
      <x:c r="A17" s="22" t="s">
        <x:v>43</x:v>
      </x:c>
      <x:c r="B17" s="22" t="s">
        <x:v>367</x:v>
      </x:c>
      <x:c r="C17" s="22">
        <x:v>13</x:v>
      </x:c>
      <x:c r="D17" s="23">
        <x:v>0.017999999999999999</x:v>
      </x:c>
      <x:c r="E17" s="16" t="str">
        <x:f t="shared" si="2"/>
        <x:v/>
      </x:c>
      <x:c r="G17" s="16" t="s">
        <x:v>342</x:v>
      </x:c>
      <x:c r="H17" s="16" t="s">
        <x:v>349</x:v>
      </x:c>
      <x:c r="I17" s="16">
        <x:v>53</x:v>
      </x:c>
      <x:c r="J17" s="21">
        <x:v>1100000</x:v>
      </x:c>
    </x:row>
    <x:row r="18" spans="1:10">
      <x:c r="A18" s="22" t="s">
        <x:v>43</x:v>
      </x:c>
      <x:c r="B18" s="22" t="s">
        <x:v>362</x:v>
      </x:c>
      <x:c r="C18" s="22">
        <x:v>15</x:v>
      </x:c>
      <x:c r="D18" s="23">
        <x:v>0.026000000000000001</x:v>
      </x:c>
      <x:c r="E18" s="16" t="str">
        <x:f t="shared" si="2"/>
        <x:v>1위</x:v>
      </x:c>
      <x:c r="G18" s="16" t="s">
        <x:v>382</x:v>
      </x:c>
      <x:c r="H18" s="16" t="s">
        <x:v>354</x:v>
      </x:c>
      <x:c r="I18" s="16">
        <x:v>60</x:v>
      </x:c>
      <x:c r="J18" s="21">
        <x:v>2000000</x:v>
      </x:c>
    </x:row>
    <x:row r="19" spans="1:10">
      <x:c r="A19" s="22" t="s">
        <x:v>43</x:v>
      </x:c>
      <x:c r="B19" s="22" t="s">
        <x:v>308</x:v>
      </x:c>
      <x:c r="C19" s="22">
        <x:v>19</x:v>
      </x:c>
      <x:c r="D19" s="23">
        <x:v>0.019</x:v>
      </x:c>
      <x:c r="E19" s="16" t="str">
        <x:f t="shared" si="2"/>
        <x:v/>
      </x:c>
      <x:c r="G19" s="16" t="s">
        <x:v>394</x:v>
      </x:c>
      <x:c r="H19" s="16" t="s">
        <x:v>377</x:v>
      </x:c>
      <x:c r="I19" s="16">
        <x:v>45</x:v>
      </x:c>
      <x:c r="J19" s="21">
        <x:v>1000000</x:v>
      </x:c>
    </x:row>
    <x:row r="20" spans="1:10">
      <x:c r="A20" s="22" t="s">
        <x:v>43</x:v>
      </x:c>
      <x:c r="B20" s="22" t="s">
        <x:v>328</x:v>
      </x:c>
      <x:c r="C20" s="22">
        <x:v>11</x:v>
      </x:c>
      <x:c r="D20" s="23">
        <x:v>0.020000000000000001</x:v>
      </x:c>
      <x:c r="E20" s="16" t="str">
        <x:f t="shared" si="2"/>
        <x:v/>
      </x:c>
      <x:c r="G20" s="16" t="s">
        <x:v>395</x:v>
      </x:c>
      <x:c r="H20" s="16" t="s">
        <x:v>379</x:v>
      </x:c>
      <x:c r="I20" s="16">
        <x:v>80</x:v>
      </x:c>
      <x:c r="J20" s="21">
        <x:v>500000</x:v>
      </x:c>
    </x:row>
    <x:row r="21" spans="1:10">
      <x:c r="A21" s="22" t="s">
        <x:v>43</x:v>
      </x:c>
      <x:c r="B21" s="22" t="s">
        <x:v>313</x:v>
      </x:c>
      <x:c r="C21" s="22">
        <x:v>17</x:v>
      </x:c>
      <x:c r="D21" s="23">
        <x:v>0.020000000000000001</x:v>
      </x:c>
      <x:c r="E21" s="16" t="str">
        <x:f t="shared" si="2"/>
        <x:v/>
      </x:c>
      <x:c r="G21" s="16" t="s">
        <x:v>348</x:v>
      </x:c>
      <x:c r="H21" s="16" t="s">
        <x:v>354</x:v>
      </x:c>
      <x:c r="I21" s="16">
        <x:v>60</x:v>
      </x:c>
      <x:c r="J21" s="21">
        <x:v>600000</x:v>
      </x:c>
    </x:row>
    <x:row r="22" spans="1:10">
      <x:c r="A22" s="22" t="s">
        <x:v>43</x:v>
      </x:c>
      <x:c r="B22" s="22" t="s">
        <x:v>326</x:v>
      </x:c>
      <x:c r="C22" s="22">
        <x:v>16</x:v>
      </x:c>
      <x:c r="D22" s="23">
        <x:v>0.025</x:v>
      </x:c>
      <x:c r="E22" s="16" t="str">
        <x:f t="shared" si="2"/>
        <x:v>2위</x:v>
      </x:c>
      <x:c r="G22" s="16" t="s">
        <x:v>392</x:v>
      </x:c>
      <x:c r="H22" s="16" t="s">
        <x:v>370</x:v>
      </x:c>
      <x:c r="I22" s="16">
        <x:v>50</x:v>
      </x:c>
      <x:c r="J22" s="21">
        <x:v>550000</x:v>
      </x:c>
    </x:row>
    <x:row r="23" spans="1:10">
      <x:c r="A23" s="22" t="s">
        <x:v>43</x:v>
      </x:c>
      <x:c r="B23" s="22" t="s">
        <x:v>360</x:v>
      </x:c>
      <x:c r="C23" s="22">
        <x:v>11</x:v>
      </x:c>
      <x:c r="D23" s="23">
        <x:v>0.021999999999999997</x:v>
      </x:c>
      <x:c r="E23" s="16" t="str">
        <x:f t="shared" si="2"/>
        <x:v/>
      </x:c>
      <x:c r="G23" s="86" t="s">
        <x:v>11</x:v>
      </x:c>
      <x:c r="H23" s="87"/>
      <x:c r="I23" s="88"/>
      <x:c r="J23" s="24">
        <x:f>COUNTIFS(J15:J22,"&gt;=1000000",J15:J22,"&lt;2000000")/COUNT(J15:J22)</x:f>
        <x:v>0.375</x:v>
      </x:c>
    </x:row>
    <x:row r="25" spans="1:6">
      <x:c r="A25" s="25" t="s">
        <x:v>455</x:v>
      </x:c>
      <x:c r="B25" s="19" t="s">
        <x:v>461</x:v>
      </x:c>
      <x:c r="F25" s="19" t="s">
        <x:v>449</x:v>
      </x:c>
    </x:row>
    <x:row r="26" spans="1:8">
      <x:c r="A26" s="18" t="s">
        <x:v>290</x:v>
      </x:c>
      <x:c r="B26" s="18" t="s">
        <x:v>463</x:v>
      </x:c>
      <x:c r="C26" s="18" t="s">
        <x:v>462</x:v>
      </x:c>
      <x:c r="D26" s="55" t="s">
        <x:v>397</x:v>
      </x:c>
      <x:c r="F26" s="89" t="s">
        <x:v>464</x:v>
      </x:c>
      <x:c r="G26" s="90"/>
      <x:c r="H26" s="4" t="s">
        <x:v>338</x:v>
      </x:c>
    </x:row>
    <x:row r="27" spans="1:8">
      <x:c r="A27" s="2" t="s">
        <x:v>393</x:v>
      </x:c>
      <x:c r="B27" s="29">
        <x:v>2566</x:v>
      </x:c>
      <x:c r="C27" s="29">
        <x:v>4567</x:v>
      </x:c>
      <x:c r="D27" s="26" t="str">
        <x:f>ROUNDDOWN(C27*(1-VLOOKUP(C27-B27,$F$27:$H$30,3,1)),0)&amp;"W"</x:f>
        <x:v>3196W</x:v>
      </x:c>
      <x:c r="F27" s="27">
        <x:v>0</x:v>
      </x:c>
      <x:c r="G27" s="2">
        <x:v>999</x:v>
      </x:c>
      <x:c r="H27" s="28">
        <x:v>0.10000000000000001</x:v>
      </x:c>
    </x:row>
    <x:row r="28" spans="1:8">
      <x:c r="A28" s="2" t="s">
        <x:v>383</x:v>
      </x:c>
      <x:c r="B28" s="29">
        <x:v>4765</x:v>
      </x:c>
      <x:c r="C28" s="29">
        <x:v>5565</x:v>
      </x:c>
      <x:c r="D28" s="26" t="str">
        <x:f t="shared" ref="D28:D33" si="3">ROUNDDOWN(C28*(1-VLOOKUP(C28-B28,$F$27:$H$30,3,1)),0)&amp;"W"</x:f>
        <x:v>5008W</x:v>
      </x:c>
      <x:c r="F28" s="27">
        <x:v>1000</x:v>
      </x:c>
      <x:c r="G28" s="2">
        <x:v>1999</x:v>
      </x:c>
      <x:c r="H28" s="28">
        <x:v>0.20000000000000001</x:v>
      </x:c>
    </x:row>
    <x:row r="29" spans="1:8">
      <x:c r="A29" s="2" t="s">
        <x:v>386</x:v>
      </x:c>
      <x:c r="B29" s="29">
        <x:v>3325</x:v>
      </x:c>
      <x:c r="C29" s="29">
        <x:v>4378</x:v>
      </x:c>
      <x:c r="D29" s="26" t="str">
        <x:f t="shared" si="3"/>
        <x:v>3502W</x:v>
      </x:c>
      <x:c r="F29" s="27">
        <x:v>2000</x:v>
      </x:c>
      <x:c r="G29" s="2">
        <x:v>2000</x:v>
      </x:c>
      <x:c r="H29" s="28">
        <x:v>0.29999999999999999</x:v>
      </x:c>
    </x:row>
    <x:row r="30" spans="1:8">
      <x:c r="A30" s="2" t="s">
        <x:v>371</x:v>
      </x:c>
      <x:c r="B30" s="29">
        <x:v>6678</x:v>
      </x:c>
      <x:c r="C30" s="29">
        <x:v>11567</x:v>
      </x:c>
      <x:c r="D30" s="26" t="str">
        <x:f t="shared" si="3"/>
        <x:v>6940W</x:v>
      </x:c>
      <x:c r="F30" s="27">
        <x:v>3000</x:v>
      </x:c>
      <x:c r="G30" s="2" t="s">
        <x:v>305</x:v>
      </x:c>
      <x:c r="H30" s="28">
        <x:v>0.40000000000000002</x:v>
      </x:c>
    </x:row>
    <x:row r="31" spans="1:4">
      <x:c r="A31" s="2" t="s">
        <x:v>398</x:v>
      </x:c>
      <x:c r="B31" s="29">
        <x:v>5689</x:v>
      </x:c>
      <x:c r="C31" s="29">
        <x:v>7734</x:v>
      </x:c>
      <x:c r="D31" s="26" t="str">
        <x:f t="shared" si="3"/>
        <x:v>5413W</x:v>
      </x:c>
    </x:row>
    <x:row r="32" spans="1:4">
      <x:c r="A32" s="2" t="s">
        <x:v>343</x:v>
      </x:c>
      <x:c r="B32" s="29">
        <x:v>4867</x:v>
      </x:c>
      <x:c r="C32" s="29">
        <x:v>6688</x:v>
      </x:c>
      <x:c r="D32" s="26" t="str">
        <x:f t="shared" si="3"/>
        <x:v>5350W</x:v>
      </x:c>
    </x:row>
    <x:row r="33" spans="1:4">
      <x:c r="A33" s="2" t="s">
        <x:v>376</x:v>
      </x:c>
      <x:c r="B33" s="29">
        <x:v>6478</x:v>
      </x:c>
      <x:c r="C33" s="29">
        <x:v>6555</x:v>
      </x:c>
      <x:c r="D33" s="26" t="str">
        <x:f t="shared" si="3"/>
        <x:v>5899W</x:v>
      </x:c>
    </x:row>
  </x:sheetData>
  <x:mergeCells count="2">
    <x:mergeCell ref="G23:I23"/>
    <x:mergeCell ref="F26:G26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34"/>
  <x:sheetViews>
    <x:sheetView topLeftCell="A25" zoomScale="200" zoomScaleNormal="200" zoomScaleSheetLayoutView="75" workbookViewId="0">
      <x:selection activeCell="E35" activeCellId="0" sqref="E35:E35"/>
    </x:sheetView>
  </x:sheetViews>
  <x:sheetFormatPr defaultColWidth="9" defaultRowHeight="16.39999999999999857891"/>
  <x:cols>
    <x:col min="2" max="4" width="11.125" bestFit="1" customWidth="1"/>
    <x:col min="6" max="8" width="13.25" customWidth="1"/>
    <x:col min="9" max="9" width="11.375" customWidth="1"/>
  </x:cols>
  <x:sheetData>
    <x:row r="1" spans="1:6">
      <x:c r="A1" t="s">
        <x:v>66</x:v>
      </x:c>
      <x:c r="F1" t="s">
        <x:v>470</x:v>
      </x:c>
    </x:row>
    <x:row r="2" spans="1:9">
      <x:c r="A2" s="4" t="s">
        <x:v>400</x:v>
      </x:c>
      <x:c r="B2" s="4" t="s">
        <x:v>465</x:v>
      </x:c>
      <x:c r="C2" s="4" t="s">
        <x:v>466</x:v>
      </x:c>
      <x:c r="D2" s="3" t="s">
        <x:v>347</x:v>
      </x:c>
      <x:c r="F2" s="4" t="s">
        <x:v>321</x:v>
      </x:c>
      <x:c r="G2" s="4" t="s">
        <x:v>290</x:v>
      </x:c>
      <x:c r="H2" s="4" t="s">
        <x:v>374</x:v>
      </x:c>
      <x:c r="I2" s="4" t="s">
        <x:v>426</x:v>
      </x:c>
    </x:row>
    <x:row r="3" spans="1:12" s="11" customFormat="1">
      <x:c r="A3" s="2" t="s">
        <x:v>346</x:v>
      </x:c>
      <x:c r="B3" s="30">
        <x:v>17.140000000000001</x:v>
      </x:c>
      <x:c r="C3" s="16">
        <x:v>17.48</x:v>
      </x:c>
      <x:c r="D3" s="16" t="str">
        <x:f>IF(OR(B3&lt;=SMALL($B$3:$B$10,2),C3:C10&lt;=SMALL($B$3:$B$10,2)),"본선","")</x:f>
        <x:v/>
      </x:c>
      <x:c r="F3" s="16">
        <x:v>70560</x:v>
      </x:c>
      <x:c r="G3" s="2" t="s">
        <x:v>425</x:v>
      </x:c>
      <x:c r="H3" s="16" t="s">
        <x:v>309</x:v>
      </x:c>
      <x:c r="I3" s="32">
        <x:v>683</x:v>
      </x:c>
      <x:c r="K3" s="8" t="s">
        <x:v>374</x:v>
      </x:c>
      <x:c r="L3" s="8" t="s">
        <x:v>426</x:v>
      </x:c>
    </x:row>
    <x:row r="4" spans="1:12">
      <x:c r="A4" s="2" t="s">
        <x:v>391</x:v>
      </x:c>
      <x:c r="B4" s="2">
        <x:v>12.56</x:v>
      </x:c>
      <x:c r="C4" s="2">
        <x:v>14.82</x:v>
      </x:c>
      <x:c r="D4" s="16" t="str">
        <x:f t="shared" ref="D4:D10" si="0">IF(OR(B4&lt;=SMALL($B$3:$B$10,2),C4:C11&lt;=SMALL($B$3:$B$10,2)),"본선","")</x:f>
        <x:v>본선</x:v>
      </x:c>
      <x:c r="F4" s="16">
        <x:v>52240</x:v>
      </x:c>
      <x:c r="G4" s="2" t="s">
        <x:v>409</x:v>
      </x:c>
      <x:c r="H4" s="2" t="s">
        <x:v>331</x:v>
      </x:c>
      <x:c r="I4" s="32">
        <x:v>330</x:v>
      </x:c>
      <x:c r="K4" s="2" t="s">
        <x:v>331</x:v>
      </x:c>
      <x:c r="L4" s="2" t="s">
        <x:v>638</x:v>
      </x:c>
    </x:row>
    <x:row r="5" spans="1:12">
      <x:c r="A5" s="2" t="s">
        <x:v>458</x:v>
      </x:c>
      <x:c r="B5" s="2">
        <x:v>14.82</x:v>
      </x:c>
      <x:c r="C5" s="2">
        <x:v>16.879999999999999</x:v>
      </x:c>
      <x:c r="D5" s="16" t="str">
        <x:f t="shared" si="0"/>
        <x:v/>
      </x:c>
      <x:c r="F5" s="16">
        <x:v>90210</x:v>
      </x:c>
      <x:c r="G5" s="2" t="s">
        <x:v>405</x:v>
      </x:c>
      <x:c r="H5" s="2" t="s">
        <x:v>330</x:v>
      </x:c>
      <x:c r="I5" s="32">
        <x:v>492</x:v>
      </x:c>
      <x:c r="K5" s="2" t="s">
        <x:v>331</x:v>
      </x:c>
      <x:c r="L5" s="2" t="s">
        <x:v>629</x:v>
      </x:c>
    </x:row>
    <x:row r="6" spans="1:9">
      <x:c r="A6" s="2" t="s">
        <x:v>453</x:v>
      </x:c>
      <x:c r="B6" s="2">
        <x:v>16.460000000000001</x:v>
      </x:c>
      <x:c r="C6" s="2">
        <x:v>14.109999999999999</x:v>
      </x:c>
      <x:c r="D6" s="16" t="str">
        <x:f t="shared" si="0"/>
        <x:v/>
      </x:c>
      <x:c r="F6" s="16">
        <x:v>68865</x:v>
      </x:c>
      <x:c r="G6" s="2" t="s">
        <x:v>399</x:v>
      </x:c>
      <x:c r="H6" s="2" t="s">
        <x:v>331</x:v>
      </x:c>
      <x:c r="I6" s="32">
        <x:v>310</x:v>
      </x:c>
    </x:row>
    <x:row r="7" spans="1:9">
      <x:c r="A7" s="2" t="s">
        <x:v>476</x:v>
      </x:c>
      <x:c r="B7" s="2">
        <x:v>12.15</x:v>
      </x:c>
      <x:c r="C7" s="2">
        <x:v>13.630000000000001</x:v>
      </x:c>
      <x:c r="D7" s="16" t="str">
        <x:f t="shared" si="0"/>
        <x:v>본선</x:v>
      </x:c>
      <x:c r="F7" s="16">
        <x:v>30019</x:v>
      </x:c>
      <x:c r="G7" s="2" t="s">
        <x:v>413</x:v>
      </x:c>
      <x:c r="H7" s="2" t="s">
        <x:v>331</x:v>
      </x:c>
      <x:c r="I7" s="32">
        <x:v>551</x:v>
      </x:c>
    </x:row>
    <x:row r="8" spans="1:9">
      <x:c r="A8" s="2" t="s">
        <x:v>454</x:v>
      </x:c>
      <x:c r="B8" s="2">
        <x:v>18.870000000000001</x:v>
      </x:c>
      <x:c r="C8" s="2">
        <x:v>15.68</x:v>
      </x:c>
      <x:c r="D8" s="16" t="str">
        <x:f t="shared" si="0"/>
        <x:v/>
      </x:c>
      <x:c r="F8" s="16">
        <x:v>20890</x:v>
      </x:c>
      <x:c r="G8" s="2" t="s">
        <x:v>385</x:v>
      </x:c>
      <x:c r="H8" s="2" t="s">
        <x:v>331</x:v>
      </x:c>
      <x:c r="I8" s="32">
        <x:v>691</x:v>
      </x:c>
    </x:row>
    <x:row r="9" spans="1:9">
      <x:c r="A9" s="2" t="s">
        <x:v>460</x:v>
      </x:c>
      <x:c r="B9" s="2">
        <x:v>13.24</x:v>
      </x:c>
      <x:c r="C9" s="2">
        <x:v>14.77</x:v>
      </x:c>
      <x:c r="D9" s="16" t="str">
        <x:f t="shared" si="0"/>
        <x:v/>
      </x:c>
      <x:c r="F9" s="16">
        <x:v>85802</x:v>
      </x:c>
      <x:c r="G9" s="2" t="s">
        <x:v>401</x:v>
      </x:c>
      <x:c r="H9" s="2" t="s">
        <x:v>309</x:v>
      </x:c>
      <x:c r="I9" s="32">
        <x:v>619</x:v>
      </x:c>
    </x:row>
    <x:row r="10" spans="1:9">
      <x:c r="A10" s="2" t="s">
        <x:v>477</x:v>
      </x:c>
      <x:c r="B10" s="2">
        <x:v>12.890000000000001</x:v>
      </x:c>
      <x:c r="C10" s="2">
        <x:v>12.06</x:v>
      </x:c>
      <x:c r="D10" s="16" t="str">
        <x:f t="shared" si="0"/>
        <x:v>본선</x:v>
      </x:c>
      <x:c r="F10" s="83" t="s">
        <x:v>641</x:v>
      </x:c>
      <x:c r="G10" s="83"/>
      <x:c r="H10" s="83"/>
      <x:c r="I10" s="32">
        <x:f>TRUNC(DAVERAGE(F2:I9,4,$K$3:$L$5))</x:f>
        <x:v>443</x:v>
      </x:c>
    </x:row>
    <x:row r="12" spans="1:7">
      <x:c r="A12" s="1" t="s">
        <x:v>438</x:v>
      </x:c>
      <x:c r="G12" t="s">
        <x:v>430</x:v>
      </x:c>
    </x:row>
    <x:row r="13" spans="1:10">
      <x:c r="A13" s="4" t="s">
        <x:v>419</x:v>
      </x:c>
      <x:c r="B13" s="4" t="s">
        <x:v>384</x:v>
      </x:c>
      <x:c r="C13" s="4" t="s">
        <x:v>509</x:v>
      </x:c>
      <x:c r="D13" s="4" t="s">
        <x:v>494</x:v>
      </x:c>
      <x:c r="E13" s="4" t="s">
        <x:v>422</x:v>
      </x:c>
      <x:c r="G13" s="4" t="s">
        <x:v>290</x:v>
      </x:c>
      <x:c r="H13" s="4" t="s">
        <x:v>408</x:v>
      </x:c>
      <x:c r="I13" s="4" t="s">
        <x:v>388</x:v>
      </x:c>
      <x:c r="J13" s="4" t="s">
        <x:v>424</x:v>
      </x:c>
    </x:row>
    <x:row r="14" spans="1:10">
      <x:c r="A14" s="2" t="s">
        <x:v>415</x:v>
      </x:c>
      <x:c r="B14" s="2" t="s">
        <x:v>417</x:v>
      </x:c>
      <x:c r="C14" s="2">
        <x:v>1</x:v>
      </x:c>
      <x:c r="D14" s="2">
        <x:v>23</x:v>
      </x:c>
      <x:c r="E14" s="31">
        <x:f>C14/D14</x:f>
        <x:v>0.043478260869565216</x:v>
      </x:c>
      <x:c r="G14" s="2" t="s">
        <x:v>316</x:v>
      </x:c>
      <x:c r="H14" s="2" t="s">
        <x:v>387</x:v>
      </x:c>
      <x:c r="I14" s="2" t="s">
        <x:v>93</x:v>
      </x:c>
      <x:c r="J14" s="2">
        <x:v>69</x:v>
      </x:c>
    </x:row>
    <x:row r="15" spans="1:10">
      <x:c r="A15" s="2" t="s">
        <x:v>317</x:v>
      </x:c>
      <x:c r="B15" s="2" t="s">
        <x:v>423</x:v>
      </x:c>
      <x:c r="C15" s="2">
        <x:v>4</x:v>
      </x:c>
      <x:c r="D15" s="2">
        <x:v>21</x:v>
      </x:c>
      <x:c r="E15" s="31">
        <x:f t="shared" ref="E15:E22" si="1">C15/D15</x:f>
        <x:v>0.19047619047619047</x:v>
      </x:c>
      <x:c r="G15" s="2" t="s">
        <x:v>480</x:v>
      </x:c>
      <x:c r="H15" s="2" t="s">
        <x:v>387</x:v>
      </x:c>
      <x:c r="I15" s="2" t="s">
        <x:v>93</x:v>
      </x:c>
      <x:c r="J15" s="2">
        <x:v>93</x:v>
      </x:c>
    </x:row>
    <x:row r="16" spans="1:10">
      <x:c r="A16" s="2" t="s">
        <x:v>381</x:v>
      </x:c>
      <x:c r="B16" s="2" t="s">
        <x:v>411</x:v>
      </x:c>
      <x:c r="C16" s="2">
        <x:v>2</x:v>
      </x:c>
      <x:c r="D16" s="2">
        <x:v>20</x:v>
      </x:c>
      <x:c r="E16" s="31">
        <x:f t="shared" si="1"/>
        <x:v>0.10000000000000001</x:v>
      </x:c>
      <x:c r="G16" s="2" t="s">
        <x:v>303</x:v>
      </x:c>
      <x:c r="H16" s="2" t="s">
        <x:v>387</x:v>
      </x:c>
      <x:c r="I16" s="2" t="s">
        <x:v>406</x:v>
      </x:c>
      <x:c r="J16" s="2">
        <x:v>99</x:v>
      </x:c>
    </x:row>
    <x:row r="17" spans="1:10">
      <x:c r="A17" s="2" t="s">
        <x:v>372</x:v>
      </x:c>
      <x:c r="B17" s="2" t="s">
        <x:v>389</x:v>
      </x:c>
      <x:c r="C17" s="2">
        <x:v>3</x:v>
      </x:c>
      <x:c r="D17" s="2">
        <x:v>21</x:v>
      </x:c>
      <x:c r="E17" s="31">
        <x:f t="shared" si="1"/>
        <x:v>0.14285714285714285</x:v>
      </x:c>
      <x:c r="G17" s="2" t="s">
        <x:v>306</x:v>
      </x:c>
      <x:c r="H17" s="2" t="s">
        <x:v>387</x:v>
      </x:c>
      <x:c r="I17" s="2" t="s">
        <x:v>406</x:v>
      </x:c>
      <x:c r="J17" s="2">
        <x:v>70</x:v>
      </x:c>
    </x:row>
    <x:row r="18" spans="1:10">
      <x:c r="A18" s="2" t="s">
        <x:v>341</x:v>
      </x:c>
      <x:c r="B18" s="2" t="s">
        <x:v>402</x:v>
      </x:c>
      <x:c r="C18" s="2">
        <x:v>2</x:v>
      </x:c>
      <x:c r="D18" s="2">
        <x:v>23</x:v>
      </x:c>
      <x:c r="E18" s="31">
        <x:f t="shared" si="1"/>
        <x:v>0.086956521739130432</x:v>
      </x:c>
      <x:c r="G18" s="2" t="s">
        <x:v>421</x:v>
      </x:c>
      <x:c r="H18" s="2" t="s">
        <x:v>97</x:v>
      </x:c>
      <x:c r="I18" s="2" t="s">
        <x:v>93</x:v>
      </x:c>
      <x:c r="J18" s="2">
        <x:v>80</x:v>
      </x:c>
    </x:row>
    <x:row r="19" spans="1:10">
      <x:c r="A19" s="2" t="s">
        <x:v>373</x:v>
      </x:c>
      <x:c r="B19" s="2" t="s">
        <x:v>404</x:v>
      </x:c>
      <x:c r="C19" s="2">
        <x:v>4</x:v>
      </x:c>
      <x:c r="D19" s="2">
        <x:v>21</x:v>
      </x:c>
      <x:c r="E19" s="31">
        <x:f t="shared" si="1"/>
        <x:v>0.19047619047619047</x:v>
      </x:c>
      <x:c r="G19" s="2" t="s">
        <x:v>372</x:v>
      </x:c>
      <x:c r="H19" s="2" t="s">
        <x:v>97</x:v>
      </x:c>
      <x:c r="I19" s="2" t="s">
        <x:v>93</x:v>
      </x:c>
      <x:c r="J19" s="2">
        <x:v>86</x:v>
      </x:c>
    </x:row>
    <x:row r="20" spans="1:10">
      <x:c r="A20" s="2" t="s">
        <x:v>414</x:v>
      </x:c>
      <x:c r="B20" s="2" t="s">
        <x:v>380</x:v>
      </x:c>
      <x:c r="C20" s="2">
        <x:v>3</x:v>
      </x:c>
      <x:c r="D20" s="2">
        <x:v>22</x:v>
      </x:c>
      <x:c r="E20" s="31">
        <x:f t="shared" si="1"/>
        <x:v>0.13636363636363635</x:v>
      </x:c>
      <x:c r="G20" s="2" t="s">
        <x:v>407</x:v>
      </x:c>
      <x:c r="H20" s="2" t="s">
        <x:v>97</x:v>
      </x:c>
      <x:c r="I20" s="2" t="s">
        <x:v>406</x:v>
      </x:c>
      <x:c r="J20" s="2">
        <x:v>95</x:v>
      </x:c>
    </x:row>
    <x:row r="21" spans="1:10">
      <x:c r="A21" s="2" t="s">
        <x:v>410</x:v>
      </x:c>
      <x:c r="B21" s="2" t="s">
        <x:v>417</x:v>
      </x:c>
      <x:c r="C21" s="2">
        <x:v>2</x:v>
      </x:c>
      <x:c r="D21" s="2">
        <x:v>20</x:v>
      </x:c>
      <x:c r="E21" s="31">
        <x:f t="shared" si="1"/>
        <x:v>0.10000000000000001</x:v>
      </x:c>
      <x:c r="G21" s="2" t="s">
        <x:v>375</x:v>
      </x:c>
      <x:c r="H21" s="2" t="s">
        <x:v>97</x:v>
      </x:c>
      <x:c r="I21" s="2" t="s">
        <x:v>406</x:v>
      </x:c>
      <x:c r="J21" s="2">
        <x:v>93</x:v>
      </x:c>
    </x:row>
    <x:row r="22" spans="1:10">
      <x:c r="A22" s="2" t="s">
        <x:v>420</x:v>
      </x:c>
      <x:c r="B22" s="2" t="s">
        <x:v>389</x:v>
      </x:c>
      <x:c r="C22" s="2">
        <x:v>1</x:v>
      </x:c>
      <x:c r="D22" s="2">
        <x:v>20</x:v>
      </x:c>
      <x:c r="E22" s="31">
        <x:f t="shared" si="1"/>
        <x:v>0.05</x:v>
      </x:c>
      <x:c r="G22" s="2" t="s">
        <x:v>381</x:v>
      </x:c>
      <x:c r="H22" s="2" t="s">
        <x:v>97</x:v>
      </x:c>
      <x:c r="I22" s="2" t="s">
        <x:v>406</x:v>
      </x:c>
      <x:c r="J22" s="2">
        <x:v>97</x:v>
      </x:c>
    </x:row>
    <x:row r="23" spans="1:10">
      <x:c r="A23" s="81" t="s">
        <x:v>8</x:v>
      </x:c>
      <x:c r="B23" s="81"/>
      <x:c r="C23" s="81"/>
      <x:c r="D23" s="81"/>
      <x:c r="E23" s="31">
        <x:f>SUMIF(B14:B22,"*루수",E14:E22)</x:f>
        <x:v>0.66079427818558245</x:v>
      </x:c>
      <x:c r="G23" s="81" t="s">
        <x:v>3</x:v>
      </x:c>
      <x:c r="H23" s="81"/>
      <x:c r="I23" s="81"/>
      <x:c r="J23" s="2" t="str">
        <x:f>INDEX(G14:J22,MATCH(MAX(J14:J22),J14:J22,0),1)</x:f>
        <x:v>신은희</x:v>
      </x:c>
    </x:row>
    <x:row r="25" spans="1:6">
      <x:c r="A25" s="5" t="s">
        <x:v>455</x:v>
      </x:c>
      <x:c r="F25" t="s">
        <x:v>520</x:v>
      </x:c>
    </x:row>
    <x:row r="26" spans="1:7">
      <x:c r="A26" s="4" t="s">
        <x:v>493</x:v>
      </x:c>
      <x:c r="B26" s="4" t="s">
        <x:v>479</x:v>
      </x:c>
      <x:c r="C26" s="4" t="s">
        <x:v>517</x:v>
      </x:c>
      <x:c r="D26" s="3" t="s">
        <x:v>355</x:v>
      </x:c>
      <x:c r="F26" s="4" t="s">
        <x:v>507</x:v>
      </x:c>
      <x:c r="G26" s="4" t="s">
        <x:v>319</x:v>
      </x:c>
    </x:row>
    <x:row r="27" spans="1:9">
      <x:c r="A27" s="2" t="s">
        <x:v>87</x:v>
      </x:c>
      <x:c r="B27" s="2">
        <x:v>789</x:v>
      </x:c>
      <x:c r="C27" s="2">
        <x:v>715</x:v>
      </x:c>
      <x:c r="D27" s="2" t="str">
        <x:f>VLOOKUP(MID(A27,4,1),$F$27:$G$29,2,0)</x:f>
        <x:v>생산부</x:v>
      </x:c>
      <x:c r="F27" s="2" t="s">
        <x:v>100</x:v>
      </x:c>
      <x:c r="G27" s="2" t="s">
        <x:v>378</x:v>
      </x:c>
      <x:c r="I27" s="1"/>
    </x:row>
    <x:row r="28" spans="1:7">
      <x:c r="A28" s="2" t="s">
        <x:v>32</x:v>
      </x:c>
      <x:c r="B28" s="2">
        <x:v>748</x:v>
      </x:c>
      <x:c r="C28" s="2">
        <x:v>748</x:v>
      </x:c>
      <x:c r="D28" s="2" t="str">
        <x:f t="shared" ref="D28:D34" si="2">VLOOKUP(MID(A28,4,1),$F$27:$G$29,2,0)</x:f>
        <x:v>영업부</x:v>
      </x:c>
      <x:c r="F28" s="2" t="s">
        <x:v>403</x:v>
      </x:c>
      <x:c r="G28" s="2" t="s">
        <x:v>92</x:v>
      </x:c>
    </x:row>
    <x:row r="29" spans="1:7">
      <x:c r="A29" s="2" t="s">
        <x:v>24</x:v>
      </x:c>
      <x:c r="B29" s="2">
        <x:v>891</x:v>
      </x:c>
      <x:c r="C29" s="2">
        <x:v>790</x:v>
      </x:c>
      <x:c r="D29" s="2" t="str">
        <x:f t="shared" si="2"/>
        <x:v>홍보부</x:v>
      </x:c>
      <x:c r="F29" s="2" t="s">
        <x:v>99</x:v>
      </x:c>
      <x:c r="G29" s="2" t="s">
        <x:v>98</x:v>
      </x:c>
    </x:row>
    <x:row r="30" spans="1:4">
      <x:c r="A30" s="2" t="s">
        <x:v>77</x:v>
      </x:c>
      <x:c r="B30" s="2">
        <x:v>794</x:v>
      </x:c>
      <x:c r="C30" s="2">
        <x:v>895</x:v>
      </x:c>
      <x:c r="D30" s="2" t="str">
        <x:f t="shared" si="2"/>
        <x:v>생산부</x:v>
      </x:c>
    </x:row>
    <x:row r="31" spans="1:4">
      <x:c r="A31" s="2" t="s">
        <x:v>13</x:v>
      </x:c>
      <x:c r="B31" s="2">
        <x:v>876</x:v>
      </x:c>
      <x:c r="C31" s="2">
        <x:v>749</x:v>
      </x:c>
      <x:c r="D31" s="2" t="str">
        <x:f t="shared" si="2"/>
        <x:v>홍보부</x:v>
      </x:c>
    </x:row>
    <x:row r="32" spans="1:4">
      <x:c r="A32" s="2" t="s">
        <x:v>12</x:v>
      </x:c>
      <x:c r="B32" s="2">
        <x:v>811</x:v>
      </x:c>
      <x:c r="C32" s="2">
        <x:v>975</x:v>
      </x:c>
      <x:c r="D32" s="2" t="str">
        <x:f t="shared" si="2"/>
        <x:v>영업부</x:v>
      </x:c>
    </x:row>
    <x:row r="33" spans="1:4">
      <x:c r="A33" s="2" t="s">
        <x:v>88</x:v>
      </x:c>
      <x:c r="B33" s="2">
        <x:v>844</x:v>
      </x:c>
      <x:c r="C33" s="2">
        <x:v>890</x:v>
      </x:c>
      <x:c r="D33" s="2" t="str">
        <x:f t="shared" si="2"/>
        <x:v>홍보부</x:v>
      </x:c>
    </x:row>
    <x:row r="34" spans="1:4">
      <x:c r="A34" s="2" t="s">
        <x:v>79</x:v>
      </x:c>
      <x:c r="B34" s="2">
        <x:v>924</x:v>
      </x:c>
      <x:c r="C34" s="2">
        <x:v>924</x:v>
      </x:c>
      <x:c r="D34" s="2" t="str">
        <x:f t="shared" si="2"/>
        <x:v>생산부</x:v>
      </x:c>
    </x:row>
  </x:sheetData>
  <x:sortState columnSort="0" caseSensitive="0" ref="G14:H22">
    <x:sortCondition descending="0" sortBy="value" ref="H14:H22"/>
  </x:sortState>
  <x:mergeCells count="3">
    <x:mergeCell ref="F10:H10"/>
    <x:mergeCell ref="A23:D23"/>
    <x:mergeCell ref="G23:I23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N33"/>
  <x:sheetViews>
    <x:sheetView topLeftCell="A22" zoomScale="200" zoomScaleNormal="200" zoomScaleSheetLayoutView="75" workbookViewId="0">
      <x:selection activeCell="F33" activeCellId="0" sqref="F33:F33"/>
    </x:sheetView>
  </x:sheetViews>
  <x:sheetFormatPr defaultColWidth="9" defaultRowHeight="16.39999999999999857891"/>
  <x:cols>
    <x:col min="5" max="5" width="10.625" bestFit="1" customWidth="1"/>
    <x:col min="9" max="9" width="15.25" bestFit="1" customWidth="1"/>
    <x:col min="12" max="12" width="10.625" customWidth="1"/>
  </x:cols>
  <x:sheetData>
    <x:row r="1" spans="1:8">
      <x:c r="A1" t="s">
        <x:v>445</x:v>
      </x:c>
      <x:c r="H1" t="s">
        <x:v>470</x:v>
      </x:c>
    </x:row>
    <x:row r="2" spans="1:14">
      <x:c r="A2" s="4" t="s">
        <x:v>321</x:v>
      </x:c>
      <x:c r="B2" s="4" t="s">
        <x:v>106</x:v>
      </x:c>
      <x:c r="C2" s="4" t="s">
        <x:v>336</x:v>
      </x:c>
      <x:c r="D2" s="4" t="s">
        <x:v>503</x:v>
      </x:c>
      <x:c r="E2" s="4" t="s">
        <x:v>483</x:v>
      </x:c>
      <x:c r="F2" s="3" t="s">
        <x:v>363</x:v>
      </x:c>
      <x:c r="H2" s="4" t="s">
        <x:v>321</x:v>
      </x:c>
      <x:c r="I2" s="4" t="s">
        <x:v>106</x:v>
      </x:c>
      <x:c r="J2" s="4" t="s">
        <x:v>336</x:v>
      </x:c>
      <x:c r="K2" s="4" t="s">
        <x:v>416</x:v>
      </x:c>
      <x:c r="L2" s="4" t="s">
        <x:v>324</x:v>
      </x:c>
      <x:c r="M2" s="4" t="s">
        <x:v>350</x:v>
      </x:c>
      <x:c r="N2" s="3" t="s">
        <x:v>363</x:v>
      </x:c>
    </x:row>
    <x:row r="3" spans="1:14">
      <x:c r="A3" s="2">
        <x:v>20212550</x:v>
      </x:c>
      <x:c r="B3" s="2" t="s">
        <x:v>110</x:v>
      </x:c>
      <x:c r="C3" s="2" t="s">
        <x:v>301</x:v>
      </x:c>
      <x:c r="D3" s="2" t="s">
        <x:v>99</x:v>
      </x:c>
      <x:c r="E3" s="2" t="s">
        <x:v>100</x:v>
      </x:c>
      <x:c r="F3" s="2" t="str">
        <x:f>IF(AND(D3="A",E3="A"),"최우수",IF(OR(D3="A",E3="A"),"우수",""))</x:f>
        <x:v>우수</x:v>
      </x:c>
      <x:c r="H3" s="2">
        <x:v>20212550</x:v>
      </x:c>
      <x:c r="I3" s="2" t="s">
        <x:v>110</x:v>
      </x:c>
      <x:c r="J3" s="2" t="s">
        <x:v>301</x:v>
      </x:c>
      <x:c r="K3" s="2" t="s">
        <x:v>120</x:v>
      </x:c>
      <x:c r="L3" s="2" t="s">
        <x:v>120</x:v>
      </x:c>
      <x:c r="M3" s="2" t="s">
        <x:v>120</x:v>
      </x:c>
      <x:c r="N3" s="2" t="str">
        <x:f>IF(COUNTA(K3:M3)=3,"A",IF(COUNTA(K3:M3)=2,"B","C"))</x:f>
        <x:v>A</x:v>
      </x:c>
    </x:row>
    <x:row r="4" spans="1:14">
      <x:c r="A4" s="2">
        <x:v>20211753</x:v>
      </x:c>
      <x:c r="B4" s="2" t="s">
        <x:v>105</x:v>
      </x:c>
      <x:c r="C4" s="2" t="s">
        <x:v>301</x:v>
      </x:c>
      <x:c r="D4" s="2" t="s">
        <x:v>100</x:v>
      </x:c>
      <x:c r="E4" s="2" t="s">
        <x:v>100</x:v>
      </x:c>
      <x:c r="F4" s="2" t="str">
        <x:f t="shared" ref="F4:F10" si="0">IF(AND(D4="A",E4="A"),"최우수",IF(OR(D4="A",E4="A"),"우수",""))</x:f>
        <x:v>최우수</x:v>
      </x:c>
      <x:c r="H4" s="2">
        <x:v>20211753</x:v>
      </x:c>
      <x:c r="I4" s="2" t="s">
        <x:v>105</x:v>
      </x:c>
      <x:c r="J4" s="2" t="s">
        <x:v>301</x:v>
      </x:c>
      <x:c r="K4" s="2" t="s">
        <x:v>120</x:v>
      </x:c>
      <x:c r="L4" s="2"/>
      <x:c r="M4" s="2" t="s">
        <x:v>120</x:v>
      </x:c>
      <x:c r="N4" s="2" t="str">
        <x:f t="shared" ref="N4:N10" si="1">IF(COUNTA(K4:M4)=3,"A",IF(COUNTA(K4:M4)=2,"B","C"))</x:f>
        <x:v>B</x:v>
      </x:c>
    </x:row>
    <x:row r="5" spans="1:14">
      <x:c r="A5" s="2">
        <x:v>20202895</x:v>
      </x:c>
      <x:c r="B5" s="2" t="s">
        <x:v>123</x:v>
      </x:c>
      <x:c r="C5" s="2" t="s">
        <x:v>301</x:v>
      </x:c>
      <x:c r="D5" s="2" t="s">
        <x:v>99</x:v>
      </x:c>
      <x:c r="E5" s="2" t="s">
        <x:v>99</x:v>
      </x:c>
      <x:c r="F5" s="2" t="str">
        <x:f t="shared" si="0"/>
        <x:v/>
      </x:c>
      <x:c r="H5" s="2">
        <x:v>20202895</x:v>
      </x:c>
      <x:c r="I5" s="2" t="s">
        <x:v>123</x:v>
      </x:c>
      <x:c r="J5" s="2" t="s">
        <x:v>301</x:v>
      </x:c>
      <x:c r="K5" s="2"/>
      <x:c r="L5" s="2" t="s">
        <x:v>120</x:v>
      </x:c>
      <x:c r="M5" s="2"/>
      <x:c r="N5" s="2" t="str">
        <x:f t="shared" si="1"/>
        <x:v>C</x:v>
      </x:c>
    </x:row>
    <x:row r="6" spans="1:14">
      <x:c r="A6" s="2">
        <x:v>20201267</x:v>
      </x:c>
      <x:c r="B6" s="2" t="s">
        <x:v>412</x:v>
      </x:c>
      <x:c r="C6" s="2" t="s">
        <x:v>289</x:v>
      </x:c>
      <x:c r="D6" s="2" t="s">
        <x:v>99</x:v>
      </x:c>
      <x:c r="E6" s="2" t="s">
        <x:v>100</x:v>
      </x:c>
      <x:c r="F6" s="2" t="str">
        <x:f t="shared" si="0"/>
        <x:v>우수</x:v>
      </x:c>
      <x:c r="H6" s="2">
        <x:v>20201267</x:v>
      </x:c>
      <x:c r="I6" s="2" t="s">
        <x:v>412</x:v>
      </x:c>
      <x:c r="J6" s="2" t="s">
        <x:v>289</x:v>
      </x:c>
      <x:c r="K6" s="2" t="s">
        <x:v>120</x:v>
      </x:c>
      <x:c r="L6" s="2" t="s">
        <x:v>120</x:v>
      </x:c>
      <x:c r="M6" s="2" t="s">
        <x:v>120</x:v>
      </x:c>
      <x:c r="N6" s="2" t="str">
        <x:f t="shared" si="1"/>
        <x:v>A</x:v>
      </x:c>
    </x:row>
    <x:row r="7" spans="1:14">
      <x:c r="A7" s="2">
        <x:v>20211462</x:v>
      </x:c>
      <x:c r="B7" s="2" t="s">
        <x:v>112</x:v>
      </x:c>
      <x:c r="C7" s="2" t="s">
        <x:v>289</x:v>
      </x:c>
      <x:c r="D7" s="2" t="s">
        <x:v>403</x:v>
      </x:c>
      <x:c r="E7" s="2" t="s">
        <x:v>99</x:v>
      </x:c>
      <x:c r="F7" s="2" t="str">
        <x:f t="shared" si="0"/>
        <x:v/>
      </x:c>
      <x:c r="H7" s="2">
        <x:v>20211462</x:v>
      </x:c>
      <x:c r="I7" s="2" t="s">
        <x:v>112</x:v>
      </x:c>
      <x:c r="J7" s="2" t="s">
        <x:v>289</x:v>
      </x:c>
      <x:c r="K7" s="2" t="s">
        <x:v>120</x:v>
      </x:c>
      <x:c r="L7" s="2"/>
      <x:c r="M7" s="2" t="s">
        <x:v>120</x:v>
      </x:c>
      <x:c r="N7" s="2" t="str">
        <x:f t="shared" si="1"/>
        <x:v>B</x:v>
      </x:c>
    </x:row>
    <x:row r="8" spans="1:14">
      <x:c r="A8" s="2">
        <x:v>20222069</x:v>
      </x:c>
      <x:c r="B8" s="2" t="s">
        <x:v>101</x:v>
      </x:c>
      <x:c r="C8" s="2" t="s">
        <x:v>301</x:v>
      </x:c>
      <x:c r="D8" s="2" t="s">
        <x:v>403</x:v>
      </x:c>
      <x:c r="E8" s="2" t="s">
        <x:v>403</x:v>
      </x:c>
      <x:c r="F8" s="2" t="str">
        <x:f t="shared" si="0"/>
        <x:v/>
      </x:c>
      <x:c r="H8" s="2">
        <x:v>20222069</x:v>
      </x:c>
      <x:c r="I8" s="2" t="s">
        <x:v>101</x:v>
      </x:c>
      <x:c r="J8" s="2" t="s">
        <x:v>301</x:v>
      </x:c>
      <x:c r="K8" s="2"/>
      <x:c r="L8" s="2" t="s">
        <x:v>120</x:v>
      </x:c>
      <x:c r="M8" s="2" t="s">
        <x:v>120</x:v>
      </x:c>
      <x:c r="N8" s="2" t="str">
        <x:f t="shared" si="1"/>
        <x:v>B</x:v>
      </x:c>
    </x:row>
    <x:row r="9" spans="1:14">
      <x:c r="A9" s="2">
        <x:v>20232015</x:v>
      </x:c>
      <x:c r="B9" s="2" t="s">
        <x:v>117</x:v>
      </x:c>
      <x:c r="C9" s="2" t="s">
        <x:v>289</x:v>
      </x:c>
      <x:c r="D9" s="2" t="s">
        <x:v>100</x:v>
      </x:c>
      <x:c r="E9" s="2" t="s">
        <x:v>403</x:v>
      </x:c>
      <x:c r="F9" s="2" t="str">
        <x:f t="shared" si="0"/>
        <x:v>우수</x:v>
      </x:c>
      <x:c r="H9" s="2">
        <x:v>20232015</x:v>
      </x:c>
      <x:c r="I9" s="2" t="s">
        <x:v>117</x:v>
      </x:c>
      <x:c r="J9" s="2" t="s">
        <x:v>289</x:v>
      </x:c>
      <x:c r="K9" s="2"/>
      <x:c r="L9" s="2" t="s">
        <x:v>120</x:v>
      </x:c>
      <x:c r="M9" s="2"/>
      <x:c r="N9" s="2" t="str">
        <x:f t="shared" si="1"/>
        <x:v>C</x:v>
      </x:c>
    </x:row>
    <x:row r="10" spans="1:14">
      <x:c r="A10" s="2">
        <x:v>20201654</x:v>
      </x:c>
      <x:c r="B10" s="2" t="s">
        <x:v>122</x:v>
      </x:c>
      <x:c r="C10" s="2" t="s">
        <x:v>301</x:v>
      </x:c>
      <x:c r="D10" s="2" t="s">
        <x:v>99</x:v>
      </x:c>
      <x:c r="E10" s="2" t="s">
        <x:v>403</x:v>
      </x:c>
      <x:c r="F10" s="2" t="str">
        <x:f t="shared" si="0"/>
        <x:v/>
      </x:c>
      <x:c r="H10" s="2">
        <x:v>20201654</x:v>
      </x:c>
      <x:c r="I10" s="2" t="s">
        <x:v>122</x:v>
      </x:c>
      <x:c r="J10" s="2" t="s">
        <x:v>301</x:v>
      </x:c>
      <x:c r="K10" s="2" t="s">
        <x:v>120</x:v>
      </x:c>
      <x:c r="L10" s="2" t="s">
        <x:v>120</x:v>
      </x:c>
      <x:c r="M10" s="2"/>
      <x:c r="N10" s="2" t="str">
        <x:f t="shared" si="1"/>
        <x:v>B</x:v>
      </x:c>
    </x:row>
    <x:row r="12" spans="1:8">
      <x:c r="A12" t="s">
        <x:v>438</x:v>
      </x:c>
      <x:c r="D12" s="1" t="s">
        <x:v>418</x:v>
      </x:c>
      <x:c r="E12" s="33">
        <x:v>45385</x:v>
      </x:c>
      <x:c r="H12" t="s">
        <x:v>430</x:v>
      </x:c>
    </x:row>
    <x:row r="13" spans="1:12">
      <x:c r="A13" s="4" t="s">
        <x:v>321</x:v>
      </x:c>
      <x:c r="B13" s="4" t="s">
        <x:v>106</x:v>
      </x:c>
      <x:c r="C13" s="4" t="s">
        <x:v>336</x:v>
      </x:c>
      <x:c r="D13" s="4" t="s">
        <x:v>108</x:v>
      </x:c>
      <x:c r="E13" s="3" t="s">
        <x:v>492</x:v>
      </x:c>
      <x:c r="H13" s="4" t="s">
        <x:v>487</x:v>
      </x:c>
      <x:c r="I13" s="4" t="s">
        <x:v>121</x:v>
      </x:c>
      <x:c r="J13" s="3" t="s">
        <x:v>115</x:v>
      </x:c>
      <x:c r="L13" s="1" t="s">
        <x:v>537</x:v>
      </x:c>
    </x:row>
    <x:row r="14" spans="1:13">
      <x:c r="A14" s="2" t="s">
        <x:v>78</x:v>
      </x:c>
      <x:c r="B14" s="2" t="s">
        <x:v>110</x:v>
      </x:c>
      <x:c r="C14" s="2" t="s">
        <x:v>301</x:v>
      </x:c>
      <x:c r="D14" s="2" t="s">
        <x:v>107</x:v>
      </x:c>
      <x:c r="E14" s="34">
        <x:f>YEAR($E$12)-(2000+MID(A14,2,2))+IF(D14="서울",5,8)</x:f>
        <x:v>11</x:v>
      </x:c>
      <x:c r="H14" s="2" t="s">
        <x:v>522</x:v>
      </x:c>
      <x:c r="I14" s="2" t="s">
        <x:v>538</x:v>
      </x:c>
      <x:c r="J14" s="2" t="str">
        <x:f>IFERROR(VLOOKUP(LEFT(H14,1),$L$15:$M$18,2,0),"코드오류")</x:f>
        <x:v>예술</x:v>
      </x:c>
      <x:c r="L14" s="4" t="s">
        <x:v>482</x:v>
      </x:c>
      <x:c r="M14" s="4" t="s">
        <x:v>118</x:v>
      </x:c>
    </x:row>
    <x:row r="15" spans="1:13">
      <x:c r="A15" s="2" t="s">
        <x:v>85</x:v>
      </x:c>
      <x:c r="B15" s="2" t="s">
        <x:v>105</x:v>
      </x:c>
      <x:c r="C15" s="2" t="s">
        <x:v>301</x:v>
      </x:c>
      <x:c r="D15" s="2" t="s">
        <x:v>113</x:v>
      </x:c>
      <x:c r="E15" s="34">
        <x:f t="shared" ref="E15:E21" si="2">YEAR($E$12)-(2000+MID(A15,2,2))+IF(D15="서울",5,8)</x:f>
        <x:v>8</x:v>
      </x:c>
      <x:c r="H15" s="2" t="s">
        <x:v>488</x:v>
      </x:c>
      <x:c r="I15" s="2" t="s">
        <x:v>76</x:v>
      </x:c>
      <x:c r="J15" s="2" t="str">
        <x:f t="shared" ref="J15:J21" si="3">IFERROR(VLOOKUP(LEFT(H15,1),$L$15:$M$18,2,0),"코드오류")</x:f>
        <x:v>기술</x:v>
      </x:c>
      <x:c r="L15" s="2" t="s">
        <x:v>119</x:v>
      </x:c>
      <x:c r="M15" s="2" t="s">
        <x:v>102</x:v>
      </x:c>
    </x:row>
    <x:row r="16" spans="1:13">
      <x:c r="A16" s="2" t="s">
        <x:v>74</x:v>
      </x:c>
      <x:c r="B16" s="2" t="s">
        <x:v>123</x:v>
      </x:c>
      <x:c r="C16" s="2" t="s">
        <x:v>301</x:v>
      </x:c>
      <x:c r="D16" s="2" t="s">
        <x:v>107</x:v>
      </x:c>
      <x:c r="E16" s="34">
        <x:f t="shared" si="2"/>
        <x:v>12</x:v>
      </x:c>
      <x:c r="H16" s="2" t="s">
        <x:v>486</x:v>
      </x:c>
      <x:c r="I16" s="2" t="s">
        <x:v>142</x:v>
      </x:c>
      <x:c r="J16" s="2" t="str">
        <x:f t="shared" si="3"/>
        <x:v>철학</x:v>
      </x:c>
      <x:c r="L16" s="2" t="s">
        <x:v>100</x:v>
      </x:c>
      <x:c r="M16" s="2" t="s">
        <x:v>116</x:v>
      </x:c>
    </x:row>
    <x:row r="17" spans="1:13">
      <x:c r="A17" s="2" t="s">
        <x:v>84</x:v>
      </x:c>
      <x:c r="B17" s="2" t="s">
        <x:v>412</x:v>
      </x:c>
      <x:c r="C17" s="2" t="s">
        <x:v>289</x:v>
      </x:c>
      <x:c r="D17" s="2" t="s">
        <x:v>104</x:v>
      </x:c>
      <x:c r="E17" s="34">
        <x:f t="shared" si="2"/>
        <x:v>12</x:v>
      </x:c>
      <x:c r="H17" s="2" t="s">
        <x:v>502</x:v>
      </x:c>
      <x:c r="I17" s="2" t="s">
        <x:v>478</x:v>
      </x:c>
      <x:c r="J17" s="2" t="str">
        <x:f t="shared" si="3"/>
        <x:v>코드오류</x:v>
      </x:c>
      <x:c r="L17" s="2" t="s">
        <x:v>114</x:v>
      </x:c>
      <x:c r="M17" s="2" t="s">
        <x:v>103</x:v>
      </x:c>
    </x:row>
    <x:row r="18" spans="1:13">
      <x:c r="A18" s="2" t="s">
        <x:v>85</x:v>
      </x:c>
      <x:c r="B18" s="2" t="s">
        <x:v>112</x:v>
      </x:c>
      <x:c r="C18" s="2" t="s">
        <x:v>289</x:v>
      </x:c>
      <x:c r="D18" s="2" t="s">
        <x:v>113</x:v>
      </x:c>
      <x:c r="E18" s="34">
        <x:f t="shared" si="2"/>
        <x:v>8</x:v>
      </x:c>
      <x:c r="H18" s="2" t="s">
        <x:v>489</x:v>
      </x:c>
      <x:c r="I18" s="2" t="s">
        <x:v>484</x:v>
      </x:c>
      <x:c r="J18" s="2" t="str">
        <x:f t="shared" si="3"/>
        <x:v>기술</x:v>
      </x:c>
      <x:c r="L18" s="2" t="s">
        <x:v>124</x:v>
      </x:c>
      <x:c r="M18" s="2" t="s">
        <x:v>109</x:v>
      </x:c>
    </x:row>
    <x:row r="19" spans="1:10">
      <x:c r="A19" s="2" t="s">
        <x:v>75</x:v>
      </x:c>
      <x:c r="B19" s="2" t="s">
        <x:v>101</x:v>
      </x:c>
      <x:c r="C19" s="2" t="s">
        <x:v>301</x:v>
      </x:c>
      <x:c r="D19" s="2" t="s">
        <x:v>107</x:v>
      </x:c>
      <x:c r="E19" s="34">
        <x:f t="shared" si="2"/>
        <x:v>10</x:v>
      </x:c>
      <x:c r="H19" s="2" t="s">
        <x:v>491</x:v>
      </x:c>
      <x:c r="I19" s="2" t="s">
        <x:v>73</x:v>
      </x:c>
      <x:c r="J19" s="2" t="str">
        <x:f t="shared" si="3"/>
        <x:v>과학</x:v>
      </x:c>
    </x:row>
    <x:row r="20" spans="1:10">
      <x:c r="A20" s="2" t="s">
        <x:v>86</x:v>
      </x:c>
      <x:c r="B20" s="2" t="s">
        <x:v>117</x:v>
      </x:c>
      <x:c r="C20" s="2" t="s">
        <x:v>289</x:v>
      </x:c>
      <x:c r="D20" s="2" t="s">
        <x:v>113</x:v>
      </x:c>
      <x:c r="E20" s="34">
        <x:f t="shared" si="2"/>
        <x:v>6</x:v>
      </x:c>
      <x:c r="H20" s="2" t="s">
        <x:v>518</x:v>
      </x:c>
      <x:c r="I20" s="2" t="s">
        <x:v>525</x:v>
      </x:c>
      <x:c r="J20" s="2" t="str">
        <x:f t="shared" si="3"/>
        <x:v>예술</x:v>
      </x:c>
    </x:row>
    <x:row r="21" spans="1:10">
      <x:c r="A21" s="2" t="s">
        <x:v>74</x:v>
      </x:c>
      <x:c r="B21" s="2" t="s">
        <x:v>122</x:v>
      </x:c>
      <x:c r="C21" s="2" t="s">
        <x:v>301</x:v>
      </x:c>
      <x:c r="D21" s="2" t="s">
        <x:v>113</x:v>
      </x:c>
      <x:c r="E21" s="34">
        <x:f t="shared" si="2"/>
        <x:v>9</x:v>
      </x:c>
      <x:c r="H21" s="2" t="s">
        <x:v>531</x:v>
      </x:c>
      <x:c r="I21" s="2" t="s">
        <x:v>82</x:v>
      </x:c>
      <x:c r="J21" s="2" t="str">
        <x:f t="shared" si="3"/>
        <x:v>과학</x:v>
      </x:c>
    </x:row>
    <x:row r="23" spans="1:1">
      <x:c r="A23" t="s">
        <x:v>455</x:v>
      </x:c>
    </x:row>
    <x:row r="24" spans="1:5">
      <x:c r="A24" s="4" t="s">
        <x:v>321</x:v>
      </x:c>
      <x:c r="B24" s="4" t="s">
        <x:v>106</x:v>
      </x:c>
      <x:c r="C24" s="4" t="s">
        <x:v>336</x:v>
      </x:c>
      <x:c r="D24" s="4" t="s">
        <x:v>355</x:v>
      </x:c>
      <x:c r="E24" s="4" t="s">
        <x:v>138</x:v>
      </x:c>
    </x:row>
    <x:row r="25" spans="1:5">
      <x:c r="A25" s="2" t="s">
        <x:v>78</x:v>
      </x:c>
      <x:c r="B25" s="2" t="s">
        <x:v>110</x:v>
      </x:c>
      <x:c r="C25" s="2" t="s">
        <x:v>301</x:v>
      </x:c>
      <x:c r="D25" s="2" t="s">
        <x:v>92</x:v>
      </x:c>
      <x:c r="E25" s="7">
        <x:v>2896000</x:v>
      </x:c>
    </x:row>
    <x:row r="26" spans="1:5">
      <x:c r="A26" s="2" t="s">
        <x:v>85</x:v>
      </x:c>
      <x:c r="B26" s="2" t="s">
        <x:v>105</x:v>
      </x:c>
      <x:c r="C26" s="2" t="s">
        <x:v>301</x:v>
      </x:c>
      <x:c r="D26" s="2" t="s">
        <x:v>337</x:v>
      </x:c>
      <x:c r="E26" s="7">
        <x:v>3405000</x:v>
      </x:c>
    </x:row>
    <x:row r="27" spans="1:5">
      <x:c r="A27" s="2" t="s">
        <x:v>74</x:v>
      </x:c>
      <x:c r="B27" s="2" t="s">
        <x:v>123</x:v>
      </x:c>
      <x:c r="C27" s="2" t="s">
        <x:v>301</x:v>
      </x:c>
      <x:c r="D27" s="2" t="s">
        <x:v>92</x:v>
      </x:c>
      <x:c r="E27" s="7">
        <x:v>2287000</x:v>
      </x:c>
    </x:row>
    <x:row r="28" spans="1:5">
      <x:c r="A28" s="2" t="s">
        <x:v>84</x:v>
      </x:c>
      <x:c r="B28" s="2" t="s">
        <x:v>412</x:v>
      </x:c>
      <x:c r="C28" s="2" t="s">
        <x:v>289</x:v>
      </x:c>
      <x:c r="D28" s="2" t="s">
        <x:v>378</x:v>
      </x:c>
      <x:c r="E28" s="7">
        <x:v>2937000</x:v>
      </x:c>
    </x:row>
    <x:row r="29" spans="1:5">
      <x:c r="A29" s="2" t="s">
        <x:v>85</x:v>
      </x:c>
      <x:c r="B29" s="2" t="s">
        <x:v>112</x:v>
      </x:c>
      <x:c r="C29" s="2" t="s">
        <x:v>289</x:v>
      </x:c>
      <x:c r="D29" s="2" t="s">
        <x:v>337</x:v>
      </x:c>
      <x:c r="E29" s="7">
        <x:v>3159000</x:v>
      </x:c>
    </x:row>
    <x:row r="30" spans="1:5">
      <x:c r="A30" s="2" t="s">
        <x:v>75</x:v>
      </x:c>
      <x:c r="B30" s="2" t="s">
        <x:v>101</x:v>
      </x:c>
      <x:c r="C30" s="2" t="s">
        <x:v>301</x:v>
      </x:c>
      <x:c r="D30" s="2" t="s">
        <x:v>378</x:v>
      </x:c>
      <x:c r="E30" s="7">
        <x:v>2249000</x:v>
      </x:c>
    </x:row>
    <x:row r="31" spans="1:8">
      <x:c r="A31" s="2" t="s">
        <x:v>86</x:v>
      </x:c>
      <x:c r="B31" s="2" t="s">
        <x:v>117</x:v>
      </x:c>
      <x:c r="C31" s="2" t="s">
        <x:v>289</x:v>
      </x:c>
      <x:c r="D31" s="2" t="s">
        <x:v>92</x:v>
      </x:c>
      <x:c r="E31" s="7">
        <x:v>3597000</x:v>
      </x:c>
      <x:c r="H31">
        <x:v>0</x:v>
      </x:c>
    </x:row>
    <x:row r="32" spans="1:5">
      <x:c r="A32" s="2" t="s">
        <x:v>74</x:v>
      </x:c>
      <x:c r="B32" s="2" t="s">
        <x:v>122</x:v>
      </x:c>
      <x:c r="C32" s="2" t="s">
        <x:v>301</x:v>
      </x:c>
      <x:c r="D32" s="2" t="s">
        <x:v>378</x:v>
      </x:c>
      <x:c r="E32" s="7">
        <x:v>3252000</x:v>
      </x:c>
    </x:row>
    <x:row r="33" spans="1:5">
      <x:c r="A33" s="81" t="s">
        <x:v>81</x:v>
      </x:c>
      <x:c r="B33" s="81"/>
      <x:c r="C33" s="81"/>
      <x:c r="D33" s="81"/>
      <x:c r="E33" s="7">
        <x:f>ROUNDUP(DAVERAGE(A24:E32,5,$D$24:$D$25),-3)</x:f>
        <x:v>2927000</x:v>
      </x:c>
    </x:row>
  </x:sheetData>
  <x:mergeCells count="1">
    <x:mergeCell ref="A33:D33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L47"/>
  <x:sheetViews>
    <x:sheetView topLeftCell="A36" zoomScale="150" zoomScaleNormal="150" zoomScaleSheetLayoutView="75" workbookViewId="0">
      <x:selection activeCell="F36" activeCellId="0" sqref="F36:F36"/>
    </x:sheetView>
  </x:sheetViews>
  <x:sheetFormatPr defaultColWidth="9" defaultRowHeight="16.39999999999999857891"/>
  <x:cols>
    <x:col min="1" max="4" width="12.375" customWidth="1"/>
    <x:col min="7" max="7" width="10.625" bestFit="1" customWidth="1"/>
    <x:col min="8" max="8" width="9.75" customWidth="1"/>
    <x:col min="9" max="10" width="10.625" bestFit="1" customWidth="1"/>
    <x:col min="12" max="12" width="10.625" bestFit="1" customWidth="1"/>
  </x:cols>
  <x:sheetData>
    <x:row r="1" spans="1:9">
      <x:c r="A1" t="s">
        <x:v>445</x:v>
      </x:c>
      <x:c r="F1" t="s">
        <x:v>470</x:v>
      </x:c>
      <x:c r="H1" t="s">
        <x:v>418</x:v>
      </x:c>
      <x:c r="I1" s="33">
        <x:v>45020</x:v>
      </x:c>
    </x:row>
    <x:row r="2" spans="1:9">
      <x:c r="A2" s="4" t="s">
        <x:v>321</x:v>
      </x:c>
      <x:c r="B2" s="4" t="s">
        <x:v>355</x:v>
      </x:c>
      <x:c r="C2" s="4" t="s">
        <x:v>496</x:v>
      </x:c>
      <x:c r="D2" s="3" t="s">
        <x:v>134</x:v>
      </x:c>
      <x:c r="F2" s="4" t="s">
        <x:v>290</x:v>
      </x:c>
      <x:c r="G2" s="4" t="s">
        <x:v>94</x:v>
      </x:c>
      <x:c r="H2" s="4" t="s">
        <x:v>355</x:v>
      </x:c>
      <x:c r="I2" s="3" t="s">
        <x:v>498</x:v>
      </x:c>
    </x:row>
    <x:row r="3" spans="1:12">
      <x:c r="A3" s="2" t="s">
        <x:v>78</x:v>
      </x:c>
      <x:c r="B3" s="2" t="s">
        <x:v>92</x:v>
      </x:c>
      <x:c r="C3" s="2">
        <x:v>90</x:v>
      </x:c>
      <x:c r="D3" s="2" t="str">
        <x:f>IFERROR(CHOOSE(_xlfn.RANK.EQ(C3,$C$3:$C$10,0),"★★★","★★","★"),"")</x:f>
        <x:v>★★</x:v>
      </x:c>
      <x:c r="F3" s="2" t="s">
        <x:v>111</x:v>
      </x:c>
      <x:c r="G3" s="35">
        <x:v>38066</x:v>
      </x:c>
      <x:c r="H3" s="2" t="s">
        <x:v>501</x:v>
      </x:c>
      <x:c r="I3" s="2" t="str">
        <x:f>IF(YEAR($I$1)-YEAR(G3)&gt;=10,"★",IF(YEAR($I$1)-YEAR(G3)&gt;=5,"☆",""))</x:f>
        <x:v>★</x:v>
      </x:c>
      <x:c r="J3" s="33"/>
      <x:c r="L3" s="33"/>
    </x:row>
    <x:row r="4" spans="1:9">
      <x:c r="A4" s="2" t="s">
        <x:v>85</x:v>
      </x:c>
      <x:c r="B4" s="2" t="s">
        <x:v>146</x:v>
      </x:c>
      <x:c r="C4" s="2">
        <x:v>77</x:v>
      </x:c>
      <x:c r="D4" s="2" t="str">
        <x:f t="shared" ref="D4:D10" si="0">IFERROR(CHOOSE(_xlfn.RANK.EQ(C4,$C$3:$C$10,0),"★★★","★★","★"),"")</x:f>
        <x:v/>
      </x:c>
      <x:c r="F4" s="2" t="s">
        <x:v>361</x:v>
      </x:c>
      <x:c r="G4" s="35">
        <x:v>39622</x:v>
      </x:c>
      <x:c r="H4" s="2" t="s">
        <x:v>508</x:v>
      </x:c>
      <x:c r="I4" s="2" t="str">
        <x:f t="shared" ref="I4:I10" si="1">IF(YEAR($I$1)-YEAR(G4)&gt;=10,"★",IF(YEAR($I$1)-YEAR(G4)&gt;=5,"☆",""))</x:f>
        <x:v>★</x:v>
      </x:c>
    </x:row>
    <x:row r="5" spans="1:9">
      <x:c r="A5" s="2" t="s">
        <x:v>74</x:v>
      </x:c>
      <x:c r="B5" s="2" t="s">
        <x:v>378</x:v>
      </x:c>
      <x:c r="C5" s="2">
        <x:v>73</x:v>
      </x:c>
      <x:c r="D5" s="2" t="str">
        <x:f t="shared" si="0"/>
        <x:v/>
      </x:c>
      <x:c r="F5" s="2" t="s">
        <x:v>317</x:v>
      </x:c>
      <x:c r="G5" s="35">
        <x:v>43589</x:v>
      </x:c>
      <x:c r="H5" s="2" t="s">
        <x:v>515</x:v>
      </x:c>
      <x:c r="I5" s="2" t="str">
        <x:f t="shared" si="1"/>
        <x:v/>
      </x:c>
    </x:row>
    <x:row r="6" spans="1:9">
      <x:c r="A6" s="2" t="s">
        <x:v>84</x:v>
      </x:c>
      <x:c r="B6" s="2" t="s">
        <x:v>337</x:v>
      </x:c>
      <x:c r="C6" s="2">
        <x:v>95</x:v>
      </x:c>
      <x:c r="D6" s="2" t="str">
        <x:f t="shared" si="0"/>
        <x:v>★★★</x:v>
      </x:c>
      <x:c r="F6" s="2" t="s">
        <x:v>137</x:v>
      </x:c>
      <x:c r="G6" s="35">
        <x:v>42432</x:v>
      </x:c>
      <x:c r="H6" s="2" t="s">
        <x:v>501</x:v>
      </x:c>
      <x:c r="I6" s="2" t="str">
        <x:f t="shared" si="1"/>
        <x:v>☆</x:v>
      </x:c>
    </x:row>
    <x:row r="7" spans="1:12">
      <x:c r="A7" s="2" t="s">
        <x:v>85</x:v>
      </x:c>
      <x:c r="B7" s="2" t="s">
        <x:v>92</x:v>
      </x:c>
      <x:c r="C7" s="2">
        <x:v>80</x:v>
      </x:c>
      <x:c r="D7" s="2" t="str">
        <x:f t="shared" si="0"/>
        <x:v>★</x:v>
      </x:c>
      <x:c r="F7" s="2" t="s">
        <x:v>351</x:v>
      </x:c>
      <x:c r="G7" s="35">
        <x:v>39864</x:v>
      </x:c>
      <x:c r="H7" s="2" t="s">
        <x:v>508</x:v>
      </x:c>
      <x:c r="I7" s="2" t="str">
        <x:f t="shared" si="1"/>
        <x:v>★</x:v>
      </x:c>
      <x:c r="L7" s="33"/>
    </x:row>
    <x:row r="8" spans="1:9">
      <x:c r="A8" s="2" t="s">
        <x:v>75</x:v>
      </x:c>
      <x:c r="B8" s="2" t="s">
        <x:v>146</x:v>
      </x:c>
      <x:c r="C8" s="2">
        <x:v>77</x:v>
      </x:c>
      <x:c r="D8" s="2" t="str">
        <x:f t="shared" si="0"/>
        <x:v/>
      </x:c>
      <x:c r="F8" s="2" t="s">
        <x:v>131</x:v>
      </x:c>
      <x:c r="G8" s="35">
        <x:v>43640</x:v>
      </x:c>
      <x:c r="H8" s="2" t="s">
        <x:v>515</x:v>
      </x:c>
      <x:c r="I8" s="2" t="str">
        <x:f t="shared" si="1"/>
        <x:v/>
      </x:c>
    </x:row>
    <x:row r="9" spans="1:9">
      <x:c r="A9" s="2" t="s">
        <x:v>86</x:v>
      </x:c>
      <x:c r="B9" s="2" t="s">
        <x:v>378</x:v>
      </x:c>
      <x:c r="C9" s="2">
        <x:v>78</x:v>
      </x:c>
      <x:c r="D9" s="2" t="str">
        <x:f t="shared" si="0"/>
        <x:v/>
      </x:c>
      <x:c r="F9" s="2" t="s">
        <x:v>341</x:v>
      </x:c>
      <x:c r="G9" s="35">
        <x:v>36585</x:v>
      </x:c>
      <x:c r="H9" s="2" t="s">
        <x:v>501</x:v>
      </x:c>
      <x:c r="I9" s="2" t="str">
        <x:f t="shared" si="1"/>
        <x:v>★</x:v>
      </x:c>
    </x:row>
    <x:row r="10" spans="1:9">
      <x:c r="A10" s="2" t="s">
        <x:v>74</x:v>
      </x:c>
      <x:c r="B10" s="2" t="s">
        <x:v>92</x:v>
      </x:c>
      <x:c r="C10" s="2">
        <x:v>72</x:v>
      </x:c>
      <x:c r="D10" s="2" t="str">
        <x:f t="shared" si="0"/>
        <x:v/>
      </x:c>
      <x:c r="F10" s="2" t="s">
        <x:v>344</x:v>
      </x:c>
      <x:c r="G10" s="35">
        <x:v>42895</x:v>
      </x:c>
      <x:c r="H10" s="2" t="s">
        <x:v>508</x:v>
      </x:c>
      <x:c r="I10" s="2" t="str">
        <x:f t="shared" si="1"/>
        <x:v>☆</x:v>
      </x:c>
    </x:row>
    <x:row r="12" spans="1:1">
      <x:c r="A12" s="5" t="s">
        <x:v>438</x:v>
      </x:c>
    </x:row>
    <x:row r="13" spans="1:4">
      <x:c r="A13" s="4" t="s">
        <x:v>321</x:v>
      </x:c>
      <x:c r="B13" s="4" t="s">
        <x:v>135</x:v>
      </x:c>
      <x:c r="C13" s="4" t="s">
        <x:v>355</x:v>
      </x:c>
      <x:c r="D13" s="4" t="s">
        <x:v>424</x:v>
      </x:c>
    </x:row>
    <x:row r="14" spans="1:4">
      <x:c r="A14" s="2" t="s">
        <x:v>78</x:v>
      </x:c>
      <x:c r="B14" s="2" t="s">
        <x:v>331</x:v>
      </x:c>
      <x:c r="C14" s="2" t="s">
        <x:v>92</x:v>
      </x:c>
      <x:c r="D14" s="2">
        <x:v>83</x:v>
      </x:c>
    </x:row>
    <x:row r="15" spans="1:6">
      <x:c r="A15" s="2" t="s">
        <x:v>85</x:v>
      </x:c>
      <x:c r="B15" s="2" t="s">
        <x:v>331</x:v>
      </x:c>
      <x:c r="C15" s="2" t="s">
        <x:v>378</x:v>
      </x:c>
      <x:c r="D15" s="2">
        <x:v>93</x:v>
      </x:c>
      <x:c r="F15" s="4" t="s">
        <x:v>355</x:v>
      </x:c>
    </x:row>
    <x:row r="16" spans="1:6">
      <x:c r="A16" s="2" t="s">
        <x:v>74</x:v>
      </x:c>
      <x:c r="B16" s="2" t="s">
        <x:v>140</x:v>
      </x:c>
      <x:c r="C16" s="2" t="s">
        <x:v>378</x:v>
      </x:c>
      <x:c r="D16" s="2">
        <x:v>72</x:v>
      </x:c>
      <x:c r="F16" s="2" t="s">
        <x:v>378</x:v>
      </x:c>
    </x:row>
    <x:row r="17" spans="1:4">
      <x:c r="A17" s="2" t="s">
        <x:v>84</x:v>
      </x:c>
      <x:c r="B17" s="2" t="s">
        <x:v>309</x:v>
      </x:c>
      <x:c r="C17" s="2" t="s">
        <x:v>337</x:v>
      </x:c>
      <x:c r="D17" s="2">
        <x:v>88</x:v>
      </x:c>
    </x:row>
    <x:row r="18" spans="1:4">
      <x:c r="A18" s="2" t="s">
        <x:v>85</x:v>
      </x:c>
      <x:c r="B18" s="2" t="s">
        <x:v>331</x:v>
      </x:c>
      <x:c r="C18" s="2" t="s">
        <x:v>92</x:v>
      </x:c>
      <x:c r="D18" s="2">
        <x:v>98</x:v>
      </x:c>
    </x:row>
    <x:row r="19" spans="1:4">
      <x:c r="A19" s="2" t="s">
        <x:v>75</x:v>
      </x:c>
      <x:c r="B19" s="2" t="s">
        <x:v>331</x:v>
      </x:c>
      <x:c r="C19" s="2" t="s">
        <x:v>146</x:v>
      </x:c>
      <x:c r="D19" s="2">
        <x:v>67</x:v>
      </x:c>
    </x:row>
    <x:row r="20" spans="1:4">
      <x:c r="A20" s="2" t="s">
        <x:v>86</x:v>
      </x:c>
      <x:c r="B20" s="2" t="s">
        <x:v>331</x:v>
      </x:c>
      <x:c r="C20" s="2" t="s">
        <x:v>378</x:v>
      </x:c>
      <x:c r="D20" s="2">
        <x:v>64</x:v>
      </x:c>
    </x:row>
    <x:row r="21" spans="1:4">
      <x:c r="A21" s="2" t="s">
        <x:v>74</x:v>
      </x:c>
      <x:c r="B21" s="2" t="s">
        <x:v>309</x:v>
      </x:c>
      <x:c r="C21" s="2" t="s">
        <x:v>92</x:v>
      </x:c>
      <x:c r="D21" s="2">
        <x:v>87</x:v>
      </x:c>
    </x:row>
    <x:row r="22" spans="1:4">
      <x:c r="A22" s="81" t="s">
        <x:v>80</x:v>
      </x:c>
      <x:c r="B22" s="81"/>
      <x:c r="C22" s="81"/>
      <x:c r="D22" s="2">
        <x:f>ROUND(DAVERAGE(A13:D21,4,F15:F16),2)</x:f>
        <x:v>76.329999999999998</x:v>
      </x:c>
    </x:row>
    <x:row r="24" spans="1:1">
      <x:c r="A24" s="5" t="s">
        <x:v>430</x:v>
      </x:c>
    </x:row>
    <x:row r="25" spans="1:8">
      <x:c r="A25" s="4" t="s">
        <x:v>335</x:v>
      </x:c>
      <x:c r="B25" s="4" t="s">
        <x:v>143</x:v>
      </x:c>
      <x:c r="C25" s="4" t="s">
        <x:v>139</x:v>
      </x:c>
      <x:c r="D25" s="4" t="s">
        <x:v>497</x:v>
      </x:c>
      <x:c r="E25" s="3" t="s">
        <x:v>268</x:v>
      </x:c>
      <x:c r="H25" t="s">
        <x:v>530</x:v>
      </x:c>
    </x:row>
    <x:row r="26" spans="1:12">
      <x:c r="A26" s="2">
        <x:v>202288877</x:v>
      </x:c>
      <x:c r="B26" s="2" t="s">
        <x:v>499</x:v>
      </x:c>
      <x:c r="C26" s="2">
        <x:v>85</x:v>
      </x:c>
      <x:c r="D26" s="2">
        <x:v>52</x:v>
      </x:c>
      <x:c r="E26" s="2" t="str">
        <x:f>HLOOKUP(AVERAGE(C26:D26),$H$26:$L$28,3,1)</x:f>
        <x:v>D</x:v>
      </x:c>
      <x:c r="G26" s="91" t="s">
        <x:v>536</x:v>
      </x:c>
      <x:c r="H26" s="4">
        <x:v>0</x:v>
      </x:c>
      <x:c r="I26" s="4">
        <x:v>60</x:v>
      </x:c>
      <x:c r="J26" s="4">
        <x:v>70</x:v>
      </x:c>
      <x:c r="K26" s="4">
        <x:v>80</x:v>
      </x:c>
      <x:c r="L26" s="4">
        <x:v>90</x:v>
      </x:c>
    </x:row>
    <x:row r="27" spans="1:12">
      <x:c r="A27" s="2">
        <x:v>202118574</x:v>
      </x:c>
      <x:c r="B27" s="2" t="s">
        <x:v>506</x:v>
      </x:c>
      <x:c r="C27" s="2">
        <x:v>65</x:v>
      </x:c>
      <x:c r="D27" s="2">
        <x:v>68</x:v>
      </x:c>
      <x:c r="E27" s="2" t="str">
        <x:f t="shared" ref="E27:E34" si="2">HLOOKUP(AVERAGE(C27:D27),$H$26:$L$28,3,1)</x:f>
        <x:v>D</x:v>
      </x:c>
      <x:c r="G27" s="91"/>
      <x:c r="H27" s="2">
        <x:v>60</x:v>
      </x:c>
      <x:c r="I27" s="2">
        <x:v>70</x:v>
      </x:c>
      <x:c r="J27" s="2">
        <x:v>80</x:v>
      </x:c>
      <x:c r="K27" s="2">
        <x:v>90</x:v>
      </x:c>
      <x:c r="L27" s="2">
        <x:v>100</x:v>
      </x:c>
    </x:row>
    <x:row r="28" spans="1:12">
      <x:c r="A28" s="2">
        <x:v>202107376</x:v>
      </x:c>
      <x:c r="B28" s="2" t="s">
        <x:v>485</x:v>
      </x:c>
      <x:c r="C28" s="2">
        <x:v>76</x:v>
      </x:c>
      <x:c r="D28" s="2">
        <x:v>99</x:v>
      </x:c>
      <x:c r="E28" s="2" t="str">
        <x:f t="shared" si="2"/>
        <x:v>B</x:v>
      </x:c>
      <x:c r="G28" s="36" t="s">
        <x:v>132</x:v>
      </x:c>
      <x:c r="H28" s="2" t="s">
        <x:v>147</x:v>
      </x:c>
      <x:c r="I28" s="2" t="s">
        <x:v>96</x:v>
      </x:c>
      <x:c r="J28" s="2" t="s">
        <x:v>99</x:v>
      </x:c>
      <x:c r="K28" s="2" t="s">
        <x:v>403</x:v>
      </x:c>
      <x:c r="L28" s="2" t="s">
        <x:v>100</x:v>
      </x:c>
    </x:row>
    <x:row r="29" spans="1:5">
      <x:c r="A29" s="2">
        <x:v>202056811</x:v>
      </x:c>
      <x:c r="B29" s="2" t="s">
        <x:v>499</x:v>
      </x:c>
      <x:c r="C29" s="2">
        <x:v>90</x:v>
      </x:c>
      <x:c r="D29" s="2">
        <x:v>96</x:v>
      </x:c>
      <x:c r="E29" s="2" t="str">
        <x:f t="shared" si="2"/>
        <x:v>A</x:v>
      </x:c>
    </x:row>
    <x:row r="30" spans="1:5">
      <x:c r="A30" s="2">
        <x:v>202139525</x:v>
      </x:c>
      <x:c r="B30" s="2" t="s">
        <x:v>506</x:v>
      </x:c>
      <x:c r="C30" s="2">
        <x:v>67</x:v>
      </x:c>
      <x:c r="D30" s="2">
        <x:v>58</x:v>
      </x:c>
      <x:c r="E30" s="2" t="str">
        <x:f t="shared" si="2"/>
        <x:v>D</x:v>
      </x:c>
    </x:row>
    <x:row r="31" spans="1:5">
      <x:c r="A31" s="2">
        <x:v>202233528</x:v>
      </x:c>
      <x:c r="B31" s="2" t="s">
        <x:v>499</x:v>
      </x:c>
      <x:c r="C31" s="2">
        <x:v>53</x:v>
      </x:c>
      <x:c r="D31" s="2">
        <x:v>68</x:v>
      </x:c>
      <x:c r="E31" s="2" t="str">
        <x:f t="shared" si="2"/>
        <x:v>D</x:v>
      </x:c>
    </x:row>
    <x:row r="32" spans="1:5">
      <x:c r="A32" s="2">
        <x:v>202182521</x:v>
      </x:c>
      <x:c r="B32" s="2" t="s">
        <x:v>506</x:v>
      </x:c>
      <x:c r="C32" s="2">
        <x:v>58</x:v>
      </x:c>
      <x:c r="D32" s="2">
        <x:v>95</x:v>
      </x:c>
      <x:c r="E32" s="2" t="str">
        <x:f t="shared" si="2"/>
        <x:v>C</x:v>
      </x:c>
    </x:row>
    <x:row r="33" spans="1:5">
      <x:c r="A33" s="2">
        <x:v>202295948</x:v>
      </x:c>
      <x:c r="B33" s="2" t="s">
        <x:v>485</x:v>
      </x:c>
      <x:c r="C33" s="2">
        <x:v>71</x:v>
      </x:c>
      <x:c r="D33" s="2">
        <x:v>67</x:v>
      </x:c>
      <x:c r="E33" s="2" t="str">
        <x:f t="shared" si="2"/>
        <x:v>D</x:v>
      </x:c>
    </x:row>
    <x:row r="34" spans="1:5">
      <x:c r="A34" s="2">
        <x:v>202093320</x:v>
      </x:c>
      <x:c r="B34" s="2" t="s">
        <x:v>499</x:v>
      </x:c>
      <x:c r="C34" s="2">
        <x:v>82</x:v>
      </x:c>
      <x:c r="D34" s="2">
        <x:v>58</x:v>
      </x:c>
      <x:c r="E34" s="2" t="str">
        <x:f t="shared" si="2"/>
        <x:v>C</x:v>
      </x:c>
    </x:row>
    <x:row r="36" spans="1:1">
      <x:c r="A36" t="s">
        <x:v>455</x:v>
      </x:c>
    </x:row>
    <x:row r="37" spans="1:5">
      <x:c r="A37" s="4" t="s">
        <x:v>125</x:v>
      </x:c>
      <x:c r="B37" s="4" t="s">
        <x:v>141</x:v>
      </x:c>
      <x:c r="C37" s="4" t="s">
        <x:v>127</x:v>
      </x:c>
      <x:c r="D37" s="4" t="s">
        <x:v>521</x:v>
      </x:c>
      <x:c r="E37" s="4" t="s">
        <x:v>136</x:v>
      </x:c>
    </x:row>
    <x:row r="38" spans="1:5">
      <x:c r="A38" s="2" t="s">
        <x:v>133</x:v>
      </x:c>
      <x:c r="B38" s="2" t="s">
        <x:v>539</x:v>
      </x:c>
      <x:c r="C38" s="2">
        <x:v>25</x:v>
      </x:c>
      <x:c r="D38" s="7">
        <x:v>6000</x:v>
      </x:c>
      <x:c r="E38" s="7">
        <x:f>C38*D38</x:f>
        <x:v>150000</x:v>
      </x:c>
    </x:row>
    <x:row r="39" spans="1:5">
      <x:c r="A39" s="2" t="s">
        <x:v>153</x:v>
      </x:c>
      <x:c r="B39" s="2" t="s">
        <x:v>539</x:v>
      </x:c>
      <x:c r="C39" s="2">
        <x:v>34</x:v>
      </x:c>
      <x:c r="D39" s="7">
        <x:v>6000</x:v>
      </x:c>
      <x:c r="E39" s="7">
        <x:f t="shared" ref="E39:E46" si="3">C39*D39</x:f>
        <x:v>204000</x:v>
      </x:c>
    </x:row>
    <x:row r="40" spans="1:5">
      <x:c r="A40" s="2" t="s">
        <x:v>144</x:v>
      </x:c>
      <x:c r="B40" s="2" t="s">
        <x:v>539</x:v>
      </x:c>
      <x:c r="C40" s="2">
        <x:v>25</x:v>
      </x:c>
      <x:c r="D40" s="7">
        <x:v>6000</x:v>
      </x:c>
      <x:c r="E40" s="7">
        <x:f t="shared" si="3"/>
        <x:v>150000</x:v>
      </x:c>
    </x:row>
    <x:row r="41" spans="1:5">
      <x:c r="A41" s="2" t="s">
        <x:v>129</x:v>
      </x:c>
      <x:c r="B41" s="2" t="s">
        <x:v>516</x:v>
      </x:c>
      <x:c r="C41" s="2">
        <x:v>33</x:v>
      </x:c>
      <x:c r="D41" s="7">
        <x:v>1500</x:v>
      </x:c>
      <x:c r="E41" s="7">
        <x:f t="shared" si="3"/>
        <x:v>49500</x:v>
      </x:c>
    </x:row>
    <x:row r="42" spans="1:5">
      <x:c r="A42" s="2" t="s">
        <x:v>126</x:v>
      </x:c>
      <x:c r="B42" s="2" t="s">
        <x:v>516</x:v>
      </x:c>
      <x:c r="C42" s="2">
        <x:v>32</x:v>
      </x:c>
      <x:c r="D42" s="7">
        <x:v>1500</x:v>
      </x:c>
      <x:c r="E42" s="7">
        <x:f t="shared" si="3"/>
        <x:v>48000</x:v>
      </x:c>
    </x:row>
    <x:row r="43" spans="1:5">
      <x:c r="A43" s="2" t="s">
        <x:v>145</x:v>
      </x:c>
      <x:c r="B43" s="2" t="s">
        <x:v>516</x:v>
      </x:c>
      <x:c r="C43" s="2">
        <x:v>33</x:v>
      </x:c>
      <x:c r="D43" s="7">
        <x:v>3000</x:v>
      </x:c>
      <x:c r="E43" s="7">
        <x:f t="shared" si="3"/>
        <x:v>99000</x:v>
      </x:c>
    </x:row>
    <x:row r="44" spans="1:5">
      <x:c r="A44" s="2" t="s">
        <x:v>128</x:v>
      </x:c>
      <x:c r="B44" s="2" t="s">
        <x:v>516</x:v>
      </x:c>
      <x:c r="C44" s="2">
        <x:v>22</x:v>
      </x:c>
      <x:c r="D44" s="7">
        <x:v>15000</x:v>
      </x:c>
      <x:c r="E44" s="7">
        <x:f t="shared" si="3"/>
        <x:v>330000</x:v>
      </x:c>
    </x:row>
    <x:row r="45" spans="1:5">
      <x:c r="A45" s="2" t="s">
        <x:v>551</x:v>
      </x:c>
      <x:c r="B45" s="2" t="s">
        <x:v>516</x:v>
      </x:c>
      <x:c r="C45" s="2">
        <x:v>33</x:v>
      </x:c>
      <x:c r="D45" s="7">
        <x:v>2000</x:v>
      </x:c>
      <x:c r="E45" s="7">
        <x:f t="shared" si="3"/>
        <x:v>66000</x:v>
      </x:c>
    </x:row>
    <x:row r="46" spans="1:5">
      <x:c r="A46" s="2" t="s">
        <x:v>130</x:v>
      </x:c>
      <x:c r="B46" s="2" t="s">
        <x:v>516</x:v>
      </x:c>
      <x:c r="C46" s="2">
        <x:v>27</x:v>
      </x:c>
      <x:c r="D46" s="7">
        <x:v>1000</x:v>
      </x:c>
      <x:c r="E46" s="7">
        <x:f t="shared" si="3"/>
        <x:v>27000</x:v>
      </x:c>
    </x:row>
    <x:row r="47" spans="1:5">
      <x:c r="A47" s="92" t="s">
        <x:v>640</x:v>
      </x:c>
      <x:c r="B47" s="92"/>
      <x:c r="C47" s="92"/>
      <x:c r="D47" s="37">
        <x:f>SUMIFS(D38:D46,$B$38:$B$46,"&lt;&gt;메인메뉴",$C$38:$C$46,"&gt;="&amp;AVERAGE($C$38:$C$46))</x:f>
        <x:v>8000</x:v>
      </x:c>
      <x:c r="E47" s="37">
        <x:f>SUMIFS(E38:E46,$B$38:$B$46,"&lt;&gt;메인메뉴",$C$38:$C$46,"&gt;="&amp;AVERAGE($C$38:$C$46))</x:f>
        <x:v>262500</x:v>
      </x:c>
    </x:row>
  </x:sheetData>
  <x:mergeCells count="3">
    <x:mergeCell ref="A22:C22"/>
    <x:mergeCell ref="G26:G27"/>
    <x:mergeCell ref="A47:C47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L35"/>
  <x:sheetViews>
    <x:sheetView topLeftCell="A25" zoomScale="150" zoomScaleNormal="150" zoomScaleSheetLayoutView="75" workbookViewId="0">
      <x:selection activeCell="E36" activeCellId="0" sqref="E36:E36"/>
    </x:sheetView>
  </x:sheetViews>
  <x:sheetFormatPr defaultColWidth="9" defaultRowHeight="16.39999999999999857891"/>
  <x:cols>
    <x:col min="1" max="1" width="11.125" customWidth="1"/>
    <x:col min="2" max="3" width="11.75" customWidth="1"/>
    <x:col min="4" max="4" width="11.125" customWidth="1"/>
    <x:col min="6" max="6" width="11.375" customWidth="1"/>
    <x:col min="7" max="7" width="10.625" bestFit="1" customWidth="1"/>
    <x:col min="8" max="8" width="10.5" bestFit="1" customWidth="1"/>
    <x:col min="9" max="9" width="10.5" style="1" bestFit="1" customWidth="1"/>
  </x:cols>
  <x:sheetData>
    <x:row r="1" spans="1:6">
      <x:c r="A1" t="s">
        <x:v>445</x:v>
      </x:c>
      <x:c r="F1" t="s">
        <x:v>470</x:v>
      </x:c>
    </x:row>
    <x:row r="2" spans="1:9">
      <x:c r="A2" s="4" t="s">
        <x:v>364</x:v>
      </x:c>
      <x:c r="B2" s="4" t="s">
        <x:v>335</x:v>
      </x:c>
      <x:c r="C2" s="4" t="s">
        <x:v>143</x:v>
      </x:c>
      <x:c r="D2" s="4" t="s">
        <x:v>424</x:v>
      </x:c>
      <x:c r="F2" s="4" t="s">
        <x:v>335</x:v>
      </x:c>
      <x:c r="G2" s="4" t="s">
        <x:v>336</x:v>
      </x:c>
      <x:c r="H2" s="4" t="s">
        <x:v>143</x:v>
      </x:c>
      <x:c r="I2" s="4" t="s">
        <x:v>424</x:v>
      </x:c>
    </x:row>
    <x:row r="3" spans="1:10">
      <x:c r="A3" s="2" t="s">
        <x:v>405</x:v>
      </x:c>
      <x:c r="B3" s="2">
        <x:v>202288877</x:v>
      </x:c>
      <x:c r="C3" s="2" t="s">
        <x:v>510</x:v>
      </x:c>
      <x:c r="D3" s="2">
        <x:v>45</x:v>
      </x:c>
      <x:c r="F3" s="2">
        <x:v>202100944</x:v>
      </x:c>
      <x:c r="G3" s="2" t="s">
        <x:v>166</x:v>
      </x:c>
      <x:c r="H3" s="2" t="s">
        <x:v>552</x:v>
      </x:c>
      <x:c r="I3" s="39">
        <x:v>2.8699999999999997</x:v>
      </x:c>
      <x:c r="J3" s="38"/>
    </x:row>
    <x:row r="4" spans="1:10">
      <x:c r="A4" s="2" t="s">
        <x:v>413</x:v>
      </x:c>
      <x:c r="B4" s="2">
        <x:v>202118574</x:v>
      </x:c>
      <x:c r="C4" s="2" t="s">
        <x:v>209</x:v>
      </x:c>
      <x:c r="D4" s="2">
        <x:v>68</x:v>
      </x:c>
      <x:c r="F4" s="2">
        <x:v>202299935</x:v>
      </x:c>
      <x:c r="G4" s="2" t="s">
        <x:v>166</x:v>
      </x:c>
      <x:c r="H4" s="2" t="s">
        <x:v>532</x:v>
      </x:c>
      <x:c r="I4" s="39">
        <x:v>3.6499999999999999</x:v>
      </x:c>
      <x:c r="J4" s="38"/>
    </x:row>
    <x:row r="5" spans="1:12">
      <x:c r="A5" s="2" t="s">
        <x:v>385</x:v>
      </x:c>
      <x:c r="B5" s="2">
        <x:v>202107376</x:v>
      </x:c>
      <x:c r="C5" s="2" t="s">
        <x:v>173</x:v>
      </x:c>
      <x:c r="D5" s="2">
        <x:v>90</x:v>
      </x:c>
      <x:c r="F5" s="2">
        <x:v>202198368</x:v>
      </x:c>
      <x:c r="G5" s="2" t="s">
        <x:v>165</x:v>
      </x:c>
      <x:c r="H5" s="2" t="s">
        <x:v>532</x:v>
      </x:c>
      <x:c r="I5" s="39">
        <x:v>3.0799999999999996</x:v>
      </x:c>
      <x:c r="J5" s="38"/>
      <x:c r="K5" s="4" t="s">
        <x:v>336</x:v>
      </x:c>
      <x:c r="L5" s="4" t="s">
        <x:v>336</x:v>
      </x:c>
    </x:row>
    <x:row r="6" spans="1:12">
      <x:c r="A6" s="2" t="s">
        <x:v>401</x:v>
      </x:c>
      <x:c r="B6" s="2">
        <x:v>202056811</x:v>
      </x:c>
      <x:c r="C6" s="2" t="s">
        <x:v>510</x:v>
      </x:c>
      <x:c r="D6" s="2">
        <x:v>78</x:v>
      </x:c>
      <x:c r="F6" s="2">
        <x:v>202229028</x:v>
      </x:c>
      <x:c r="G6" s="2" t="s">
        <x:v>165</x:v>
      </x:c>
      <x:c r="H6" s="2" t="s">
        <x:v>162</x:v>
      </x:c>
      <x:c r="I6" s="39">
        <x:v>4.4399999999999995</x:v>
      </x:c>
      <x:c r="J6" s="38"/>
      <x:c r="K6" s="2" t="s">
        <x:v>166</x:v>
      </x:c>
      <x:c r="L6" s="2" t="s">
        <x:v>165</x:v>
      </x:c>
    </x:row>
    <x:row r="7" spans="1:10">
      <x:c r="A7" s="2" t="s">
        <x:v>152</x:v>
      </x:c>
      <x:c r="B7" s="2">
        <x:v>202139525</x:v>
      </x:c>
      <x:c r="C7" s="2" t="s">
        <x:v>173</x:v>
      </x:c>
      <x:c r="D7" s="2">
        <x:v>68</x:v>
      </x:c>
      <x:c r="F7" s="2">
        <x:v>202214088</x:v>
      </x:c>
      <x:c r="G7" s="2" t="s">
        <x:v>166</x:v>
      </x:c>
      <x:c r="H7" s="2" t="s">
        <x:v>552</x:v>
      </x:c>
      <x:c r="I7" s="39">
        <x:v>2.8399999999999999</x:v>
      </x:c>
      <x:c r="J7" s="38"/>
    </x:row>
    <x:row r="8" spans="1:10">
      <x:c r="A8" s="2" t="s">
        <x:v>174</x:v>
      </x:c>
      <x:c r="B8" s="2">
        <x:v>202233528</x:v>
      </x:c>
      <x:c r="C8" s="2" t="s">
        <x:v>173</x:v>
      </x:c>
      <x:c r="D8" s="2">
        <x:v>64</x:v>
      </x:c>
      <x:c r="F8" s="2">
        <x:v>202398552</x:v>
      </x:c>
      <x:c r="G8" s="2" t="s">
        <x:v>165</x:v>
      </x:c>
      <x:c r="H8" s="2" t="s">
        <x:v>162</x:v>
      </x:c>
      <x:c r="I8" s="39">
        <x:v>3.1099999999999999</x:v>
      </x:c>
      <x:c r="J8" s="38"/>
    </x:row>
    <x:row r="9" spans="1:10">
      <x:c r="A9" s="2" t="s">
        <x:v>95</x:v>
      </x:c>
      <x:c r="B9" s="2">
        <x:v>202182521</x:v>
      </x:c>
      <x:c r="C9" s="2" t="s">
        <x:v>510</x:v>
      </x:c>
      <x:c r="D9" s="2">
        <x:v>78</x:v>
      </x:c>
      <x:c r="F9" s="2">
        <x:v>202357051</x:v>
      </x:c>
      <x:c r="G9" s="2" t="s">
        <x:v>165</x:v>
      </x:c>
      <x:c r="H9" s="2" t="s">
        <x:v>162</x:v>
      </x:c>
      <x:c r="I9" s="39">
        <x:v>3.25</x:v>
      </x:c>
      <x:c r="J9" s="38"/>
    </x:row>
    <x:row r="10" spans="1:10">
      <x:c r="A10" s="2" t="s">
        <x:v>291</x:v>
      </x:c>
      <x:c r="B10" s="2">
        <x:v>202295948</x:v>
      </x:c>
      <x:c r="C10" s="2" t="s">
        <x:v>209</x:v>
      </x:c>
      <x:c r="D10" s="2">
        <x:v>70</x:v>
      </x:c>
      <x:c r="F10" s="2">
        <x:v>202190669</x:v>
      </x:c>
      <x:c r="G10" s="2" t="s">
        <x:v>165</x:v>
      </x:c>
      <x:c r="H10" s="2" t="s">
        <x:v>532</x:v>
      </x:c>
      <x:c r="I10" s="39">
        <x:v>4.0800000000000001</x:v>
      </x:c>
      <x:c r="J10" s="38"/>
    </x:row>
    <x:row r="11" spans="1:10">
      <x:c r="A11" s="2" t="s">
        <x:v>296</x:v>
      </x:c>
      <x:c r="B11" s="2">
        <x:v>202093320</x:v>
      </x:c>
      <x:c r="C11" s="2" t="s">
        <x:v>510</x:v>
      </x:c>
      <x:c r="D11" s="2">
        <x:v>98</x:v>
      </x:c>
      <x:c r="F11" s="2">
        <x:v>202082054</x:v>
      </x:c>
      <x:c r="G11" s="2" t="s">
        <x:v>166</x:v>
      </x:c>
      <x:c r="H11" s="2" t="s">
        <x:v>552</x:v>
      </x:c>
      <x:c r="I11" s="39">
        <x:v>2.9299999999999997</x:v>
      </x:c>
      <x:c r="J11" s="38"/>
    </x:row>
    <x:row r="12" spans="1:9" ht="32.25" customHeight="1">
      <x:c r="A12" s="92" t="s">
        <x:v>429</x:v>
      </x:c>
      <x:c r="B12" s="92"/>
      <x:c r="C12" s="92"/>
      <x:c r="D12" s="2">
        <x:f>COUNTIFS(C3:C11,"심리학과",D3:D11,"&gt;="&amp;AVERAGE(D3:D11))</x:f>
        <x:v>3</x:v>
      </x:c>
      <x:c r="F12" s="93" t="s">
        <x:v>10</x:v>
      </x:c>
      <x:c r="G12" s="94"/>
      <x:c r="H12" s="94"/>
      <x:c r="I12" s="2">
        <x:f>ROUNDUP(AVERAGE(DMAX(F2:I11,4,K5:K6),DMAX(F2:I11,4,L5:L6)),2)</x:f>
        <x:v>4.0499999999999998</x:v>
      </x:c>
    </x:row>
    <x:row r="14" spans="1:6">
      <x:c r="A14" t="s">
        <x:v>438</x:v>
      </x:c>
      <x:c r="F14" t="s">
        <x:v>430</x:v>
      </x:c>
    </x:row>
    <x:row r="15" spans="1:10">
      <x:c r="A15" s="4" t="s">
        <x:v>150</x:v>
      </x:c>
      <x:c r="B15" s="4" t="s">
        <x:v>523</x:v>
      </x:c>
      <x:c r="C15" s="4" t="s">
        <x:v>512</x:v>
      </x:c>
      <x:c r="D15" s="41" t="s">
        <x:v>527</x:v>
      </x:c>
      <x:c r="F15" s="4" t="s">
        <x:v>564</x:v>
      </x:c>
      <x:c r="G15" s="66" t="s">
        <x:v>472</x:v>
      </x:c>
      <x:c r="H15" s="66" t="s">
        <x:v>618</x:v>
      </x:c>
      <x:c r="I15" s="66" t="s">
        <x:v>631</x:v>
      </x:c>
      <x:c r="J15" s="3" t="s">
        <x:v>141</x:v>
      </x:c>
    </x:row>
    <x:row r="16" spans="1:10">
      <x:c r="A16" s="2" t="s">
        <x:v>168</x:v>
      </x:c>
      <x:c r="B16" s="40">
        <x:v>0.39583333333333331</x:v>
      </x:c>
      <x:c r="C16" s="40">
        <x:v>0.44097222222222227</x:v>
      </x:c>
      <x:c r="D16" s="40">
        <x:f>IF(RIGHT(A16,3)="자동차",(C16-B16)+TIME(0,2,0),(C16-B16))</x:f>
        <x:v>0.045138888888888951</x:v>
      </x:c>
      <x:c r="F16" s="2" t="s">
        <x:v>540</x:v>
      </x:c>
      <x:c r="G16" s="2" t="s">
        <x:v>171</x:v>
      </x:c>
      <x:c r="H16" s="2" t="s">
        <x:v>171</x:v>
      </x:c>
      <x:c r="I16" s="2"/>
      <x:c r="J16" s="2" t="str">
        <x:f>IF(COUNTIF(G16:I16,"대출")&gt;=2,"우수","")</x:f>
        <x:v>우수</x:v>
      </x:c>
    </x:row>
    <x:row r="17" spans="1:10">
      <x:c r="A17" s="2" t="s">
        <x:v>524</x:v>
      </x:c>
      <x:c r="B17" s="40">
        <x:v>0.43402777777777773</x:v>
      </x:c>
      <x:c r="C17" s="40">
        <x:v>0.44444444444444442</x:v>
      </x:c>
      <x:c r="D17" s="40">
        <x:f t="shared" ref="D17:D23" si="0">IF(RIGHT(A17,3)="자동차",(C17-B17)+TIME(0,2,0),(C17-B17))</x:f>
        <x:v>0.011805555555555574</x:v>
      </x:c>
      <x:c r="F17" s="2" t="s">
        <x:v>526</x:v>
      </x:c>
      <x:c r="G17" s="2"/>
      <x:c r="H17" s="2" t="s">
        <x:v>171</x:v>
      </x:c>
      <x:c r="I17" s="2" t="s">
        <x:v>171</x:v>
      </x:c>
      <x:c r="J17" s="2" t="str">
        <x:f t="shared" ref="J17:J23" si="1">IF(COUNTIF(G17:I17,"대출")&gt;=2,"우수","")</x:f>
        <x:v>우수</x:v>
      </x:c>
    </x:row>
    <x:row r="18" spans="1:10">
      <x:c r="A18" s="2" t="s">
        <x:v>151</x:v>
      </x:c>
      <x:c r="B18" s="40">
        <x:v>0.57638888888888895</x:v>
      </x:c>
      <x:c r="C18" s="40">
        <x:v>0.59722222222222221</x:v>
      </x:c>
      <x:c r="D18" s="40">
        <x:f t="shared" si="0"/>
        <x:v>0.020833333333333259</x:v>
      </x:c>
      <x:c r="F18" s="2" t="s">
        <x:v>559</x:v>
      </x:c>
      <x:c r="G18" s="2"/>
      <x:c r="H18" s="2"/>
      <x:c r="I18" s="2"/>
      <x:c r="J18" s="2" t="str">
        <x:f t="shared" si="1"/>
        <x:v/>
      </x:c>
    </x:row>
    <x:row r="19" spans="1:10">
      <x:c r="A19" s="2" t="s">
        <x:v>528</x:v>
      </x:c>
      <x:c r="B19" s="40">
        <x:v>0.34722222222222227</x:v>
      </x:c>
      <x:c r="C19" s="40">
        <x:v>0.60416666666666663</x:v>
      </x:c>
      <x:c r="D19" s="40">
        <x:f t="shared" si="0"/>
        <x:v>0.25833333333333325</x:v>
      </x:c>
      <x:c r="F19" s="2" t="s">
        <x:v>565</x:v>
      </x:c>
      <x:c r="G19" s="2" t="s">
        <x:v>171</x:v>
      </x:c>
      <x:c r="H19" s="2" t="s">
        <x:v>171</x:v>
      </x:c>
      <x:c r="I19" s="2" t="s">
        <x:v>171</x:v>
      </x:c>
      <x:c r="J19" s="2" t="str">
        <x:f t="shared" si="1"/>
        <x:v>우수</x:v>
      </x:c>
    </x:row>
    <x:row r="20" spans="1:10">
      <x:c r="A20" s="2" t="s">
        <x:v>513</x:v>
      </x:c>
      <x:c r="B20" s="40">
        <x:v>0.60416666666666663</x:v>
      </x:c>
      <x:c r="C20" s="40">
        <x:v>0.72222222222222221</x:v>
      </x:c>
      <x:c r="D20" s="40">
        <x:f t="shared" si="0"/>
        <x:v>0.11805555555555558</x:v>
      </x:c>
      <x:c r="F20" s="2" t="s">
        <x:v>535</x:v>
      </x:c>
      <x:c r="G20" s="2" t="s">
        <x:v>171</x:v>
      </x:c>
      <x:c r="H20" s="2"/>
      <x:c r="I20" s="2"/>
      <x:c r="J20" s="2" t="str">
        <x:f t="shared" si="1"/>
        <x:v/>
      </x:c>
    </x:row>
    <x:row r="21" spans="1:10">
      <x:c r="A21" s="2" t="s">
        <x:v>168</x:v>
      </x:c>
      <x:c r="B21" s="40">
        <x:v>0.4236111111111111</x:v>
      </x:c>
      <x:c r="C21" s="40">
        <x:v>0.46875</x:v>
      </x:c>
      <x:c r="D21" s="40">
        <x:f t="shared" si="0"/>
        <x:v>0.045138888888888895</x:v>
      </x:c>
      <x:c r="F21" s="2" t="s">
        <x:v>547</x:v>
      </x:c>
      <x:c r="G21" s="2"/>
      <x:c r="H21" s="2" t="s">
        <x:v>171</x:v>
      </x:c>
      <x:c r="I21" s="2"/>
      <x:c r="J21" s="2" t="str">
        <x:f t="shared" si="1"/>
        <x:v/>
      </x:c>
    </x:row>
    <x:row r="22" spans="1:10">
      <x:c r="A22" s="2" t="s">
        <x:v>529</x:v>
      </x:c>
      <x:c r="B22" s="40">
        <x:v>0.69444444444444453</x:v>
      </x:c>
      <x:c r="C22" s="40">
        <x:v>0.77083333333333337</x:v>
      </x:c>
      <x:c r="D22" s="40">
        <x:f t="shared" si="0"/>
        <x:v>0.077777777777777724</x:v>
      </x:c>
      <x:c r="F22" s="2" t="s">
        <x:v>533</x:v>
      </x:c>
      <x:c r="G22" s="2" t="s">
        <x:v>171</x:v>
      </x:c>
      <x:c r="H22" s="2" t="s">
        <x:v>171</x:v>
      </x:c>
      <x:c r="I22" s="2" t="s">
        <x:v>171</x:v>
      </x:c>
      <x:c r="J22" s="2" t="str">
        <x:f t="shared" si="1"/>
        <x:v>우수</x:v>
      </x:c>
    </x:row>
    <x:row r="23" spans="1:10">
      <x:c r="A23" s="2" t="s">
        <x:v>177</x:v>
      </x:c>
      <x:c r="B23" s="40">
        <x:v>0.5625</x:v>
      </x:c>
      <x:c r="C23" s="40">
        <x:v>0.59722222222222221</x:v>
      </x:c>
      <x:c r="D23" s="40">
        <x:f t="shared" si="0"/>
        <x:v>0.03472222222222221</x:v>
      </x:c>
      <x:c r="F23" s="2" t="s">
        <x:v>572</x:v>
      </x:c>
      <x:c r="G23" s="2" t="s">
        <x:v>171</x:v>
      </x:c>
      <x:c r="H23" s="2"/>
      <x:c r="I23" s="2" t="s">
        <x:v>171</x:v>
      </x:c>
      <x:c r="J23" s="2" t="str">
        <x:f t="shared" si="1"/>
        <x:v>우수</x:v>
      </x:c>
    </x:row>
    <x:row r="25" spans="1:1">
      <x:c r="A25" s="5" t="s">
        <x:v>455</x:v>
      </x:c>
    </x:row>
    <x:row r="26" spans="1:5">
      <x:c r="A26" s="4" t="s">
        <x:v>321</x:v>
      </x:c>
      <x:c r="B26" s="4" t="s">
        <x:v>355</x:v>
      </x:c>
      <x:c r="C26" s="4" t="s">
        <x:v>560</x:v>
      </x:c>
      <x:c r="D26" s="4" t="s">
        <x:v>519</x:v>
      </x:c>
      <x:c r="E26" s="1"/>
    </x:row>
    <x:row r="27" spans="1:5">
      <x:c r="A27" s="2">
        <x:v>2007314</x:v>
      </x:c>
      <x:c r="B27" s="2" t="s">
        <x:v>92</x:v>
      </x:c>
      <x:c r="C27" s="2">
        <x:v>949</x:v>
      </x:c>
      <x:c r="D27" s="2">
        <x:v>788</x:v>
      </x:c>
      <x:c r="E27" s="1"/>
    </x:row>
    <x:row r="28" spans="1:5">
      <x:c r="A28" s="2">
        <x:v>2010651</x:v>
      </x:c>
      <x:c r="B28" s="2" t="s">
        <x:v>378</x:v>
      </x:c>
      <x:c r="C28" s="2">
        <x:v>561</x:v>
      </x:c>
      <x:c r="D28" s="2">
        <x:v>521</x:v>
      </x:c>
      <x:c r="E28" s="1"/>
    </x:row>
    <x:row r="29" spans="1:5">
      <x:c r="A29" s="2">
        <x:v>2014400</x:v>
      </x:c>
      <x:c r="B29" s="2" t="s">
        <x:v>92</x:v>
      </x:c>
      <x:c r="C29" s="2">
        <x:v>604</x:v>
      </x:c>
      <x:c r="D29" s="2">
        <x:v>560</x:v>
      </x:c>
      <x:c r="E29" s="1"/>
    </x:row>
    <x:row r="30" spans="1:5">
      <x:c r="A30" s="2">
        <x:v>2019549</x:v>
      </x:c>
      <x:c r="B30" s="2" t="s">
        <x:v>378</x:v>
      </x:c>
      <x:c r="C30" s="2">
        <x:v>793</x:v>
      </x:c>
      <x:c r="D30" s="2">
        <x:v>529</x:v>
      </x:c>
      <x:c r="E30" s="1"/>
    </x:row>
    <x:row r="31" spans="1:5">
      <x:c r="A31" s="2">
        <x:v>2011025</x:v>
      </x:c>
      <x:c r="B31" s="2" t="s">
        <x:v>337</x:v>
      </x:c>
      <x:c r="C31" s="2">
        <x:v>453</x:v>
      </x:c>
      <x:c r="D31" s="2">
        <x:v>963</x:v>
      </x:c>
      <x:c r="E31" s="1"/>
    </x:row>
    <x:row r="32" spans="1:5">
      <x:c r="A32" s="2">
        <x:v>2005099</x:v>
      </x:c>
      <x:c r="B32" s="2" t="s">
        <x:v>92</x:v>
      </x:c>
      <x:c r="C32" s="2">
        <x:v>720</x:v>
      </x:c>
      <x:c r="D32" s="2">
        <x:v>474</x:v>
      </x:c>
      <x:c r="E32" s="1"/>
    </x:row>
    <x:row r="33" spans="1:5">
      <x:c r="A33" s="2">
        <x:v>2005810</x:v>
      </x:c>
      <x:c r="B33" s="2" t="s">
        <x:v>337</x:v>
      </x:c>
      <x:c r="C33" s="2">
        <x:v>553</x:v>
      </x:c>
      <x:c r="D33" s="2">
        <x:v>554</x:v>
      </x:c>
      <x:c r="E33" s="1"/>
    </x:row>
    <x:row r="34" spans="1:5">
      <x:c r="A34" s="2">
        <x:v>2011547</x:v>
      </x:c>
      <x:c r="B34" s="2" t="s">
        <x:v>92</x:v>
      </x:c>
      <x:c r="C34" s="2">
        <x:v>953</x:v>
      </x:c>
      <x:c r="D34" s="2">
        <x:v>834</x:v>
      </x:c>
      <x:c r="E34" s="1"/>
    </x:row>
    <x:row r="35" spans="1:4">
      <x:c r="A35" s="92" t="s">
        <x:v>642</x:v>
      </x:c>
      <x:c r="B35" s="92"/>
      <x:c r="C35" s="92"/>
      <x:c r="D35" s="2" t="str">
        <x:f>COUNTIFS(C27:C34,"&gt;="&amp;LARGE(C27:C34,3),D27:D34,"&gt;="&amp;LARGE(D27:D34,3))&amp;"명"</x:f>
        <x:v>2명</x:v>
      </x:c>
    </x:row>
  </x:sheetData>
  <x:mergeCells count="3">
    <x:mergeCell ref="A12:C12"/>
    <x:mergeCell ref="F12:H12"/>
    <x:mergeCell ref="A35:C3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I36"/>
  <x:sheetViews>
    <x:sheetView topLeftCell="A26" zoomScale="200" zoomScaleNormal="200" zoomScaleSheetLayoutView="75" workbookViewId="0">
      <x:selection activeCell="E26" activeCellId="0" sqref="E26:E26"/>
    </x:sheetView>
  </x:sheetViews>
  <x:sheetFormatPr defaultColWidth="9" defaultRowHeight="16.39999999999999857891"/>
  <x:cols>
    <x:col min="1" max="1" width="12.375" customWidth="1"/>
    <x:col min="3" max="3" width="10.625" bestFit="1" customWidth="1"/>
    <x:col min="6" max="6" width="10.625" bestFit="1" customWidth="1"/>
    <x:col min="7" max="7" width="9.75" bestFit="1" customWidth="1"/>
    <x:col min="8" max="8" width="10.875" customWidth="1"/>
    <x:col min="9" max="9" width="11.375" customWidth="1"/>
  </x:cols>
  <x:sheetData>
    <x:row r="1" spans="1:6">
      <x:c r="A1" t="s">
        <x:v>445</x:v>
      </x:c>
      <x:c r="F1" t="s">
        <x:v>470</x:v>
      </x:c>
    </x:row>
    <x:row r="2" spans="1:9">
      <x:c r="A2" s="4" t="s">
        <x:v>564</x:v>
      </x:c>
      <x:c r="B2" s="4" t="s">
        <x:v>159</x:v>
      </x:c>
      <x:c r="C2" s="4" t="s">
        <x:v>157</x:v>
      </x:c>
      <x:c r="D2" s="3" t="s">
        <x:v>179</x:v>
      </x:c>
      <x:c r="F2" s="4" t="s">
        <x:v>148</x:v>
      </x:c>
      <x:c r="G2" s="4" t="s">
        <x:v>172</x:v>
      </x:c>
      <x:c r="H2" s="4" t="s">
        <x:v>187</x:v>
      </x:c>
      <x:c r="I2" s="4" t="s">
        <x:v>541</x:v>
      </x:c>
    </x:row>
    <x:row r="3" spans="1:9">
      <x:c r="A3" s="2">
        <x:v>819693</x:v>
      </x:c>
      <x:c r="B3" s="2" t="s">
        <x:v>160</x:v>
      </x:c>
      <x:c r="C3" s="2" t="s">
        <x:v>154</x:v>
      </x:c>
      <x:c r="D3" s="2" t="str">
        <x:f>CHOOSE(RIGHT(A3,1),"가구","요리","도서","손글씨","손글씨")</x:f>
        <x:v>도서</x:v>
      </x:c>
      <x:c r="F3" s="2" t="s">
        <x:v>415</x:v>
      </x:c>
      <x:c r="G3" s="2">
        <x:v>34</x:v>
      </x:c>
      <x:c r="H3" s="2">
        <x:v>41</x:v>
      </x:c>
      <x:c r="I3" s="2">
        <x:v>10</x:v>
      </x:c>
    </x:row>
    <x:row r="4" spans="1:9">
      <x:c r="A4" s="2">
        <x:v>400361</x:v>
      </x:c>
      <x:c r="B4" s="2" t="s">
        <x:v>169</x:v>
      </x:c>
      <x:c r="C4" s="2" t="s">
        <x:v>155</x:v>
      </x:c>
      <x:c r="D4" s="2" t="str">
        <x:f t="shared" ref="D4:D11" si="0">CHOOSE(RIGHT(A4,1),"가구","요리","도서","손글씨","손글씨")</x:f>
        <x:v>가구</x:v>
      </x:c>
      <x:c r="F4" s="2" t="s">
        <x:v>291</x:v>
      </x:c>
      <x:c r="G4" s="2">
        <x:v>33</x:v>
      </x:c>
      <x:c r="H4" s="2">
        <x:v>40</x:v>
      </x:c>
      <x:c r="I4" s="2">
        <x:v>15</x:v>
      </x:c>
    </x:row>
    <x:row r="5" spans="1:9">
      <x:c r="A5" s="2">
        <x:v>859712</x:v>
      </x:c>
      <x:c r="B5" s="2" t="s">
        <x:v>167</x:v>
      </x:c>
      <x:c r="C5" s="2" t="s">
        <x:v>175</x:v>
      </x:c>
      <x:c r="D5" s="2" t="str">
        <x:f t="shared" si="0"/>
        <x:v>요리</x:v>
      </x:c>
      <x:c r="F5" s="2" t="s">
        <x:v>407</x:v>
      </x:c>
      <x:c r="G5" s="2">
        <x:v>49</x:v>
      </x:c>
      <x:c r="H5" s="2">
        <x:v>31</x:v>
      </x:c>
      <x:c r="I5" s="2">
        <x:v>14</x:v>
      </x:c>
    </x:row>
    <x:row r="6" spans="1:9">
      <x:c r="A6" s="2">
        <x:v>475643</x:v>
      </x:c>
      <x:c r="B6" s="2" t="s">
        <x:v>167</x:v>
      </x:c>
      <x:c r="C6" s="2" t="s">
        <x:v>175</x:v>
      </x:c>
      <x:c r="D6" s="2" t="str">
        <x:f t="shared" si="0"/>
        <x:v>도서</x:v>
      </x:c>
      <x:c r="F6" s="2" t="s">
        <x:v>420</x:v>
      </x:c>
      <x:c r="G6" s="2">
        <x:v>35</x:v>
      </x:c>
      <x:c r="H6" s="2">
        <x:v>56</x:v>
      </x:c>
      <x:c r="I6" s="2">
        <x:v>12</x:v>
      </x:c>
    </x:row>
    <x:row r="7" spans="1:9">
      <x:c r="A7" s="2">
        <x:v>710051</x:v>
      </x:c>
      <x:c r="B7" s="2" t="s">
        <x:v>160</x:v>
      </x:c>
      <x:c r="C7" s="2" t="s">
        <x:v>154</x:v>
      </x:c>
      <x:c r="D7" s="2" t="str">
        <x:f t="shared" si="0"/>
        <x:v>가구</x:v>
      </x:c>
      <x:c r="F7" s="2" t="s">
        <x:v>385</x:v>
      </x:c>
      <x:c r="G7" s="2">
        <x:v>42</x:v>
      </x:c>
      <x:c r="H7" s="2">
        <x:v>31</x:v>
      </x:c>
      <x:c r="I7" s="2">
        <x:v>16</x:v>
      </x:c>
    </x:row>
    <x:row r="8" spans="1:9">
      <x:c r="A8" s="2">
        <x:v>356625</x:v>
      </x:c>
      <x:c r="B8" s="2" t="s">
        <x:v>169</x:v>
      </x:c>
      <x:c r="C8" s="2" t="s">
        <x:v>155</x:v>
      </x:c>
      <x:c r="D8" s="2" t="str">
        <x:f t="shared" si="0"/>
        <x:v>손글씨</x:v>
      </x:c>
      <x:c r="F8" s="2" t="s">
        <x:v>414</x:v>
      </x:c>
      <x:c r="G8" s="2">
        <x:v>53</x:v>
      </x:c>
      <x:c r="H8" s="2">
        <x:v>54</x:v>
      </x:c>
      <x:c r="I8" s="2">
        <x:v>14</x:v>
      </x:c>
    </x:row>
    <x:row r="9" spans="1:9">
      <x:c r="A9" s="2">
        <x:v>129265</x:v>
      </x:c>
      <x:c r="B9" s="2" t="s">
        <x:v>169</x:v>
      </x:c>
      <x:c r="C9" s="2" t="s">
        <x:v>155</x:v>
      </x:c>
      <x:c r="D9" s="2" t="str">
        <x:f t="shared" si="0"/>
        <x:v>손글씨</x:v>
      </x:c>
      <x:c r="F9" s="2" t="s">
        <x:v>174</x:v>
      </x:c>
      <x:c r="G9" s="2">
        <x:v>51</x:v>
      </x:c>
      <x:c r="H9" s="2">
        <x:v>50</x:v>
      </x:c>
      <x:c r="I9" s="2">
        <x:v>15</x:v>
      </x:c>
    </x:row>
    <x:row r="10" spans="1:9">
      <x:c r="A10" s="2">
        <x:v>573311</x:v>
      </x:c>
      <x:c r="B10" s="2" t="s">
        <x:v>160</x:v>
      </x:c>
      <x:c r="C10" s="2" t="s">
        <x:v>154</x:v>
      </x:c>
      <x:c r="D10" s="2" t="str">
        <x:f t="shared" si="0"/>
        <x:v>가구</x:v>
      </x:c>
      <x:c r="F10" s="2" t="s">
        <x:v>306</x:v>
      </x:c>
      <x:c r="G10" s="2">
        <x:v>45</x:v>
      </x:c>
      <x:c r="H10" s="2">
        <x:v>37</x:v>
      </x:c>
      <x:c r="I10" s="2">
        <x:v>11</x:v>
      </x:c>
    </x:row>
    <x:row r="11" spans="1:9">
      <x:c r="A11" s="2">
        <x:v>185084</x:v>
      </x:c>
      <x:c r="B11" s="2" t="s">
        <x:v>169</x:v>
      </x:c>
      <x:c r="C11" s="2" t="s">
        <x:v>155</x:v>
      </x:c>
      <x:c r="D11" s="2" t="str">
        <x:f t="shared" si="0"/>
        <x:v>손글씨</x:v>
      </x:c>
      <x:c r="F11" s="43" t="s">
        <x:v>425</x:v>
      </x:c>
      <x:c r="G11" s="43">
        <x:v>36</x:v>
      </x:c>
      <x:c r="H11" s="43">
        <x:v>20</x:v>
      </x:c>
      <x:c r="I11" s="43">
        <x:v>13</x:v>
      </x:c>
    </x:row>
    <x:row r="12" spans="6:9" ht="31.5" customHeight="1">
      <x:c r="F12" s="95" t="s">
        <x:v>53</x:v>
      </x:c>
      <x:c r="G12" s="92"/>
      <x:c r="H12" s="92"/>
      <x:c r="I12" s="31">
        <x:f>COUNTIFS(G3:G11,"&gt;=45",H3:H11,"&gt;=45",I3:I11,"&gt;="&amp;AVERAGE(I3:I11))/COUNTA(I3:I11)</x:f>
        <x:v>0.22222222222222221</x:v>
      </x:c>
    </x:row>
    <x:row r="14" spans="1:6">
      <x:c r="A14" s="46" t="s">
        <x:v>438</x:v>
      </x:c>
      <x:c r="B14" s="11"/>
      <x:c r="C14" s="11"/>
      <x:c r="D14" s="11"/>
      <x:c r="F14" s="5" t="s">
        <x:v>430</x:v>
      </x:c>
    </x:row>
    <x:row r="15" spans="1:9">
      <x:c r="A15" s="4" t="s">
        <x:v>534</x:v>
      </x:c>
      <x:c r="B15" s="4" t="s">
        <x:v>514</x:v>
      </x:c>
      <x:c r="C15" s="4" t="s">
        <x:v>511</x:v>
      </x:c>
      <x:c r="D15" s="3" t="s">
        <x:v>566</x:v>
      </x:c>
      <x:c r="F15" s="36" t="s">
        <x:v>364</x:v>
      </x:c>
      <x:c r="G15" s="47" t="s">
        <x:v>554</x:v>
      </x:c>
      <x:c r="H15" s="36" t="s">
        <x:v>582</x:v>
      </x:c>
      <x:c r="I15" s="36" t="s">
        <x:v>158</x:v>
      </x:c>
    </x:row>
    <x:row r="16" spans="1:9">
      <x:c r="A16" s="2">
        <x:v>10597</x:v>
      </x:c>
      <x:c r="B16" s="44">
        <x:v>0.38194444444444442</x:v>
      </x:c>
      <x:c r="C16" s="44">
        <x:v>0.65625</x:v>
      </x:c>
      <x:c r="D16" s="97">
        <x:f>IF(MINUTE(C16-B16)&gt;30,HOUR(C16-B16)+1,HOUR(C16-B16))</x:f>
        <x:v>7</x:v>
      </x:c>
      <x:c r="F16" s="2" t="s">
        <x:v>170</x:v>
      </x:c>
      <x:c r="G16" s="2" t="s">
        <x:v>90</x:v>
      </x:c>
      <x:c r="H16" s="2" t="s">
        <x:v>580</x:v>
      </x:c>
      <x:c r="I16" s="48">
        <x:v>0.045138888888888888</x:v>
      </x:c>
    </x:row>
    <x:row r="17" spans="1:9">
      <x:c r="A17" s="2">
        <x:v>32212</x:v>
      </x:c>
      <x:c r="B17" s="44">
        <x:v>0.44097222222222227</x:v>
      </x:c>
      <x:c r="C17" s="44">
        <x:v>0.52777777777777779</x:v>
      </x:c>
      <x:c r="D17" s="97">
        <x:f t="shared" ref="D17:D24" si="1">IF(MINUTE(C17-B17)&gt;30,HOUR(C17-B17)+1,HOUR(C17-B17))</x:f>
        <x:v>2</x:v>
      </x:c>
      <x:c r="F17" s="2" t="s">
        <x:v>161</x:v>
      </x:c>
      <x:c r="G17" s="2" t="s">
        <x:v>83</x:v>
      </x:c>
      <x:c r="H17" s="2" t="s">
        <x:v>544</x:v>
      </x:c>
      <x:c r="I17" s="48">
        <x:v>0.043912037037037033</x:v>
      </x:c>
    </x:row>
    <x:row r="18" spans="1:9">
      <x:c r="A18" s="2">
        <x:v>43773</x:v>
      </x:c>
      <x:c r="B18" s="44">
        <x:v>0.4513888888888889</x:v>
      </x:c>
      <x:c r="C18" s="44">
        <x:v>0.56597222222222221</x:v>
      </x:c>
      <x:c r="D18" s="97">
        <x:f t="shared" si="1"/>
        <x:v>3</x:v>
      </x:c>
      <x:c r="F18" s="2" t="s">
        <x:v>188</x:v>
      </x:c>
      <x:c r="G18" s="2" t="s">
        <x:v>91</x:v>
      </x:c>
      <x:c r="H18" s="2" t="s">
        <x:v>581</x:v>
      </x:c>
      <x:c r="I18" s="48">
        <x:v>0.044976851851851851</x:v>
      </x:c>
    </x:row>
    <x:row r="19" spans="1:9">
      <x:c r="A19" s="2">
        <x:v>13177</x:v>
      </x:c>
      <x:c r="B19" s="44">
        <x:v>0.46527777777777773</x:v>
      </x:c>
      <x:c r="C19" s="44">
        <x:v>0.68055555555555547</x:v>
      </x:c>
      <x:c r="D19" s="97">
        <x:f t="shared" si="1"/>
        <x:v>5</x:v>
      </x:c>
      <x:c r="F19" s="2" t="s">
        <x:v>163</x:v>
      </x:c>
      <x:c r="G19" s="2" t="s">
        <x:v>89</x:v>
      </x:c>
      <x:c r="H19" s="2" t="s">
        <x:v>544</x:v>
      </x:c>
      <x:c r="I19" s="48">
        <x:v>0.045347222222222226</x:v>
      </x:c>
    </x:row>
    <x:row r="20" spans="1:9">
      <x:c r="A20" s="2">
        <x:v>85797</x:v>
      </x:c>
      <x:c r="B20" s="44">
        <x:v>0.40625</x:v>
      </x:c>
      <x:c r="C20" s="44">
        <x:v>0.60416666666666663</x:v>
      </x:c>
      <x:c r="D20" s="97">
        <x:f t="shared" si="1"/>
        <x:v>5</x:v>
      </x:c>
      <x:c r="F20" s="2" t="s">
        <x:v>164</x:v>
      </x:c>
      <x:c r="G20" s="2" t="s">
        <x:v>27</x:v>
      </x:c>
      <x:c r="H20" s="2" t="s">
        <x:v>595</x:v>
      </x:c>
      <x:c r="I20" s="48">
        <x:v>0.046099537037037036</x:v>
      </x:c>
    </x:row>
    <x:row r="21" spans="1:9">
      <x:c r="A21" s="2">
        <x:v>47996</x:v>
      </x:c>
      <x:c r="B21" s="44">
        <x:v>0.3611111111111111</x:v>
      </x:c>
      <x:c r="C21" s="44">
        <x:v>0.51736111111111105</x:v>
      </x:c>
      <x:c r="D21" s="97">
        <x:f t="shared" si="1"/>
        <x:v>4</x:v>
      </x:c>
      <x:c r="F21" s="2" t="s">
        <x:v>156</x:v>
      </x:c>
      <x:c r="G21" s="2" t="s">
        <x:v>30</x:v>
      </x:c>
      <x:c r="H21" s="2" t="s">
        <x:v>573</x:v>
      </x:c>
      <x:c r="I21" s="48">
        <x:v>0.046770833333333338</x:v>
      </x:c>
    </x:row>
    <x:row r="22" spans="1:9">
      <x:c r="A22" s="2">
        <x:v>95928</x:v>
      </x:c>
      <x:c r="B22" s="44">
        <x:v>0.42708333333333331</x:v>
      </x:c>
      <x:c r="C22" s="44">
        <x:v>0.55902777777777779</x:v>
      </x:c>
      <x:c r="D22" s="97">
        <x:f t="shared" si="1"/>
        <x:v>3</x:v>
      </x:c>
      <x:c r="F22" s="2" t="s">
        <x:v>178</x:v>
      </x:c>
      <x:c r="G22" s="2" t="s">
        <x:v>25</x:v>
      </x:c>
      <x:c r="H22" s="2" t="s">
        <x:v>563</x:v>
      </x:c>
      <x:c r="I22" s="48">
        <x:v>0.045914351851851852</x:v>
      </x:c>
    </x:row>
    <x:row r="23" spans="1:9">
      <x:c r="A23" s="2">
        <x:v>61588</x:v>
      </x:c>
      <x:c r="B23" s="44">
        <x:v>0.47569444444444442</x:v>
      </x:c>
      <x:c r="C23" s="44">
        <x:v>0.70138888888888884</x:v>
      </x:c>
      <x:c r="D23" s="97">
        <x:f t="shared" si="1"/>
        <x:v>5</x:v>
      </x:c>
      <x:c r="F23" s="2" t="s">
        <x:v>149</x:v>
      </x:c>
      <x:c r="G23" s="2" t="s">
        <x:v>31</x:v>
      </x:c>
      <x:c r="H23" s="2" t="s">
        <x:v>542</x:v>
      </x:c>
      <x:c r="I23" s="48">
        <x:v>0.046180555555555558</x:v>
      </x:c>
    </x:row>
    <x:row r="24" spans="1:9">
      <x:c r="A24" s="2">
        <x:v>80304</x:v>
      </x:c>
      <x:c r="B24" s="44">
        <x:v>0.39583333333333331</x:v>
      </x:c>
      <x:c r="C24" s="44">
        <x:v>0.72569444444444453</x:v>
      </x:c>
      <x:c r="D24" s="97">
        <x:f t="shared" si="1"/>
        <x:v>8</x:v>
      </x:c>
      <x:c r="F24" s="81" t="s">
        <x:v>29</x:v>
      </x:c>
      <x:c r="G24" s="81"/>
      <x:c r="H24" s="96" t="str">
        <x:f>HOUR(SMALL(I16:I23,1))&amp;"시간 "&amp;MINUTE(SMALL(I16:I23,1))&amp;"분 "&amp;SECOND(SMALL(I16:I23,1))&amp;"초"</x:f>
        <x:v>1시간 3분 14초</x:v>
      </x:c>
      <x:c r="I24" s="96"/>
    </x:row>
    <x:row r="26" spans="1:1">
      <x:c r="A26" t="s">
        <x:v>585</x:v>
      </x:c>
    </x:row>
    <x:row r="27" spans="1:4">
      <x:c r="A27" s="4" t="s">
        <x:v>553</x:v>
      </x:c>
      <x:c r="B27" s="4" t="s">
        <x:v>400</x:v>
      </x:c>
      <x:c r="C27" s="4" t="s">
        <x:v>543</x:v>
      </x:c>
      <x:c r="D27" s="3" t="s">
        <x:v>550</x:v>
      </x:c>
    </x:row>
    <x:row r="28" spans="1:4">
      <x:c r="A28" s="49" t="s">
        <x:v>26</x:v>
      </x:c>
      <x:c r="B28" s="44" t="s">
        <x:v>176</x:v>
      </x:c>
      <x:c r="C28" s="35">
        <x:v>44929</x:v>
      </x:c>
      <x:c r="D28" s="2" t="str">
        <x:f>IF(MOD(DAY(C28),5)=0,"정기시험","상시시험")</x:f>
        <x:v>상시시험</x:v>
      </x:c>
    </x:row>
    <x:row r="29" spans="1:4">
      <x:c r="A29" s="49" t="s">
        <x:v>28</x:v>
      </x:c>
      <x:c r="B29" s="44" t="s">
        <x:v>104</x:v>
      </x:c>
      <x:c r="C29" s="35">
        <x:v>44931</x:v>
      </x:c>
      <x:c r="D29" s="2" t="str">
        <x:f t="shared" ref="D29:D36" si="2">IF(MOD(DAY(C29),5)=0,"정기시험","상시시험")</x:f>
        <x:v>정기시험</x:v>
      </x:c>
    </x:row>
    <x:row r="30" spans="1:4">
      <x:c r="A30" s="49" t="s">
        <x:v>33</x:v>
      </x:c>
      <x:c r="B30" s="44" t="s">
        <x:v>192</x:v>
      </x:c>
      <x:c r="C30" s="35">
        <x:v>44933</x:v>
      </x:c>
      <x:c r="D30" s="2" t="str">
        <x:f t="shared" si="2"/>
        <x:v>상시시험</x:v>
      </x:c>
    </x:row>
    <x:row r="31" spans="1:4">
      <x:c r="A31" s="49" t="s">
        <x:v>34</x:v>
      </x:c>
      <x:c r="B31" s="44" t="s">
        <x:v>181</x:v>
      </x:c>
      <x:c r="C31" s="35">
        <x:v>44934</x:v>
      </x:c>
      <x:c r="D31" s="2" t="str">
        <x:f t="shared" si="2"/>
        <x:v>상시시험</x:v>
      </x:c>
    </x:row>
    <x:row r="32" spans="1:4">
      <x:c r="A32" s="49" t="s">
        <x:v>47</x:v>
      </x:c>
      <x:c r="B32" s="44" t="s">
        <x:v>207</x:v>
      </x:c>
      <x:c r="C32" s="35">
        <x:v>44941</x:v>
      </x:c>
      <x:c r="D32" s="2" t="str">
        <x:f t="shared" si="2"/>
        <x:v>정기시험</x:v>
      </x:c>
    </x:row>
    <x:row r="33" spans="1:4">
      <x:c r="A33" s="49" t="s">
        <x:v>52</x:v>
      </x:c>
      <x:c r="B33" s="44" t="s">
        <x:v>208</x:v>
      </x:c>
      <x:c r="C33" s="35">
        <x:v>44944</x:v>
      </x:c>
      <x:c r="D33" s="2" t="str">
        <x:f t="shared" si="2"/>
        <x:v>상시시험</x:v>
      </x:c>
    </x:row>
    <x:row r="34" spans="1:4">
      <x:c r="A34" s="49" t="s">
        <x:v>51</x:v>
      </x:c>
      <x:c r="B34" s="44" t="s">
        <x:v>194</x:v>
      </x:c>
      <x:c r="C34" s="35">
        <x:v>44945</x:v>
      </x:c>
      <x:c r="D34" s="2" t="str">
        <x:f t="shared" si="2"/>
        <x:v>상시시험</x:v>
      </x:c>
    </x:row>
    <x:row r="35" spans="1:4">
      <x:c r="A35" s="49" t="s">
        <x:v>46</x:v>
      </x:c>
      <x:c r="B35" s="44" t="s">
        <x:v>210</x:v>
      </x:c>
      <x:c r="C35" s="35">
        <x:v>44946</x:v>
      </x:c>
      <x:c r="D35" s="2" t="str">
        <x:f t="shared" si="2"/>
        <x:v>정기시험</x:v>
      </x:c>
    </x:row>
    <x:row r="36" spans="1:4">
      <x:c r="A36" s="49" t="s">
        <x:v>50</x:v>
      </x:c>
      <x:c r="B36" s="44" t="s">
        <x:v>107</x:v>
      </x:c>
      <x:c r="C36" s="35">
        <x:v>44948</x:v>
      </x:c>
      <x:c r="D36" s="2" t="str">
        <x:f t="shared" si="2"/>
        <x:v>상시시험</x:v>
      </x:c>
    </x:row>
  </x:sheetData>
  <x:mergeCells count="3">
    <x:mergeCell ref="F12:H12"/>
    <x:mergeCell ref="F24:G24"/>
    <x:mergeCell ref="H24:I24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H22"/>
  <x:sheetViews>
    <x:sheetView topLeftCell="A1" zoomScaleNormal="100" zoomScaleSheetLayoutView="75" workbookViewId="0">
      <x:selection activeCell="J23" activeCellId="0" sqref="J23:J23"/>
    </x:sheetView>
  </x:sheetViews>
  <x:sheetFormatPr defaultColWidth="9" defaultRowHeight="16.39999999999999857891"/>
  <x:cols>
    <x:col min="7" max="7" width="9.125" customWidth="1"/>
    <x:col min="8" max="8" width="12" customWidth="1"/>
  </x:cols>
  <x:sheetData>
    <x:row r="1" spans="1:8">
      <x:c r="A1" t="s">
        <x:v>445</x:v>
      </x:c>
      <x:c r="G1" t="s">
        <x:v>545</x:v>
      </x:c>
      <x:c r="H1" s="33">
        <x:v>44654</x:v>
      </x:c>
    </x:row>
    <x:row r="2" spans="1:8">
      <x:c r="A2" s="4" t="s">
        <x:v>321</x:v>
      </x:c>
      <x:c r="B2" s="4" t="s">
        <x:v>355</x:v>
      </x:c>
      <x:c r="C2" s="4" t="s">
        <x:v>290</x:v>
      </x:c>
      <x:c r="D2" s="3" t="s">
        <x:v>141</x:v>
      </x:c>
      <x:c r="E2" s="4" t="s">
        <x:v>568</x:v>
      </x:c>
      <x:c r="F2" s="4" t="s">
        <x:v>556</x:v>
      </x:c>
      <x:c r="G2" s="3" t="s">
        <x:v>569</x:v>
      </x:c>
      <x:c r="H2" s="3" t="s">
        <x:v>363</x:v>
      </x:c>
    </x:row>
    <x:row r="3" spans="1:8">
      <x:c r="A3" s="2" t="s">
        <x:v>603</x:v>
      </x:c>
      <x:c r="B3" s="2" t="s">
        <x:v>378</x:v>
      </x:c>
      <x:c r="C3" s="2" t="s">
        <x:v>375</x:v>
      </x:c>
      <x:c r="D3" s="2" t="str">
        <x:f>IF(LEFT(A3,1)="A","지사",IF(LEFT(A3,1)="B","본사",""))</x:f>
        <x:v>지사</x:v>
      </x:c>
      <x:c r="E3" s="50">
        <x:v>95</x:v>
      </x:c>
      <x:c r="F3" s="50">
        <x:v>89</x:v>
      </x:c>
      <x:c r="G3" s="2" t="str">
        <x:f>YEAR($H$1)-(MID(A3,4,2)+2000)&amp;"년"</x:f>
        <x:v>15년</x:v>
      </x:c>
      <x:c r="H3" s="2" t="str">
        <x:f>IF(_xlfn.RANK.EQ(F3,$F$3:$F$20,0)&lt;=3,CHOOSE(_xlfn.RANK.EQ(F3,$F$3:$F$20,0),"☆☆☆","☆☆","☆"),"")</x:f>
        <x:v>☆</x:v>
      </x:c>
    </x:row>
    <x:row r="4" spans="1:8">
      <x:c r="A4" s="2" t="s">
        <x:v>570</x:v>
      </x:c>
      <x:c r="B4" s="2" t="s">
        <x:v>92</x:v>
      </x:c>
      <x:c r="C4" s="2" t="s">
        <x:v>203</x:v>
      </x:c>
      <x:c r="D4" s="2" t="str">
        <x:f t="shared" ref="D4:D20" si="0">IF(LEFT(A4,1)="A","지사",IF(LEFT(A4,1)="B","본사",""))</x:f>
        <x:v>본사</x:v>
      </x:c>
      <x:c r="E4" s="50">
        <x:v>90</x:v>
      </x:c>
      <x:c r="F4" s="50">
        <x:v>72</x:v>
      </x:c>
      <x:c r="G4" s="2" t="str">
        <x:f t="shared" ref="G4:G20" si="1">YEAR($H$1)-(MID(A4,4,2)+2000)&amp;"년"</x:f>
        <x:v>4년</x:v>
      </x:c>
      <x:c r="H4" s="2" t="str">
        <x:f t="shared" ref="H4:H20" si="2">IF(_xlfn.RANK.EQ(F4,$F$3:$F$20,0)&lt;=3,CHOOSE(_xlfn.RANK.EQ(F4,$F$3:$F$20,0),"☆☆☆","☆☆","☆"),"")</x:f>
        <x:v/>
      </x:c>
    </x:row>
    <x:row r="5" spans="1:8">
      <x:c r="A5" s="2" t="s">
        <x:v>549</x:v>
      </x:c>
      <x:c r="B5" s="2" t="s">
        <x:v>186</x:v>
      </x:c>
      <x:c r="C5" s="2" t="s">
        <x:v>316</x:v>
      </x:c>
      <x:c r="D5" s="2" t="str">
        <x:f t="shared" si="0"/>
        <x:v>본사</x:v>
      </x:c>
      <x:c r="E5" s="50">
        <x:v>55</x:v>
      </x:c>
      <x:c r="F5" s="50">
        <x:v>38</x:v>
      </x:c>
      <x:c r="G5" s="2" t="str">
        <x:f t="shared" si="1"/>
        <x:v>10년</x:v>
      </x:c>
      <x:c r="H5" s="2" t="str">
        <x:f t="shared" si="2"/>
        <x:v/>
      </x:c>
    </x:row>
    <x:row r="6" spans="1:8">
      <x:c r="A6" s="2" t="s">
        <x:v>555</x:v>
      </x:c>
      <x:c r="B6" s="2" t="s">
        <x:v>186</x:v>
      </x:c>
      <x:c r="C6" s="2" t="s">
        <x:v>240</x:v>
      </x:c>
      <x:c r="D6" s="2" t="str">
        <x:f t="shared" si="0"/>
        <x:v>지사</x:v>
      </x:c>
      <x:c r="E6" s="50">
        <x:v>95</x:v>
      </x:c>
      <x:c r="F6" s="50">
        <x:v>79</x:v>
      </x:c>
      <x:c r="G6" s="2" t="str">
        <x:f t="shared" si="1"/>
        <x:v>21년</x:v>
      </x:c>
      <x:c r="H6" s="2" t="str">
        <x:f t="shared" si="2"/>
        <x:v/>
      </x:c>
    </x:row>
    <x:row r="7" spans="1:8">
      <x:c r="A7" s="2" t="s">
        <x:v>549</x:v>
      </x:c>
      <x:c r="B7" s="2" t="s">
        <x:v>186</x:v>
      </x:c>
      <x:c r="C7" s="2" t="s">
        <x:v>200</x:v>
      </x:c>
      <x:c r="D7" s="2" t="str">
        <x:f t="shared" si="0"/>
        <x:v>본사</x:v>
      </x:c>
      <x:c r="E7" s="50">
        <x:v>80</x:v>
      </x:c>
      <x:c r="F7" s="50">
        <x:v>76</x:v>
      </x:c>
      <x:c r="G7" s="2" t="str">
        <x:f t="shared" si="1"/>
        <x:v>10년</x:v>
      </x:c>
      <x:c r="H7" s="2" t="str">
        <x:f t="shared" si="2"/>
        <x:v/>
      </x:c>
    </x:row>
    <x:row r="8" spans="1:8">
      <x:c r="A8" s="2" t="s">
        <x:v>571</x:v>
      </x:c>
      <x:c r="B8" s="2" t="s">
        <x:v>92</x:v>
      </x:c>
      <x:c r="C8" s="2" t="s">
        <x:v>206</x:v>
      </x:c>
      <x:c r="D8" s="2" t="str">
        <x:f t="shared" si="0"/>
        <x:v/>
      </x:c>
      <x:c r="E8" s="2">
        <x:v>100</x:v>
      </x:c>
      <x:c r="F8" s="50">
        <x:v>72</x:v>
      </x:c>
      <x:c r="G8" s="2" t="str">
        <x:f t="shared" si="1"/>
        <x:v>13년</x:v>
      </x:c>
      <x:c r="H8" s="2" t="str">
        <x:f t="shared" si="2"/>
        <x:v/>
      </x:c>
    </x:row>
    <x:row r="9" spans="1:8">
      <x:c r="A9" s="2" t="s">
        <x:v>567</x:v>
      </x:c>
      <x:c r="B9" s="2" t="s">
        <x:v>378</x:v>
      </x:c>
      <x:c r="C9" s="2" t="s">
        <x:v>202</x:v>
      </x:c>
      <x:c r="D9" s="2" t="str">
        <x:f t="shared" si="0"/>
        <x:v>본사</x:v>
      </x:c>
      <x:c r="E9" s="50">
        <x:v>80</x:v>
      </x:c>
      <x:c r="F9" s="50">
        <x:v>63</x:v>
      </x:c>
      <x:c r="G9" s="2" t="str">
        <x:f t="shared" si="1"/>
        <x:v>11년</x:v>
      </x:c>
      <x:c r="H9" s="2" t="str">
        <x:f t="shared" si="2"/>
        <x:v/>
      </x:c>
    </x:row>
    <x:row r="10" spans="1:8">
      <x:c r="A10" s="2" t="s">
        <x:v>557</x:v>
      </x:c>
      <x:c r="B10" s="2" t="s">
        <x:v>378</x:v>
      </x:c>
      <x:c r="C10" s="2" t="s">
        <x:v>184</x:v>
      </x:c>
      <x:c r="D10" s="2" t="str">
        <x:f t="shared" si="0"/>
        <x:v/>
      </x:c>
      <x:c r="E10" s="50">
        <x:v>85</x:v>
      </x:c>
      <x:c r="F10" s="50">
        <x:v>79</x:v>
      </x:c>
      <x:c r="G10" s="2" t="str">
        <x:f t="shared" si="1"/>
        <x:v>15년</x:v>
      </x:c>
      <x:c r="H10" s="2" t="str">
        <x:f t="shared" si="2"/>
        <x:v/>
      </x:c>
    </x:row>
    <x:row r="11" spans="1:8">
      <x:c r="A11" s="2" t="s">
        <x:v>548</x:v>
      </x:c>
      <x:c r="B11" s="2" t="s">
        <x:v>186</x:v>
      </x:c>
      <x:c r="C11" s="2" t="s">
        <x:v>211</x:v>
      </x:c>
      <x:c r="D11" s="2" t="str">
        <x:f t="shared" si="0"/>
        <x:v/>
      </x:c>
      <x:c r="E11" s="50">
        <x:v>80</x:v>
      </x:c>
      <x:c r="F11" s="50">
        <x:v>56</x:v>
      </x:c>
      <x:c r="G11" s="2" t="str">
        <x:f t="shared" si="1"/>
        <x:v>5년</x:v>
      </x:c>
      <x:c r="H11" s="2" t="str">
        <x:f t="shared" si="2"/>
        <x:v/>
      </x:c>
    </x:row>
    <x:row r="12" spans="1:8">
      <x:c r="A12" s="2" t="s">
        <x:v>577</x:v>
      </x:c>
      <x:c r="B12" s="2" t="s">
        <x:v>186</x:v>
      </x:c>
      <x:c r="C12" s="2" t="s">
        <x:v>190</x:v>
      </x:c>
      <x:c r="D12" s="2" t="str">
        <x:f t="shared" si="0"/>
        <x:v>본사</x:v>
      </x:c>
      <x:c r="E12" s="50">
        <x:v>85</x:v>
      </x:c>
      <x:c r="F12" s="50">
        <x:v>57</x:v>
      </x:c>
      <x:c r="G12" s="2" t="str">
        <x:f t="shared" si="1"/>
        <x:v>8년</x:v>
      </x:c>
      <x:c r="H12" s="2" t="str">
        <x:f t="shared" si="2"/>
        <x:v/>
      </x:c>
    </x:row>
    <x:row r="13" spans="1:8">
      <x:c r="A13" s="2" t="s">
        <x:v>546</x:v>
      </x:c>
      <x:c r="B13" s="2" t="s">
        <x:v>186</x:v>
      </x:c>
      <x:c r="C13" s="2" t="s">
        <x:v>420</x:v>
      </x:c>
      <x:c r="D13" s="2" t="str">
        <x:f t="shared" si="0"/>
        <x:v/>
      </x:c>
      <x:c r="E13" s="50">
        <x:v>35</x:v>
      </x:c>
      <x:c r="F13" s="50">
        <x:v>28</x:v>
      </x:c>
      <x:c r="G13" s="2" t="str">
        <x:f t="shared" si="1"/>
        <x:v>8년</x:v>
      </x:c>
      <x:c r="H13" s="2" t="str">
        <x:f t="shared" si="2"/>
        <x:v/>
      </x:c>
    </x:row>
    <x:row r="14" spans="1:8">
      <x:c r="A14" s="2" t="s">
        <x:v>561</x:v>
      </x:c>
      <x:c r="B14" s="2" t="s">
        <x:v>378</x:v>
      </x:c>
      <x:c r="C14" s="2" t="s">
        <x:v>201</x:v>
      </x:c>
      <x:c r="D14" s="2" t="str">
        <x:f t="shared" si="0"/>
        <x:v>지사</x:v>
      </x:c>
      <x:c r="E14" s="50">
        <x:v>75</x:v>
      </x:c>
      <x:c r="F14" s="50">
        <x:v>74</x:v>
      </x:c>
      <x:c r="G14" s="2" t="str">
        <x:f t="shared" si="1"/>
        <x:v>16년</x:v>
      </x:c>
      <x:c r="H14" s="2" t="str">
        <x:f t="shared" si="2"/>
        <x:v/>
      </x:c>
    </x:row>
    <x:row r="15" spans="1:8">
      <x:c r="A15" s="2" t="s">
        <x:v>589</x:v>
      </x:c>
      <x:c r="B15" s="2" t="s">
        <x:v>92</x:v>
      </x:c>
      <x:c r="C15" s="2" t="s">
        <x:v>405</x:v>
      </x:c>
      <x:c r="D15" s="2" t="str">
        <x:f t="shared" si="0"/>
        <x:v>지사</x:v>
      </x:c>
      <x:c r="E15" s="50">
        <x:v>75</x:v>
      </x:c>
      <x:c r="F15" s="50">
        <x:v>36</x:v>
      </x:c>
      <x:c r="G15" s="2" t="str">
        <x:f t="shared" si="1"/>
        <x:v>20년</x:v>
      </x:c>
      <x:c r="H15" s="2" t="str">
        <x:f t="shared" si="2"/>
        <x:v/>
      </x:c>
    </x:row>
    <x:row r="16" spans="1:8">
      <x:c r="A16" s="2" t="s">
        <x:v>558</x:v>
      </x:c>
      <x:c r="B16" s="2" t="s">
        <x:v>378</x:v>
      </x:c>
      <x:c r="C16" s="2" t="s">
        <x:v>214</x:v>
      </x:c>
      <x:c r="D16" s="2" t="str">
        <x:f t="shared" si="0"/>
        <x:v/>
      </x:c>
      <x:c r="E16" s="50">
        <x:v>65</x:v>
      </x:c>
      <x:c r="F16" s="50">
        <x:v>77</x:v>
      </x:c>
      <x:c r="G16" s="2" t="str">
        <x:f t="shared" si="1"/>
        <x:v>11년</x:v>
      </x:c>
      <x:c r="H16" s="2" t="str">
        <x:f t="shared" si="2"/>
        <x:v/>
      </x:c>
    </x:row>
    <x:row r="17" spans="1:8">
      <x:c r="A17" s="2" t="s">
        <x:v>571</x:v>
      </x:c>
      <x:c r="B17" s="2" t="s">
        <x:v>92</x:v>
      </x:c>
      <x:c r="C17" s="2" t="s">
        <x:v>195</x:v>
      </x:c>
      <x:c r="D17" s="2" t="str">
        <x:f t="shared" si="0"/>
        <x:v/>
      </x:c>
      <x:c r="E17" s="2">
        <x:v>95</x:v>
      </x:c>
      <x:c r="F17" s="50">
        <x:v>93</x:v>
      </x:c>
      <x:c r="G17" s="2" t="str">
        <x:f t="shared" si="1"/>
        <x:v>13년</x:v>
      </x:c>
      <x:c r="H17" s="2" t="str">
        <x:f t="shared" si="2"/>
        <x:v>☆☆☆</x:v>
      </x:c>
    </x:row>
    <x:row r="18" spans="1:8">
      <x:c r="A18" s="2" t="s">
        <x:v>592</x:v>
      </x:c>
      <x:c r="B18" s="2" t="s">
        <x:v>378</x:v>
      </x:c>
      <x:c r="C18" s="2" t="s">
        <x:v>182</x:v>
      </x:c>
      <x:c r="D18" s="2" t="str">
        <x:f t="shared" si="0"/>
        <x:v>본사</x:v>
      </x:c>
      <x:c r="E18" s="50">
        <x:v>55</x:v>
      </x:c>
      <x:c r="F18" s="50">
        <x:v>54</x:v>
      </x:c>
      <x:c r="G18" s="2" t="str">
        <x:f t="shared" si="1"/>
        <x:v>11년</x:v>
      </x:c>
      <x:c r="H18" s="2" t="str">
        <x:f t="shared" si="2"/>
        <x:v/>
      </x:c>
    </x:row>
    <x:row r="19" spans="1:8">
      <x:c r="A19" s="2" t="s">
        <x:v>555</x:v>
      </x:c>
      <x:c r="B19" s="2" t="s">
        <x:v>186</x:v>
      </x:c>
      <x:c r="C19" s="2" t="s">
        <x:v>410</x:v>
      </x:c>
      <x:c r="D19" s="2" t="str">
        <x:f t="shared" si="0"/>
        <x:v>지사</x:v>
      </x:c>
      <x:c r="E19" s="2">
        <x:v>90</x:v>
      </x:c>
      <x:c r="F19" s="50">
        <x:v>91</x:v>
      </x:c>
      <x:c r="G19" s="2" t="str">
        <x:f t="shared" si="1"/>
        <x:v>21년</x:v>
      </x:c>
      <x:c r="H19" s="2" t="str">
        <x:f t="shared" si="2"/>
        <x:v>☆☆</x:v>
      </x:c>
    </x:row>
    <x:row r="20" spans="1:8">
      <x:c r="A20" s="2" t="s">
        <x:v>555</x:v>
      </x:c>
      <x:c r="B20" s="2" t="s">
        <x:v>186</x:v>
      </x:c>
      <x:c r="C20" s="2" t="s">
        <x:v>226</x:v>
      </x:c>
      <x:c r="D20" s="2" t="str">
        <x:f t="shared" si="0"/>
        <x:v>지사</x:v>
      </x:c>
      <x:c r="E20" s="50">
        <x:v>90</x:v>
      </x:c>
      <x:c r="F20" s="50">
        <x:v>82</x:v>
      </x:c>
      <x:c r="G20" s="2" t="str">
        <x:f t="shared" si="1"/>
        <x:v>21년</x:v>
      </x:c>
      <x:c r="H20" s="2" t="str">
        <x:f t="shared" si="2"/>
        <x:v/>
      </x:c>
    </x:row>
    <x:row r="21" spans="1:8">
      <x:c r="A21" s="81" t="s">
        <x:v>2</x:v>
      </x:c>
      <x:c r="B21" s="81"/>
      <x:c r="C21" s="81"/>
      <x:c r="D21" s="81"/>
      <x:c r="E21" s="81"/>
      <x:c r="F21" s="81"/>
      <x:c r="G21" s="96" t="str">
        <x:f>INDEX(A3:H20,MATCH(MAX(E3:E20),E3:E20,0),3)</x:f>
        <x:v>강경순</x:v>
      </x:c>
      <x:c r="H21" s="96"/>
    </x:row>
    <x:row r="22" spans="1:8">
      <x:c r="A22" s="81" t="s">
        <x:v>4</x:v>
      </x:c>
      <x:c r="B22" s="81"/>
      <x:c r="C22" s="81"/>
      <x:c r="D22" s="81"/>
      <x:c r="E22" s="81"/>
      <x:c r="F22" s="81"/>
      <x:c r="G22" s="96">
        <x:f>ROUND(DAVERAGE(A2:H20,6,$B$2:$B$3),2)</x:f>
        <x:v>72.670000000000002</x:v>
      </x:c>
      <x:c r="H22" s="96"/>
    </x:row>
  </x:sheetData>
  <x:mergeCells count="4">
    <x:mergeCell ref="A21:F21"/>
    <x:mergeCell ref="G21:H21"/>
    <x:mergeCell ref="A22:F22"/>
    <x:mergeCell ref="G22:H2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J32"/>
  <x:sheetViews>
    <x:sheetView topLeftCell="D22" zoomScale="150" zoomScaleNormal="150" zoomScaleSheetLayoutView="75" workbookViewId="0">
      <x:selection activeCell="K24" activeCellId="0" sqref="K24:K24"/>
    </x:sheetView>
  </x:sheetViews>
  <x:sheetFormatPr defaultColWidth="9" defaultRowHeight="16.39999999999999857891"/>
  <x:cols>
    <x:col min="1" max="1" width="14.625" style="11" customWidth="1"/>
    <x:col min="2" max="2" width="11" style="11" bestFit="1" customWidth="1"/>
    <x:col min="3" max="3" width="9" style="11" bestFit="1" customWidth="1"/>
    <x:col min="4" max="4" width="9.375" style="11" bestFit="1" customWidth="1"/>
    <x:col min="5" max="5" width="9" style="11" bestFit="1" customWidth="1"/>
    <x:col min="6" max="6" width="16.25" style="11" customWidth="1"/>
    <x:col min="7" max="7" width="15.125" style="11" bestFit="1" customWidth="1"/>
    <x:col min="8" max="8" width="11.125" style="11" bestFit="1" customWidth="1"/>
    <x:col min="9" max="9" width="15.875" style="11" bestFit="1" customWidth="1"/>
    <x:col min="10" max="10" width="11.125" style="11" bestFit="1" customWidth="1"/>
    <x:col min="11" max="16384" width="9" style="11"/>
  </x:cols>
  <x:sheetData>
    <x:row r="1" spans="1:7">
      <x:c r="A1" s="11" t="s">
        <x:v>445</x:v>
      </x:c>
      <x:c r="G1" s="11" t="s">
        <x:v>562</x:v>
      </x:c>
    </x:row>
    <x:row r="2" spans="1:9">
      <x:c r="A2" s="8" t="s">
        <x:v>340</x:v>
      </x:c>
      <x:c r="B2" s="8" t="s">
        <x:v>191</x:v>
      </x:c>
      <x:c r="C2" s="8" t="s">
        <x:v>199</x:v>
      </x:c>
      <x:c r="D2" s="8" t="s">
        <x:v>583</x:v>
      </x:c>
      <x:c r="E2" s="65" t="s">
        <x:v>574</x:v>
      </x:c>
      <x:c r="G2" s="8" t="s">
        <x:v>193</x:v>
      </x:c>
      <x:c r="H2" s="8" t="s">
        <x:v>204</x:v>
      </x:c>
      <x:c r="I2" s="8" t="s">
        <x:v>198</x:v>
      </x:c>
    </x:row>
    <x:row r="3" spans="1:9">
      <x:c r="A3" s="51">
        <x:v>44304</x:v>
      </x:c>
      <x:c r="B3" s="16" t="s">
        <x:v>205</x:v>
      </x:c>
      <x:c r="C3" s="16" t="s">
        <x:v>197</x:v>
      </x:c>
      <x:c r="D3" s="21">
        <x:v>60000</x:v>
      </x:c>
      <x:c r="E3" s="21">
        <x:f>TRUNC(D3/INDEX($I$3:$I$11,MATCH("호주",$G$3:$G$11,0),1))</x:f>
        <x:v>69</x:v>
      </x:c>
      <x:c r="G3" s="16" t="s">
        <x:v>185</x:v>
      </x:c>
      <x:c r="H3" s="16" t="s">
        <x:v>180</x:v>
      </x:c>
      <x:c r="I3" s="67">
        <x:v>1115</x:v>
      </x:c>
    </x:row>
    <x:row r="4" spans="1:9">
      <x:c r="A4" s="51">
        <x:v>44305</x:v>
      </x:c>
      <x:c r="B4" s="16" t="s">
        <x:v>205</x:v>
      </x:c>
      <x:c r="C4" s="16" t="s">
        <x:v>189</x:v>
      </x:c>
      <x:c r="D4" s="21">
        <x:v>120000</x:v>
      </x:c>
      <x:c r="E4" s="21">
        <x:f t="shared" ref="E4:E11" si="0">TRUNC(D4/INDEX($I$3:$I$11,MATCH("호주",$G$3:$G$11,0),1))</x:f>
        <x:v>139</x:v>
      </x:c>
      <x:c r="G4" s="16" t="s">
        <x:v>196</x:v>
      </x:c>
      <x:c r="H4" s="16" t="s">
        <x:v>183</x:v>
      </x:c>
      <x:c r="I4" s="67">
        <x:v>1024.3499999999999</x:v>
      </x:c>
    </x:row>
    <x:row r="5" spans="1:9">
      <x:c r="A5" s="51">
        <x:v>44305</x:v>
      </x:c>
      <x:c r="B5" s="16" t="s">
        <x:v>262</x:v>
      </x:c>
      <x:c r="C5" s="16" t="s">
        <x:v>236</x:v>
      </x:c>
      <x:c r="D5" s="21">
        <x:v>250000</x:v>
      </x:c>
      <x:c r="E5" s="21">
        <x:f t="shared" si="0"/>
        <x:v>289</x:v>
      </x:c>
      <x:c r="G5" s="16" t="s">
        <x:v>251</x:v>
      </x:c>
      <x:c r="H5" s="16" t="s">
        <x:v>235</x:v>
      </x:c>
      <x:c r="I5" s="67">
        <x:v>1333.99</x:v>
      </x:c>
    </x:row>
    <x:row r="6" spans="1:9">
      <x:c r="A6" s="51">
        <x:v>44305</x:v>
      </x:c>
      <x:c r="B6" s="16" t="s">
        <x:v>262</x:v>
      </x:c>
      <x:c r="C6" s="16" t="s">
        <x:v>234</x:v>
      </x:c>
      <x:c r="D6" s="21">
        <x:v>30000</x:v>
      </x:c>
      <x:c r="E6" s="21">
        <x:f t="shared" si="0"/>
        <x:v>34</x:v>
      </x:c>
      <x:c r="G6" s="16" t="s">
        <x:v>232</x:v>
      </x:c>
      <x:c r="H6" s="16" t="s">
        <x:v>215</x:v>
      </x:c>
      <x:c r="I6" s="67">
        <x:v>170.78</x:v>
      </x:c>
    </x:row>
    <x:row r="7" spans="1:9">
      <x:c r="A7" s="51">
        <x:v>44306</x:v>
      </x:c>
      <x:c r="B7" s="16" t="s">
        <x:v>575</x:v>
      </x:c>
      <x:c r="C7" s="16" t="s">
        <x:v>221</x:v>
      </x:c>
      <x:c r="D7" s="21">
        <x:v>45000</x:v>
      </x:c>
      <x:c r="E7" s="21">
        <x:f t="shared" si="0"/>
        <x:v>52</x:v>
      </x:c>
      <x:c r="G7" s="16" t="s">
        <x:v>238</x:v>
      </x:c>
      <x:c r="H7" s="16" t="s">
        <x:v>237</x:v>
      </x:c>
      <x:c r="I7" s="67">
        <x:v>143.53</x:v>
      </x:c>
    </x:row>
    <x:row r="8" spans="1:9">
      <x:c r="A8" s="51">
        <x:v>44306</x:v>
      </x:c>
      <x:c r="B8" s="16" t="s">
        <x:v>575</x:v>
      </x:c>
      <x:c r="C8" s="16" t="s">
        <x:v>602</x:v>
      </x:c>
      <x:c r="D8" s="21">
        <x:v>150000</x:v>
      </x:c>
      <x:c r="E8" s="21">
        <x:f t="shared" si="0"/>
        <x:v>173</x:v>
      </x:c>
      <x:c r="G8" s="16" t="s">
        <x:v>230</x:v>
      </x:c>
      <x:c r="H8" s="16" t="s">
        <x:v>213</x:v>
      </x:c>
      <x:c r="I8" s="67">
        <x:v>1532.01</x:v>
      </x:c>
    </x:row>
    <x:row r="9" spans="1:9">
      <x:c r="A9" s="51">
        <x:v>44307</x:v>
      </x:c>
      <x:c r="B9" s="16" t="s">
        <x:v>575</x:v>
      </x:c>
      <x:c r="C9" s="16" t="s">
        <x:v>217</x:v>
      </x:c>
      <x:c r="D9" s="21">
        <x:v>200000</x:v>
      </x:c>
      <x:c r="E9" s="21">
        <x:f t="shared" si="0"/>
        <x:v>231</x:v>
      </x:c>
      <x:c r="G9" s="16" t="s">
        <x:v>243</x:v>
      </x:c>
      <x:c r="H9" s="16" t="s">
        <x:v>222</x:v>
      </x:c>
      <x:c r="I9" s="67">
        <x:v>1209.8499999999999</x:v>
      </x:c>
    </x:row>
    <x:row r="10" spans="1:9">
      <x:c r="A10" s="51">
        <x:v>44307</x:v>
      </x:c>
      <x:c r="B10" s="16" t="s">
        <x:v>593</x:v>
      </x:c>
      <x:c r="C10" s="16" t="s">
        <x:v>225</x:v>
      </x:c>
      <x:c r="D10" s="21">
        <x:v>20000</x:v>
      </x:c>
      <x:c r="E10" s="21">
        <x:f t="shared" si="0"/>
        <x:v>23</x:v>
      </x:c>
      <x:c r="G10" s="16" t="s">
        <x:v>219</x:v>
      </x:c>
      <x:c r="H10" s="16" t="s">
        <x:v>252</x:v>
      </x:c>
      <x:c r="I10" s="67">
        <x:v>890.58000000000004</x:v>
      </x:c>
    </x:row>
    <x:row r="11" spans="1:9">
      <x:c r="A11" s="51">
        <x:v>44307</x:v>
      </x:c>
      <x:c r="B11" s="16" t="s">
        <x:v>593</x:v>
      </x:c>
      <x:c r="C11" s="16" t="s">
        <x:v>620</x:v>
      </x:c>
      <x:c r="D11" s="21">
        <x:v>25000</x:v>
      </x:c>
      <x:c r="E11" s="21">
        <x:f t="shared" si="0"/>
        <x:v>28</x:v>
      </x:c>
      <x:c r="G11" s="16" t="s">
        <x:v>229</x:v>
      </x:c>
      <x:c r="H11" s="16" t="s">
        <x:v>220</x:v>
      </x:c>
      <x:c r="I11" s="67">
        <x:v>862.89999999999998</x:v>
      </x:c>
    </x:row>
    <x:row r="13" spans="1:6">
      <x:c r="A13" s="45" t="s">
        <x:v>5</x:v>
      </x:c>
      <x:c r="B13" s="52"/>
      <x:c r="C13" s="52"/>
      <x:c r="D13" s="52"/>
      <x:c r="F13" s="73" t="s">
        <x:v>68</x:v>
      </x:c>
    </x:row>
    <x:row r="14" spans="1:9">
      <x:c r="A14" s="68" t="s">
        <x:v>400</x:v>
      </x:c>
      <x:c r="B14" s="68" t="s">
        <x:v>523</x:v>
      </x:c>
      <x:c r="C14" s="68" t="s">
        <x:v>512</x:v>
      </x:c>
      <x:c r="D14" s="69" t="s">
        <x:v>242</x:v>
      </x:c>
      <x:c r="F14" s="74" t="s">
        <x:v>368</x:v>
      </x:c>
      <x:c r="G14" s="8" t="s">
        <x:v>143</x:v>
      </x:c>
      <x:c r="H14" s="8" t="s">
        <x:v>241</x:v>
      </x:c>
      <x:c r="I14" s="55" t="s">
        <x:v>239</x:v>
      </x:c>
    </x:row>
    <x:row r="15" spans="1:9">
      <x:c r="A15" s="70" t="s">
        <x:v>113</x:v>
      </x:c>
      <x:c r="B15" s="71">
        <x:v>0.38194444444444442</x:v>
      </x:c>
      <x:c r="C15" s="71">
        <x:v>0.4236111111111111</x:v>
      </x:c>
      <x:c r="D15" s="72">
        <x:f>HOUR(C15-B15)*6*65+MINUTE((C15-B15)/10*65)</x:f>
        <x:v>420</x:v>
      </x:c>
      <x:c r="F15" s="75" t="s">
        <x:v>615</x:v>
      </x:c>
      <x:c r="G15" s="16" t="s">
        <x:v>634</x:v>
      </x:c>
      <x:c r="H15" s="51">
        <x:v>43958</x:v>
      </x:c>
      <x:c r="I15" s="16" t="str">
        <x:f>IF(MONTH(H15)&lt;=6,"수시",IF(MONTH(H15)=9,"정시",""))</x:f>
        <x:v>수시</x:v>
      </x:c>
    </x:row>
    <x:row r="16" spans="1:9">
      <x:c r="A16" s="70" t="s">
        <x:v>192</x:v>
      </x:c>
      <x:c r="B16" s="71">
        <x:v>0.3888888888888889</x:v>
      </x:c>
      <x:c r="C16" s="71">
        <x:v>0.41666666666666669</x:v>
      </x:c>
      <x:c r="D16" s="72">
        <x:f t="shared" ref="D16:D22" si="1">HOUR(C16-B16)*6*65+MINUTE((C16-B16)/10*65)</x:f>
        <x:v>20</x:v>
      </x:c>
      <x:c r="F16" s="75" t="s">
        <x:v>630</x:v>
      </x:c>
      <x:c r="G16" s="16" t="s">
        <x:v>623</x:v>
      </x:c>
      <x:c r="H16" s="51">
        <x:v>44002</x:v>
      </x:c>
      <x:c r="I16" s="16" t="str">
        <x:f t="shared" ref="I16:I22" si="2">IF(MONTH(H16)&lt;=6,"수시",IF(MONTH(H16)=9,"정시",""))</x:f>
        <x:v>수시</x:v>
      </x:c>
    </x:row>
    <x:row r="17" spans="1:9">
      <x:c r="A17" s="70" t="s">
        <x:v>181</x:v>
      </x:c>
      <x:c r="B17" s="71">
        <x:v>0.38541666666666669</x:v>
      </x:c>
      <x:c r="C17" s="71">
        <x:v>0.44791666666666669</x:v>
      </x:c>
      <x:c r="D17" s="72">
        <x:f t="shared" si="1"/>
        <x:v>435</x:v>
      </x:c>
      <x:c r="F17" s="75" t="s">
        <x:v>578</x:v>
      </x:c>
      <x:c r="G17" s="16" t="s">
        <x:v>634</x:v>
      </x:c>
      <x:c r="H17" s="51">
        <x:v>44012</x:v>
      </x:c>
      <x:c r="I17" s="16" t="str">
        <x:f t="shared" si="2"/>
        <x:v>수시</x:v>
      </x:c>
    </x:row>
    <x:row r="18" spans="1:9">
      <x:c r="A18" s="70" t="s">
        <x:v>210</x:v>
      </x:c>
      <x:c r="B18" s="71">
        <x:v>0.40625</x:v>
      </x:c>
      <x:c r="C18" s="71">
        <x:v>0.57291666666666663</x:v>
      </x:c>
      <x:c r="D18" s="72">
        <x:f t="shared" si="1"/>
        <x:v>1560</x:v>
      </x:c>
      <x:c r="F18" s="75" t="s">
        <x:v>579</x:v>
      </x:c>
      <x:c r="G18" s="16" t="s">
        <x:v>623</x:v>
      </x:c>
      <x:c r="H18" s="51">
        <x:v>44042</x:v>
      </x:c>
      <x:c r="I18" s="16" t="str">
        <x:f t="shared" si="2"/>
        <x:v/>
      </x:c>
    </x:row>
    <x:row r="19" spans="1:9">
      <x:c r="A19" s="70" t="s">
        <x:v>107</x:v>
      </x:c>
      <x:c r="B19" s="71">
        <x:v>0.39583333333333331</x:v>
      </x:c>
      <x:c r="C19" s="71">
        <x:v>0.67708333333333337</x:v>
      </x:c>
      <x:c r="D19" s="72">
        <x:f t="shared" si="1"/>
        <x:v>2392</x:v>
      </x:c>
      <x:c r="F19" s="75" t="s">
        <x:v>588</x:v>
      </x:c>
      <x:c r="G19" s="16" t="s">
        <x:v>634</x:v>
      </x:c>
      <x:c r="H19" s="51">
        <x:v>44058</x:v>
      </x:c>
      <x:c r="I19" s="16" t="str">
        <x:f t="shared" si="2"/>
        <x:v/>
      </x:c>
    </x:row>
    <x:row r="20" spans="1:9">
      <x:c r="A20" s="70" t="s">
        <x:v>227</x:v>
      </x:c>
      <x:c r="B20" s="71">
        <x:v>0.39930555555555558</x:v>
      </x:c>
      <x:c r="C20" s="71">
        <x:v>0.45833333333333331</x:v>
      </x:c>
      <x:c r="D20" s="72">
        <x:f t="shared" si="1"/>
        <x:v>402</x:v>
      </x:c>
      <x:c r="F20" s="75" t="s">
        <x:v>597</x:v>
      </x:c>
      <x:c r="G20" s="16" t="s">
        <x:v>623</x:v>
      </x:c>
      <x:c r="H20" s="51">
        <x:v>44095</x:v>
      </x:c>
      <x:c r="I20" s="16" t="str">
        <x:f t="shared" si="2"/>
        <x:v>정시</x:v>
      </x:c>
    </x:row>
    <x:row r="21" spans="1:9">
      <x:c r="A21" s="70" t="s">
        <x:v>223</x:v>
      </x:c>
      <x:c r="B21" s="71">
        <x:v>0.38541666666666669</x:v>
      </x:c>
      <x:c r="C21" s="71">
        <x:v>0.44791666666666669</x:v>
      </x:c>
      <x:c r="D21" s="72">
        <x:f t="shared" si="1"/>
        <x:v>435</x:v>
      </x:c>
      <x:c r="F21" s="75" t="s">
        <x:v>600</x:v>
      </x:c>
      <x:c r="G21" s="16" t="s">
        <x:v>634</x:v>
      </x:c>
      <x:c r="H21" s="51">
        <x:v>44099</x:v>
      </x:c>
      <x:c r="I21" s="16" t="str">
        <x:f t="shared" si="2"/>
        <x:v>정시</x:v>
      </x:c>
    </x:row>
    <x:row r="22" spans="1:9">
      <x:c r="A22" s="70" t="s">
        <x:v>228</x:v>
      </x:c>
      <x:c r="B22" s="71">
        <x:v>0.40625</x:v>
      </x:c>
      <x:c r="C22" s="71">
        <x:v>0.60416666666666663</x:v>
      </x:c>
      <x:c r="D22" s="72">
        <x:f t="shared" si="1"/>
        <x:v>1612</x:v>
      </x:c>
      <x:c r="F22" s="75" t="s">
        <x:v>586</x:v>
      </x:c>
      <x:c r="G22" s="16" t="s">
        <x:v>623</x:v>
      </x:c>
      <x:c r="H22" s="51">
        <x:v>44114</x:v>
      </x:c>
      <x:c r="I22" s="16" t="str">
        <x:f t="shared" si="2"/>
        <x:v/>
      </x:c>
    </x:row>
    <x:row r="24" spans="1:7">
      <x:c r="A24" s="53" t="s">
        <x:v>430</x:v>
      </x:c>
      <x:c r="G24" s="9" t="s">
        <x:v>455</x:v>
      </x:c>
    </x:row>
    <x:row r="25" spans="1:10">
      <x:c r="A25" s="54" t="s">
        <x:v>340</x:v>
      </x:c>
      <x:c r="B25" s="54" t="s">
        <x:v>212</x:v>
      </x:c>
      <x:c r="C25" s="54" t="s">
        <x:v>233</x:v>
      </x:c>
      <x:c r="D25" s="54" t="s">
        <x:v>224</x:v>
      </x:c>
      <x:c r="E25" s="54" t="s">
        <x:v>231</x:v>
      </x:c>
      <x:c r="G25" s="8" t="s">
        <x:v>290</x:v>
      </x:c>
      <x:c r="H25" s="8" t="s">
        <x:v>608</x:v>
      </x:c>
      <x:c r="I25" s="8" t="s">
        <x:v>471</x:v>
      </x:c>
      <x:c r="J25" s="56" t="s">
        <x:v>591</x:v>
      </x:c>
    </x:row>
    <x:row r="26" spans="1:10">
      <x:c r="A26" s="77">
        <x:v>44562</x:v>
      </x:c>
      <x:c r="B26" s="78" t="s">
        <x:v>216</x:v>
      </x:c>
      <x:c r="C26" s="79">
        <x:v>10</x:v>
      </x:c>
      <x:c r="D26" s="79">
        <x:v>1000</x:v>
      </x:c>
      <x:c r="E26" s="80">
        <x:f>C26*D26</x:f>
        <x:v>10000</x:v>
      </x:c>
      <x:c r="G26" s="57" t="s">
        <x:v>95</x:v>
      </x:c>
      <x:c r="H26" s="16" t="s">
        <x:v>590</x:v>
      </x:c>
      <x:c r="I26" s="57" t="s">
        <x:v>69</x:v>
      </x:c>
      <x:c r="J26" s="51">
        <x:f>DATE(LEFT(H26,2)+2005,MID(I26,3,2),MID(I26,5,2))</x:f>
        <x:v>44137</x:v>
      </x:c>
    </x:row>
    <x:row r="27" spans="1:10">
      <x:c r="A27" s="77">
        <x:v>44562</x:v>
      </x:c>
      <x:c r="B27" s="78" t="s">
        <x:v>218</x:v>
      </x:c>
      <x:c r="C27" s="79">
        <x:v>15</x:v>
      </x:c>
      <x:c r="D27" s="79">
        <x:v>1500</x:v>
      </x:c>
      <x:c r="E27" s="80">
        <x:f t="shared" ref="E27:E31" si="3">C27*D27</x:f>
        <x:v>22500</x:v>
      </x:c>
      <x:c r="G27" s="57" t="s">
        <x:v>361</x:v>
      </x:c>
      <x:c r="H27" s="16" t="s">
        <x:v>594</x:v>
      </x:c>
      <x:c r="I27" s="57" t="s">
        <x:v>67</x:v>
      </x:c>
      <x:c r="J27" s="51">
        <x:f t="shared" ref="J27:J32" si="4">DATE(LEFT(H27,2)+2005,MID(I27,3,2),MID(I27,5,2))</x:f>
        <x:v>43395</x:v>
      </x:c>
    </x:row>
    <x:row r="28" spans="1:10">
      <x:c r="A28" s="77">
        <x:v>44563</x:v>
      </x:c>
      <x:c r="B28" s="78" t="s">
        <x:v>216</x:v>
      </x:c>
      <x:c r="C28" s="79">
        <x:v>5</x:v>
      </x:c>
      <x:c r="D28" s="79">
        <x:v>1000</x:v>
      </x:c>
      <x:c r="E28" s="80">
        <x:f t="shared" si="3"/>
        <x:v>5000</x:v>
      </x:c>
      <x:c r="G28" s="57" t="s">
        <x:v>250</x:v>
      </x:c>
      <x:c r="H28" s="16" t="s">
        <x:v>613</x:v>
      </x:c>
      <x:c r="I28" s="57" t="s">
        <x:v>21</x:v>
      </x:c>
      <x:c r="J28" s="51">
        <x:f t="shared" si="4"/>
        <x:v>41680</x:v>
      </x:c>
    </x:row>
    <x:row r="29" spans="1:10">
      <x:c r="A29" s="77">
        <x:v>44563</x:v>
      </x:c>
      <x:c r="B29" s="78" t="s">
        <x:v>218</x:v>
      </x:c>
      <x:c r="C29" s="79">
        <x:v>20</x:v>
      </x:c>
      <x:c r="D29" s="79">
        <x:v>1500</x:v>
      </x:c>
      <x:c r="E29" s="80">
        <x:f t="shared" si="3"/>
        <x:v>30000</x:v>
      </x:c>
      <x:c r="G29" s="57" t="s">
        <x:v>317</x:v>
      </x:c>
      <x:c r="H29" s="16" t="s">
        <x:v>584</x:v>
      </x:c>
      <x:c r="I29" s="57" t="s">
        <x:v>22</x:v>
      </x:c>
      <x:c r="J29" s="51">
        <x:f t="shared" si="4"/>
        <x:v>42439</x:v>
      </x:c>
    </x:row>
    <x:row r="30" spans="1:10">
      <x:c r="A30" s="77">
        <x:v>44564</x:v>
      </x:c>
      <x:c r="B30" s="78" t="s">
        <x:v>216</x:v>
      </x:c>
      <x:c r="C30" s="79">
        <x:v>8</x:v>
      </x:c>
      <x:c r="D30" s="79">
        <x:v>1000</x:v>
      </x:c>
      <x:c r="E30" s="80">
        <x:f t="shared" si="3"/>
        <x:v>8000</x:v>
      </x:c>
      <x:c r="G30" s="57" t="s">
        <x:v>425</x:v>
      </x:c>
      <x:c r="H30" s="16" t="s">
        <x:v>601</x:v>
      </x:c>
      <x:c r="I30" s="57" t="s">
        <x:v>23</x:v>
      </x:c>
      <x:c r="J30" s="51">
        <x:f t="shared" si="4"/>
        <x:v>41455</x:v>
      </x:c>
    </x:row>
    <x:row r="31" spans="1:10">
      <x:c r="A31" s="77">
        <x:v>44564</x:v>
      </x:c>
      <x:c r="B31" s="78" t="s">
        <x:v>218</x:v>
      </x:c>
      <x:c r="C31" s="79">
        <x:v>12</x:v>
      </x:c>
      <x:c r="D31" s="79">
        <x:v>1500</x:v>
      </x:c>
      <x:c r="E31" s="80">
        <x:f t="shared" si="3"/>
        <x:v>18000</x:v>
      </x:c>
      <x:c r="G31" s="57" t="s">
        <x:v>272</x:v>
      </x:c>
      <x:c r="H31" s="16" t="s">
        <x:v>587</x:v>
      </x:c>
      <x:c r="I31" s="57" t="s">
        <x:v>20</x:v>
      </x:c>
      <x:c r="J31" s="51">
        <x:f t="shared" si="4"/>
        <x:v>43606</x:v>
      </x:c>
    </x:row>
    <x:row r="32" spans="1:10">
      <x:c r="A32" s="83" t="s">
        <x:v>48</x:v>
      </x:c>
      <x:c r="B32" s="83"/>
      <x:c r="C32" s="83"/>
      <x:c r="D32" s="83"/>
      <x:c r="E32" s="21">
        <x:f>SUMIF(B26:B31,"바나나",E26:E31)/COUNTIF(B26:B31,"바나나")</x:f>
        <x:v>23500</x:v>
      </x:c>
      <x:c r="G32" s="57" t="s">
        <x:v>344</x:v>
      </x:c>
      <x:c r="H32" s="16" t="s">
        <x:v>596</x:v>
      </x:c>
      <x:c r="I32" s="57" t="s">
        <x:v>57</x:v>
      </x:c>
      <x:c r="J32" s="51">
        <x:f t="shared" si="4"/>
        <x:v>42822</x:v>
      </x:c>
    </x:row>
  </x:sheetData>
  <x:mergeCells count="1">
    <x:mergeCell ref="A32:D32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33"/>
  <x:sheetViews>
    <x:sheetView tabSelected="1" topLeftCell="E22" zoomScale="150" zoomScaleNormal="150" zoomScaleSheetLayoutView="75" workbookViewId="0">
      <x:selection activeCell="K34" activeCellId="0" sqref="K34:K34"/>
    </x:sheetView>
  </x:sheetViews>
  <x:sheetFormatPr defaultColWidth="9" defaultRowHeight="16.39999999999999857891"/>
  <x:cols>
    <x:col min="7" max="7" width="10.75" customWidth="1"/>
    <x:col min="9" max="9" width="9" style="1"/>
    <x:col min="10" max="10" width="10.5" customWidth="1"/>
    <x:col min="11" max="11" width="3.375" customWidth="1"/>
    <x:col min="12" max="12" width="16.625" bestFit="1" customWidth="1"/>
    <x:col min="16" max="16" width="11.5" customWidth="1"/>
  </x:cols>
  <x:sheetData>
    <x:row r="1" spans="1:6">
      <x:c r="A1" t="s">
        <x:v>445</x:v>
      </x:c>
      <x:c r="F1" t="s">
        <x:v>470</x:v>
      </x:c>
    </x:row>
    <x:row r="2" spans="1:9">
      <x:c r="A2" s="4" t="s">
        <x:v>605</x:v>
      </x:c>
      <x:c r="B2" s="4" t="s">
        <x:v>321</x:v>
      </x:c>
      <x:c r="C2" s="4" t="s">
        <x:v>355</x:v>
      </x:c>
      <x:c r="D2" s="4" t="s">
        <x:v>599</x:v>
      </x:c>
      <x:c r="F2" s="4" t="s">
        <x:v>290</x:v>
      </x:c>
      <x:c r="G2" s="4" t="s">
        <x:v>248</x:v>
      </x:c>
      <x:c r="H2" s="4" t="s">
        <x:v>598</x:v>
      </x:c>
      <x:c r="I2" s="4" t="s">
        <x:v>604</x:v>
      </x:c>
    </x:row>
    <x:row r="3" spans="1:9">
      <x:c r="A3" s="58">
        <x:v>1</x:v>
      </x:c>
      <x:c r="B3" s="2" t="s">
        <x:v>78</x:v>
      </x:c>
      <x:c r="C3" s="2" t="s">
        <x:v>378</x:v>
      </x:c>
      <x:c r="D3" s="2">
        <x:v>968</x:v>
      </x:c>
      <x:c r="F3" s="2" t="s">
        <x:v>372</x:v>
      </x:c>
      <x:c r="G3" s="59">
        <x:v>45030</x:v>
      </x:c>
      <x:c r="H3" s="60">
        <x:v>0.375</x:v>
      </x:c>
      <x:c r="I3" s="2">
        <x:v>95</x:v>
      </x:c>
    </x:row>
    <x:row r="4" spans="1:9">
      <x:c r="A4" s="58">
        <x:v>2</x:v>
      </x:c>
      <x:c r="B4" s="2" t="s">
        <x:v>85</x:v>
      </x:c>
      <x:c r="C4" s="2" t="s">
        <x:v>186</x:v>
      </x:c>
      <x:c r="D4" s="2">
        <x:v>957</x:v>
      </x:c>
      <x:c r="F4" s="2" t="s">
        <x:v>296</x:v>
      </x:c>
      <x:c r="G4" s="59">
        <x:v>45021</x:v>
      </x:c>
      <x:c r="H4" s="60">
        <x:v>0.45833333333333331</x:v>
      </x:c>
      <x:c r="I4" s="2">
        <x:v>70</x:v>
      </x:c>
    </x:row>
    <x:row r="5" spans="1:9">
      <x:c r="A5" s="58">
        <x:v>3</x:v>
      </x:c>
      <x:c r="B5" s="2" t="s">
        <x:v>74</x:v>
      </x:c>
      <x:c r="C5" s="2" t="s">
        <x:v>378</x:v>
      </x:c>
      <x:c r="D5" s="2">
        <x:v>977</x:v>
      </x:c>
      <x:c r="F5" s="2" t="s">
        <x:v>95</x:v>
      </x:c>
      <x:c r="G5" s="59">
        <x:v>45021</x:v>
      </x:c>
      <x:c r="H5" s="60">
        <x:v>0.45833333333333331</x:v>
      </x:c>
      <x:c r="I5" s="2">
        <x:v>97</x:v>
      </x:c>
    </x:row>
    <x:row r="6" spans="1:9">
      <x:c r="A6" s="58">
        <x:v>4</x:v>
      </x:c>
      <x:c r="B6" s="2" t="s">
        <x:v>84</x:v>
      </x:c>
      <x:c r="C6" s="2" t="s">
        <x:v>186</x:v>
      </x:c>
      <x:c r="D6" s="2">
        <x:v>906</x:v>
      </x:c>
      <x:c r="F6" s="2" t="s">
        <x:v>407</x:v>
      </x:c>
      <x:c r="G6" s="59">
        <x:v>45030</x:v>
      </x:c>
      <x:c r="H6" s="60">
        <x:v>0.375</x:v>
      </x:c>
      <x:c r="I6" s="2">
        <x:v>68</x:v>
      </x:c>
    </x:row>
    <x:row r="7" spans="1:9">
      <x:c r="A7" s="58">
        <x:v>5</x:v>
      </x:c>
      <x:c r="B7" s="2" t="s">
        <x:v>85</x:v>
      </x:c>
      <x:c r="C7" s="2" t="s">
        <x:v>186</x:v>
      </x:c>
      <x:c r="D7" s="2">
        <x:v>829</x:v>
      </x:c>
      <x:c r="F7" s="2" t="s">
        <x:v>375</x:v>
      </x:c>
      <x:c r="G7" s="59">
        <x:v>45022</x:v>
      </x:c>
      <x:c r="H7" s="60">
        <x:v>0.375</x:v>
      </x:c>
      <x:c r="I7" s="2">
        <x:v>62</x:v>
      </x:c>
    </x:row>
    <x:row r="8" spans="1:9">
      <x:c r="A8" s="58">
        <x:v>6</x:v>
      </x:c>
      <x:c r="B8" s="2" t="s">
        <x:v>75</x:v>
      </x:c>
      <x:c r="C8" s="2" t="s">
        <x:v>378</x:v>
      </x:c>
      <x:c r="D8" s="2">
        <x:v>882</x:v>
      </x:c>
      <x:c r="F8" s="2" t="s">
        <x:v>303</x:v>
      </x:c>
      <x:c r="G8" s="59">
        <x:v>45022</x:v>
      </x:c>
      <x:c r="H8" s="60">
        <x:v>0.45833333333333331</x:v>
      </x:c>
      <x:c r="I8" s="2">
        <x:v>98</x:v>
      </x:c>
    </x:row>
    <x:row r="9" spans="1:9">
      <x:c r="A9" s="58">
        <x:v>7</x:v>
      </x:c>
      <x:c r="B9" s="2" t="s">
        <x:v>86</x:v>
      </x:c>
      <x:c r="C9" s="2" t="s">
        <x:v>186</x:v>
      </x:c>
      <x:c r="D9" s="2">
        <x:v>934</x:v>
      </x:c>
      <x:c r="F9" s="2" t="s">
        <x:v>415</x:v>
      </x:c>
      <x:c r="G9" s="59">
        <x:v>45033</x:v>
      </x:c>
      <x:c r="H9" s="60">
        <x:v>0.375</x:v>
      </x:c>
      <x:c r="I9" s="2">
        <x:v>75</x:v>
      </x:c>
    </x:row>
    <x:row r="10" spans="1:9">
      <x:c r="A10" s="58">
        <x:v>8</x:v>
      </x:c>
      <x:c r="B10" s="2" t="s">
        <x:v>74</x:v>
      </x:c>
      <x:c r="C10" s="2" t="s">
        <x:v>378</x:v>
      </x:c>
      <x:c r="D10" s="2">
        <x:v>761</x:v>
      </x:c>
      <x:c r="F10" s="2" t="s">
        <x:v>421</x:v>
      </x:c>
      <x:c r="G10" s="59">
        <x:v>45033</x:v>
      </x:c>
      <x:c r="H10" s="60">
        <x:v>0.45833333333333331</x:v>
      </x:c>
      <x:c r="I10" s="2">
        <x:v>65</x:v>
      </x:c>
    </x:row>
    <x:row r="11" spans="1:9">
      <x:c r="A11" s="92" t="s">
        <x:v>7</x:v>
      </x:c>
      <x:c r="B11" s="92"/>
      <x:c r="C11" s="92"/>
      <x:c r="D11" s="2">
        <x:f>AVERAGEIF(C3:C10,"생산부",D3:D10)-AVERAGE(D3:D10)</x:f>
        <x:v>-4.75</x:v>
      </x:c>
      <x:c r="F11" s="81" t="s">
        <x:v>56</x:v>
      </x:c>
      <x:c r="G11" s="81"/>
      <x:c r="H11" s="81"/>
      <x:c r="I11" s="2" t="str">
        <x:f>INDEX(F3:F10,MATCH(LARGE(I3:I10,3),I3:I10,0),1)</x:f>
        <x:v>우명관</x:v>
      </x:c>
    </x:row>
    <x:row r="13" spans="1:1">
      <x:c r="A13" t="s">
        <x:v>438</x:v>
      </x:c>
    </x:row>
    <x:row r="14" spans="1:9">
      <x:c r="A14" s="2" t="s">
        <x:v>290</x:v>
      </x:c>
      <x:c r="B14" s="2" t="s">
        <x:v>605</x:v>
      </x:c>
      <x:c r="C14" s="2" t="s">
        <x:v>576</x:v>
      </x:c>
      <x:c r="D14" s="3" t="s">
        <x:v>254</x:v>
      </x:c>
      <x:c r="F14" s="76" t="s">
        <x:v>609</x:v>
      </x:c>
      <x:c r="I14"/>
    </x:row>
    <x:row r="15" spans="1:9">
      <x:c r="A15" s="2" t="s">
        <x:v>244</x:v>
      </x:c>
      <x:c r="B15" s="2" t="s">
        <x:v>635</x:v>
      </x:c>
      <x:c r="C15" s="2" t="s">
        <x:v>271</x:v>
      </x:c>
      <x:c r="D15" s="2" t="str">
        <x:f>HLOOKUP(LEFT(B15,1),$G$15:$I$16,2,0)</x:f>
        <x:v>춘천</x:v>
      </x:c>
      <x:c r="F15" s="4" t="s">
        <x:v>576</x:v>
      </x:c>
      <x:c r="G15" s="2" t="s">
        <x:v>100</x:v>
      </x:c>
      <x:c r="H15" s="2" t="s">
        <x:v>403</x:v>
      </x:c>
      <x:c r="I15" s="2" t="s">
        <x:v>99</x:v>
      </x:c>
    </x:row>
    <x:row r="16" spans="1:9">
      <x:c r="A16" s="2" t="s">
        <x:v>282</x:v>
      </x:c>
      <x:c r="B16" s="2" t="s">
        <x:v>619</x:v>
      </x:c>
      <x:c r="C16" s="2" t="s">
        <x:v>275</x:v>
      </x:c>
      <x:c r="D16" s="2" t="str">
        <x:f t="shared" ref="D16:D22" si="0">HLOOKUP(LEFT(B16,1),$G$15:$I$16,2,0)</x:f>
        <x:v>춘천</x:v>
      </x:c>
      <x:c r="F16" s="4" t="s">
        <x:v>626</x:v>
      </x:c>
      <x:c r="G16" s="2" t="s">
        <x:v>104</x:v>
      </x:c>
      <x:c r="H16" s="2" t="s">
        <x:v>255</x:v>
      </x:c>
      <x:c r="I16" s="2" t="s">
        <x:v>265</x:v>
      </x:c>
    </x:row>
    <x:row r="17" spans="1:9">
      <x:c r="A17" s="2" t="s">
        <x:v>259</x:v>
      </x:c>
      <x:c r="B17" s="2" t="s">
        <x:v>612</x:v>
      </x:c>
      <x:c r="C17" s="2" t="s">
        <x:v>271</x:v>
      </x:c>
      <x:c r="D17" s="2" t="str">
        <x:f t="shared" si="0"/>
        <x:v>전주</x:v>
      </x:c>
      <x:c r="I17"/>
    </x:row>
    <x:row r="18" spans="1:9">
      <x:c r="A18" s="2" t="s">
        <x:v>249</x:v>
      </x:c>
      <x:c r="B18" s="2" t="s">
        <x:v>636</x:v>
      </x:c>
      <x:c r="C18" s="2" t="s">
        <x:v>275</x:v>
      </x:c>
      <x:c r="D18" s="2" t="str">
        <x:f t="shared" si="0"/>
        <x:v>춘천</x:v>
      </x:c>
      <x:c r="I18"/>
    </x:row>
    <x:row r="19" spans="1:9">
      <x:c r="A19" s="2" t="s">
        <x:v>257</x:v>
      </x:c>
      <x:c r="B19" s="2" t="s">
        <x:v>611</x:v>
      </x:c>
      <x:c r="C19" s="2" t="s">
        <x:v>271</x:v>
      </x:c>
      <x:c r="D19" s="2" t="str">
        <x:f t="shared" si="0"/>
        <x:v>전주</x:v>
      </x:c>
      <x:c r="I19"/>
    </x:row>
    <x:row r="20" spans="1:9">
      <x:c r="A20" s="2" t="s">
        <x:v>246</x:v>
      </x:c>
      <x:c r="B20" s="2" t="s">
        <x:v>637</x:v>
      </x:c>
      <x:c r="C20" s="2" t="s">
        <x:v>275</x:v>
      </x:c>
      <x:c r="D20" s="2" t="str">
        <x:f t="shared" si="0"/>
        <x:v>남원</x:v>
      </x:c>
      <x:c r="I20"/>
    </x:row>
    <x:row r="21" spans="1:9">
      <x:c r="A21" s="2" t="s">
        <x:v>260</x:v>
      </x:c>
      <x:c r="B21" s="2" t="s">
        <x:v>614</x:v>
      </x:c>
      <x:c r="C21" s="2" t="s">
        <x:v>271</x:v>
      </x:c>
      <x:c r="D21" s="2" t="str">
        <x:f t="shared" si="0"/>
        <x:v>남원</x:v>
      </x:c>
      <x:c r="I21"/>
    </x:row>
    <x:row r="22" spans="1:9">
      <x:c r="A22" s="2" t="s">
        <x:v>270</x:v>
      </x:c>
      <x:c r="B22" s="2" t="s">
        <x:v>612</x:v>
      </x:c>
      <x:c r="C22" s="2" t="s">
        <x:v>275</x:v>
      </x:c>
      <x:c r="D22" s="2" t="str">
        <x:f t="shared" si="0"/>
        <x:v>전주</x:v>
      </x:c>
      <x:c r="I22"/>
    </x:row>
    <x:row r="24" spans="1:6">
      <x:c r="A24" s="5" t="s">
        <x:v>430</x:v>
      </x:c>
      <x:c r="F24" t="s">
        <x:v>455</x:v>
      </x:c>
    </x:row>
    <x:row r="25" spans="1:12">
      <x:c r="A25" s="4" t="s">
        <x:v>632</x:v>
      </x:c>
      <x:c r="B25" s="4" t="s">
        <x:v>607</x:v>
      </x:c>
      <x:c r="C25" s="4" t="s">
        <x:v>158</x:v>
      </x:c>
      <x:c r="D25" s="3" t="s">
        <x:v>347</x:v>
      </x:c>
      <x:c r="F25" s="2" t="s">
        <x:v>365</x:v>
      </x:c>
      <x:c r="G25" s="2" t="s">
        <x:v>290</x:v>
      </x:c>
      <x:c r="H25" s="2" t="s">
        <x:v>258</x:v>
      </x:c>
      <x:c r="I25" s="2" t="s">
        <x:v>247</x:v>
      </x:c>
      <x:c r="J25" s="3" t="s">
        <x:v>134</x:v>
      </x:c>
      <x:c r="L25" t="s">
        <x:v>610</x:v>
      </x:c>
    </x:row>
    <x:row r="26" spans="1:16">
      <x:c r="A26" s="2" t="s">
        <x:v>606</x:v>
      </x:c>
      <x:c r="B26" s="2" t="s">
        <x:v>104</x:v>
      </x:c>
      <x:c r="C26" s="42">
        <x:v>11.805999999999999</x:v>
      </x:c>
      <x:c r="D26" s="2" t="str">
        <x:f>IF(_xlfn.RANK.EQ(C26,$C$26:$C$33,1)&lt;=3,"국가대표",IF(_xlfn.RANK.EQ(C26,$C$26:$C$33,1)&lt;=5,"상비군",""))</x:f>
        <x:v/>
      </x:c>
      <x:c r="F26" s="2">
        <x:v>1</x:v>
      </x:c>
      <x:c r="G26" s="2" t="s">
        <x:v>274</x:v>
      </x:c>
      <x:c r="H26" s="2">
        <x:v>70</x:v>
      </x:c>
      <x:c r="I26" s="2">
        <x:v>180</x:v>
      </x:c>
      <x:c r="J26" s="2" t="str">
        <x:f>HLOOKUP(H26/POWER(I26/100,2),$M$26:$P$28,3,1)</x:f>
        <x:v>정상</x:v>
      </x:c>
      <x:c r="L26" s="96" t="s">
        <x:v>49</x:v>
      </x:c>
      <x:c r="M26" s="2">
        <x:v>0</x:v>
      </x:c>
      <x:c r="N26" s="2">
        <x:v>20</x:v>
      </x:c>
      <x:c r="O26" s="2">
        <x:v>25</x:v>
      </x:c>
      <x:c r="P26" s="2">
        <x:v>30</x:v>
      </x:c>
    </x:row>
    <x:row r="27" spans="1:16">
      <x:c r="A27" s="2" t="s">
        <x:v>628</x:v>
      </x:c>
      <x:c r="B27" s="2" t="s">
        <x:v>113</x:v>
      </x:c>
      <x:c r="C27" s="42">
        <x:v>11.407</x:v>
      </x:c>
      <x:c r="D27" s="2" t="str">
        <x:f t="shared" ref="D27:D33" si="1">IF(_xlfn.RANK.EQ(C27,$C$26:$C$33,1)&lt;=3,"국가대표",IF(_xlfn.RANK.EQ(C27,$C$26:$C$33,1)&lt;=5,"상비군",""))</x:f>
        <x:v>국가대표</x:v>
      </x:c>
      <x:c r="F27" s="2">
        <x:v>2</x:v>
      </x:c>
      <x:c r="G27" s="2" t="s">
        <x:v>261</x:v>
      </x:c>
      <x:c r="H27" s="2">
        <x:v>90</x:v>
      </x:c>
      <x:c r="I27" s="2">
        <x:v>175</x:v>
      </x:c>
      <x:c r="J27" s="2" t="str">
        <x:f t="shared" ref="J27:J33" si="2">HLOOKUP(H27/POWER(I27/100,2),$M$26:$P$28,3,1)</x:f>
        <x:v>과체중</x:v>
      </x:c>
      <x:c r="L27" s="96"/>
      <x:c r="M27" s="2">
        <x:v>20</x:v>
      </x:c>
      <x:c r="N27" s="2">
        <x:v>25</x:v>
      </x:c>
      <x:c r="O27" s="2">
        <x:v>30</x:v>
      </x:c>
      <x:c r="P27" s="2" t="s">
        <x:v>627</x:v>
      </x:c>
    </x:row>
    <x:row r="28" spans="1:16">
      <x:c r="A28" s="2" t="s">
        <x:v>622</x:v>
      </x:c>
      <x:c r="B28" s="2" t="s">
        <x:v>107</x:v>
      </x:c>
      <x:c r="C28" s="42">
        <x:v>12.382999999999999</x:v>
      </x:c>
      <x:c r="D28" s="2" t="str">
        <x:f t="shared" si="1"/>
        <x:v/>
      </x:c>
      <x:c r="F28" s="2">
        <x:v>3</x:v>
      </x:c>
      <x:c r="G28" s="2" t="s">
        <x:v>263</x:v>
      </x:c>
      <x:c r="H28" s="2">
        <x:v>40</x:v>
      </x:c>
      <x:c r="I28" s="2">
        <x:v>160</x:v>
      </x:c>
      <x:c r="J28" s="2" t="str">
        <x:f t="shared" si="2"/>
        <x:v>저체중</x:v>
      </x:c>
      <x:c r="L28" s="2" t="s">
        <x:v>134</x:v>
      </x:c>
      <x:c r="M28" s="2" t="s">
        <x:v>334</x:v>
      </x:c>
      <x:c r="N28" s="2" t="s">
        <x:v>310</x:v>
      </x:c>
      <x:c r="O28" s="2" t="s">
        <x:v>332</x:v>
      </x:c>
      <x:c r="P28" s="2" t="s">
        <x:v>245</x:v>
      </x:c>
    </x:row>
    <x:row r="29" spans="1:10">
      <x:c r="A29" s="2" t="s">
        <x:v>617</x:v>
      </x:c>
      <x:c r="B29" s="2" t="s">
        <x:v>194</x:v>
      </x:c>
      <x:c r="C29" s="42">
        <x:v>11.679</x:v>
      </x:c>
      <x:c r="D29" s="2" t="str">
        <x:f t="shared" si="1"/>
        <x:v>상비군</x:v>
      </x:c>
      <x:c r="F29" s="2">
        <x:v>4</x:v>
      </x:c>
      <x:c r="G29" s="2" t="s">
        <x:v>264</x:v>
      </x:c>
      <x:c r="H29" s="2">
        <x:v>120</x:v>
      </x:c>
      <x:c r="I29" s="2">
        <x:v>180</x:v>
      </x:c>
      <x:c r="J29" s="2" t="str">
        <x:f t="shared" si="2"/>
        <x:v>비만</x:v>
      </x:c>
    </x:row>
    <x:row r="30" spans="1:10">
      <x:c r="A30" s="2" t="s">
        <x:v>625</x:v>
      </x:c>
      <x:c r="B30" s="2" t="s">
        <x:v>210</x:v>
      </x:c>
      <x:c r="C30" s="42">
        <x:v>12.372</x:v>
      </x:c>
      <x:c r="D30" s="2" t="str">
        <x:f t="shared" si="1"/>
        <x:v/>
      </x:c>
      <x:c r="F30" s="2">
        <x:v>5</x:v>
      </x:c>
      <x:c r="G30" s="2" t="s">
        <x:v>273</x:v>
      </x:c>
      <x:c r="H30" s="2">
        <x:v>83</x:v>
      </x:c>
      <x:c r="I30" s="2">
        <x:v>175</x:v>
      </x:c>
      <x:c r="J30" s="2" t="str">
        <x:f t="shared" si="2"/>
        <x:v>과체중</x:v>
      </x:c>
    </x:row>
    <x:row r="31" spans="1:10">
      <x:c r="A31" s="2" t="s">
        <x:v>624</x:v>
      </x:c>
      <x:c r="B31" s="2" t="s">
        <x:v>207</x:v>
      </x:c>
      <x:c r="C31" s="42">
        <x:v>11.311999999999999</x:v>
      </x:c>
      <x:c r="D31" s="2" t="str">
        <x:f t="shared" si="1"/>
        <x:v>국가대표</x:v>
      </x:c>
      <x:c r="F31" s="2">
        <x:v>6</x:v>
      </x:c>
      <x:c r="G31" s="2" t="s">
        <x:v>256</x:v>
      </x:c>
      <x:c r="H31" s="2">
        <x:v>70</x:v>
      </x:c>
      <x:c r="I31" s="2">
        <x:v>170</x:v>
      </x:c>
      <x:c r="J31" s="2" t="str">
        <x:f t="shared" si="2"/>
        <x:v>정상</x:v>
      </x:c>
    </x:row>
    <x:row r="32" spans="1:10">
      <x:c r="A32" s="2" t="s">
        <x:v>633</x:v>
      </x:c>
      <x:c r="B32" s="2" t="s">
        <x:v>253</x:v>
      </x:c>
      <x:c r="C32" s="42">
        <x:v>11.366</x:v>
      </x:c>
      <x:c r="D32" s="2" t="str">
        <x:f t="shared" si="1"/>
        <x:v>국가대표</x:v>
      </x:c>
      <x:c r="F32" s="2">
        <x:v>7</x:v>
      </x:c>
      <x:c r="G32" s="2" t="s">
        <x:v>266</x:v>
      </x:c>
      <x:c r="H32" s="2">
        <x:v>88</x:v>
      </x:c>
      <x:c r="I32" s="2">
        <x:v>180</x:v>
      </x:c>
      <x:c r="J32" s="2" t="str">
        <x:f t="shared" si="2"/>
        <x:v>과체중</x:v>
      </x:c>
    </x:row>
    <x:row r="33" spans="1:10">
      <x:c r="A33" s="2" t="s">
        <x:v>616</x:v>
      </x:c>
      <x:c r="B33" s="2" t="s">
        <x:v>192</x:v>
      </x:c>
      <x:c r="C33" s="42">
        <x:v>11.564</x:v>
      </x:c>
      <x:c r="D33" s="2" t="str">
        <x:f t="shared" si="1"/>
        <x:v>상비군</x:v>
      </x:c>
      <x:c r="F33" s="2">
        <x:v>8</x:v>
      </x:c>
      <x:c r="G33" s="2" t="s">
        <x:v>267</x:v>
      </x:c>
      <x:c r="H33" s="2">
        <x:v>60</x:v>
      </x:c>
      <x:c r="I33" s="2">
        <x:v>170</x:v>
      </x:c>
      <x:c r="J33" s="2" t="str">
        <x:f t="shared" si="2"/>
        <x:v>정상</x:v>
      </x:c>
    </x:row>
  </x:sheetData>
  <x:mergeCells count="3">
    <x:mergeCell ref="A11:C11"/>
    <x:mergeCell ref="F11:H11"/>
    <x:mergeCell ref="L26:L27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계산작업1</vt:lpstr>
      <vt:lpstr>계산작업2</vt:lpstr>
      <vt:lpstr>계산작업3</vt:lpstr>
      <vt:lpstr>계산작업4</vt:lpstr>
      <vt:lpstr>계산작업5</vt:lpstr>
      <vt:lpstr>계산작업6</vt:lpstr>
      <vt:lpstr>계산작업7</vt:lpstr>
      <vt:lpstr>계산작업8</vt:lpstr>
      <vt:lpstr>계산작업9</vt:lpstr>
      <vt:lpstr>계산작업10</vt:lpstr>
    </vt:vector>
  </ep:TitlesOfParts>
  <ep:TotalTime>333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mondi</cp:lastModifiedBy>
  <cp:revision>33</cp:revision>
  <dcterms:created xsi:type="dcterms:W3CDTF">2023-04-01T11:31:49.000</dcterms:created>
  <dcterms:modified xsi:type="dcterms:W3CDTF">2023-05-22T11:12:14.979</dcterms:modified>
  <cp:version>1200.0100.01</cp:version>
</cp:coreProperties>
</file>